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730" windowHeight="9270" tabRatio="815" firstSheet="8" activeTab="8"/>
  </bookViews>
  <sheets>
    <sheet name="SALARIO (2)" sheetId="56" state="hidden" r:id="rId1"/>
    <sheet name="KIT agrop.." sheetId="28" state="hidden" r:id="rId2"/>
    <sheet name="ELECTROD - Gerencia" sheetId="21" state="hidden" r:id="rId3"/>
    <sheet name="Insumos" sheetId="31" state="hidden" r:id="rId4"/>
    <sheet name="Herram." sheetId="37" state="hidden" r:id="rId5"/>
    <sheet name="Partic (3)" sheetId="87" state="hidden" r:id="rId6"/>
    <sheet name="Partic (2)" sheetId="86" state="hidden" r:id="rId7"/>
    <sheet name="Consolidado  (2)" sheetId="105" state="hidden" r:id="rId8"/>
    <sheet name="Consolidado " sheetId="76" r:id="rId9"/>
    <sheet name="Hoja1 (3)" sheetId="103" state="hidden" r:id="rId10"/>
    <sheet name="Hoja1" sheetId="115" state="hidden" r:id="rId11"/>
    <sheet name="RH" sheetId="106" r:id="rId12"/>
    <sheet name="Paquete_FV" sheetId="104" state="hidden" r:id="rId13"/>
    <sheet name="Dotac" sheetId="120" state="hidden" r:id="rId14"/>
    <sheet name="Actividades" sheetId="137" r:id="rId15"/>
    <sheet name="Transporte" sheetId="134" r:id="rId16"/>
    <sheet name="Dotacion" sheetId="133" r:id="rId17"/>
    <sheet name="Alqul_Equip" sheetId="123" r:id="rId18"/>
    <sheet name="Vit_Mez" sheetId="91" state="hidden" r:id="rId19"/>
    <sheet name="Transp" sheetId="80" state="hidden" r:id="rId20"/>
    <sheet name="Alquiact" sheetId="88" state="hidden" r:id="rId21"/>
    <sheet name="KitBebe" sheetId="92" state="hidden" r:id="rId22"/>
    <sheet name="Kitescolar" sheetId="82" state="hidden" r:id="rId23"/>
    <sheet name="Gtodesp" sheetId="84" state="hidden" r:id="rId24"/>
    <sheet name="Papelería " sheetId="90" state="hidden" r:id="rId25"/>
    <sheet name="Compota" sheetId="85" state="hidden" r:id="rId26"/>
    <sheet name="Bodeg y Log" sheetId="99" state="hidden" r:id="rId27"/>
    <sheet name="Bodega" sheetId="89" state="hidden" r:id="rId28"/>
    <sheet name="E. Precios" sheetId="70" state="hidden" r:id="rId29"/>
    <sheet name="Grupos" sheetId="69" state="hidden" r:id="rId30"/>
    <sheet name="Alimentacion" sheetId="68" state="hidden" r:id="rId31"/>
    <sheet name="PAPELERIA" sheetId="67" state="hidden" r:id="rId32"/>
    <sheet name="Hoja4" sheetId="130" state="hidden" r:id="rId33"/>
    <sheet name="Hoja3" sheetId="129" state="hidden" r:id="rId34"/>
    <sheet name="Refrigerios" sheetId="136" r:id="rId35"/>
    <sheet name="Gestión documental" sheetId="135" r:id="rId36"/>
    <sheet name="Poliza" sheetId="77" state="hidden" r:id="rId37"/>
    <sheet name="SALARIOS" sheetId="58" state="hidden"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xlnm._FilterDatabase" localSheetId="24" hidden="1">'Papelería '!$A$9:$C$41</definedName>
    <definedName name="_xlnm.Print_Area" localSheetId="20">Alquiact!$A$1:$K$14</definedName>
    <definedName name="_xlnm.Print_Area" localSheetId="24">'Papelería '!$A$1:$L$60</definedName>
    <definedName name="_xlnm.Print_Area" localSheetId="5">'Partic (3)'!$A$1:$D$30</definedName>
    <definedName name="_xlnm.Print_Area" localSheetId="0">'SALARIO (2)'!$A$1:$O$66</definedName>
    <definedName name="_xlnm.Print_Area" localSheetId="18">Vit_Mez!$A$1:$G$11</definedName>
    <definedName name="Pal_Workbook_GUID" hidden="1">"CHYMN887YL9U79VE24LPLR8U"</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_xlnm.Print_Titles" localSheetId="24">'Papelería '!$47:$47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2" i="76" l="1"/>
  <c r="B21" i="76"/>
  <c r="B20" i="76"/>
  <c r="B19" i="76"/>
  <c r="H18" i="133"/>
  <c r="G14" i="106"/>
  <c r="B16" i="76" s="1"/>
  <c r="B18" i="76"/>
  <c r="N10" i="134"/>
  <c r="E6" i="137"/>
  <c r="E15" i="137" l="1"/>
  <c r="E13" i="133"/>
  <c r="E14" i="133"/>
  <c r="E15" i="133"/>
  <c r="E16" i="133"/>
  <c r="E17" i="133"/>
  <c r="L9" i="134"/>
  <c r="H9" i="134"/>
  <c r="J9" i="134" s="1"/>
  <c r="K9" i="134" s="1"/>
  <c r="M9" i="134" s="1"/>
  <c r="H17" i="133"/>
  <c r="F17" i="133"/>
  <c r="H16" i="133"/>
  <c r="F16" i="133"/>
  <c r="H15" i="133"/>
  <c r="F15" i="133"/>
  <c r="H14" i="133"/>
  <c r="F14" i="133"/>
  <c r="H13" i="133"/>
  <c r="F13" i="133"/>
  <c r="H12" i="133"/>
  <c r="E12" i="133"/>
  <c r="F12" i="133" s="1"/>
  <c r="E8" i="137" l="1"/>
  <c r="E9" i="137"/>
  <c r="E10" i="137"/>
  <c r="E11" i="137"/>
  <c r="E12" i="137"/>
  <c r="E14" i="137"/>
  <c r="B17" i="76" l="1"/>
  <c r="J9" i="123"/>
  <c r="J8" i="123"/>
  <c r="J7" i="123"/>
  <c r="B24" i="76"/>
  <c r="F8" i="135"/>
  <c r="F10" i="135" s="1"/>
  <c r="F9" i="135"/>
  <c r="B23" i="76"/>
  <c r="J8" i="136"/>
  <c r="J10" i="136" s="1"/>
  <c r="C11" i="133"/>
  <c r="E11" i="133" s="1"/>
  <c r="F11" i="133" s="1"/>
  <c r="H11" i="133"/>
  <c r="H10" i="133"/>
  <c r="H9" i="133"/>
  <c r="J11" i="123" l="1"/>
  <c r="G12" i="106"/>
  <c r="G10" i="106"/>
  <c r="G9" i="106"/>
  <c r="E7" i="123"/>
  <c r="D8" i="135"/>
  <c r="D10" i="135" s="1"/>
  <c r="L8" i="134"/>
  <c r="E14" i="106"/>
  <c r="G8" i="136"/>
  <c r="H8" i="136" s="1"/>
  <c r="H9" i="136"/>
  <c r="J9" i="136" s="1"/>
  <c r="D9" i="135"/>
  <c r="G8" i="123"/>
  <c r="E8" i="123"/>
  <c r="H8" i="123" s="1"/>
  <c r="H8" i="134"/>
  <c r="J8" i="134" s="1"/>
  <c r="K8" i="134" s="1"/>
  <c r="M8" i="134" s="1"/>
  <c r="M10" i="134" s="1"/>
  <c r="C10" i="133"/>
  <c r="E10" i="133" s="1"/>
  <c r="F10" i="133" s="1"/>
  <c r="C9" i="133"/>
  <c r="E9" i="133" s="1"/>
  <c r="F9" i="133" s="1"/>
  <c r="E9" i="123"/>
  <c r="H9" i="123" s="1"/>
  <c r="J34" i="130"/>
  <c r="K34" i="130" s="1"/>
  <c r="J33" i="130"/>
  <c r="K33" i="130" s="1"/>
  <c r="J32" i="130"/>
  <c r="K32" i="130" s="1"/>
  <c r="F32" i="130"/>
  <c r="E32" i="130"/>
  <c r="J31" i="130"/>
  <c r="K31" i="130" s="1"/>
  <c r="G31" i="130"/>
  <c r="F31" i="130"/>
  <c r="E31" i="130"/>
  <c r="J29" i="130"/>
  <c r="K29" i="130" s="1"/>
  <c r="J27" i="130"/>
  <c r="K27" i="130" s="1"/>
  <c r="J26" i="130"/>
  <c r="K26" i="130" s="1"/>
  <c r="J25" i="130"/>
  <c r="K25" i="130" s="1"/>
  <c r="J23" i="130"/>
  <c r="K23" i="130" s="1"/>
  <c r="J22" i="130"/>
  <c r="K22" i="130" s="1"/>
  <c r="G22" i="130"/>
  <c r="J21" i="130"/>
  <c r="K21" i="130" s="1"/>
  <c r="H21" i="130"/>
  <c r="J20" i="130"/>
  <c r="K20" i="130" s="1"/>
  <c r="J19" i="130"/>
  <c r="K19" i="130" s="1"/>
  <c r="J18" i="130"/>
  <c r="K18" i="130" s="1"/>
  <c r="J17" i="130"/>
  <c r="K17" i="130" s="1"/>
  <c r="J15" i="130"/>
  <c r="K15" i="130" s="1"/>
  <c r="J14" i="130"/>
  <c r="K14" i="130" s="1"/>
  <c r="J13" i="130"/>
  <c r="K13" i="130" s="1"/>
  <c r="J12" i="130"/>
  <c r="K12" i="130" s="1"/>
  <c r="J11" i="130"/>
  <c r="K11" i="130" s="1"/>
  <c r="F10" i="130"/>
  <c r="J10" i="130" s="1"/>
  <c r="K10" i="130" s="1"/>
  <c r="F9" i="130"/>
  <c r="J9" i="130" s="1"/>
  <c r="K9" i="130" s="1"/>
  <c r="J8" i="130"/>
  <c r="K8" i="130" s="1"/>
  <c r="B11" i="129"/>
  <c r="D11" i="120"/>
  <c r="G11" i="120" s="1"/>
  <c r="D10" i="120"/>
  <c r="G10" i="120" s="1"/>
  <c r="E9" i="120"/>
  <c r="D9" i="120"/>
  <c r="G9" i="120" s="1"/>
  <c r="H9" i="120" s="1"/>
  <c r="B12" i="115"/>
  <c r="D12" i="115" s="1"/>
  <c r="A4" i="120"/>
  <c r="A2" i="120"/>
  <c r="A1" i="120"/>
  <c r="C3" i="115"/>
  <c r="F19" i="91"/>
  <c r="F17" i="91"/>
  <c r="B6" i="115"/>
  <c r="D6" i="115" s="1"/>
  <c r="B5" i="115"/>
  <c r="D5" i="115" s="1"/>
  <c r="B4" i="115"/>
  <c r="B3" i="115"/>
  <c r="D3" i="115" s="1"/>
  <c r="C12" i="89"/>
  <c r="D8" i="91"/>
  <c r="D17" i="91" s="1"/>
  <c r="D7" i="91"/>
  <c r="F7" i="91"/>
  <c r="D20" i="77"/>
  <c r="G18" i="77"/>
  <c r="H18" i="77" s="1"/>
  <c r="C20" i="103"/>
  <c r="C21" i="103"/>
  <c r="O23" i="104"/>
  <c r="Q22" i="104"/>
  <c r="P22" i="104"/>
  <c r="Q21" i="104"/>
  <c r="P21" i="104"/>
  <c r="Q20" i="104"/>
  <c r="P20" i="104"/>
  <c r="Q19" i="104"/>
  <c r="P19" i="104"/>
  <c r="Q18" i="104"/>
  <c r="P18" i="104"/>
  <c r="Q17" i="104"/>
  <c r="P17" i="104"/>
  <c r="Q16" i="104"/>
  <c r="P16" i="104"/>
  <c r="Q15" i="104"/>
  <c r="P15" i="104"/>
  <c r="Q14" i="104"/>
  <c r="P14" i="104"/>
  <c r="Q13" i="104"/>
  <c r="P13" i="104"/>
  <c r="Q12" i="104"/>
  <c r="P12" i="104"/>
  <c r="Q11" i="104"/>
  <c r="P11" i="104"/>
  <c r="Q10" i="104"/>
  <c r="P10" i="104"/>
  <c r="Q9" i="104"/>
  <c r="P9" i="104"/>
  <c r="Q8" i="104"/>
  <c r="P8" i="104"/>
  <c r="Q7" i="104"/>
  <c r="P7" i="104"/>
  <c r="Q6" i="104"/>
  <c r="P6" i="104"/>
  <c r="Q5" i="104"/>
  <c r="P5" i="104"/>
  <c r="J5" i="104"/>
  <c r="N5" i="104" s="1"/>
  <c r="N23" i="104" s="1"/>
  <c r="J4" i="104"/>
  <c r="L4" i="104" s="1"/>
  <c r="I47" i="103"/>
  <c r="I51" i="103" s="1"/>
  <c r="J47" i="103"/>
  <c r="J51" i="103" s="1"/>
  <c r="B38" i="103"/>
  <c r="H34" i="103"/>
  <c r="L29" i="103"/>
  <c r="L28" i="103"/>
  <c r="L27" i="103"/>
  <c r="G26" i="103" s="1"/>
  <c r="L26" i="103"/>
  <c r="H26" i="103" s="1"/>
  <c r="C60" i="103" s="1"/>
  <c r="J22" i="103"/>
  <c r="J54" i="103" s="1"/>
  <c r="I22" i="103"/>
  <c r="I54" i="103" s="1"/>
  <c r="M21" i="103"/>
  <c r="M19" i="103"/>
  <c r="M47" i="103" s="1"/>
  <c r="M51" i="103" s="1"/>
  <c r="B10" i="103"/>
  <c r="C6" i="103" s="1"/>
  <c r="J21" i="104"/>
  <c r="N21" i="104" s="1"/>
  <c r="J22" i="104"/>
  <c r="L22" i="104" s="1"/>
  <c r="G9" i="99"/>
  <c r="G10" i="99" s="1"/>
  <c r="G12" i="99" s="1"/>
  <c r="E9" i="80"/>
  <c r="J9" i="80" s="1"/>
  <c r="K9" i="80" s="1"/>
  <c r="J13" i="104"/>
  <c r="N13" i="104" s="1"/>
  <c r="J19" i="104"/>
  <c r="L19" i="104" s="1"/>
  <c r="J14" i="104"/>
  <c r="N14" i="104" s="1"/>
  <c r="J8" i="104"/>
  <c r="N8" i="104" s="1"/>
  <c r="J11" i="104"/>
  <c r="N11" i="104" s="1"/>
  <c r="J12" i="104"/>
  <c r="L12" i="104" s="1"/>
  <c r="F9" i="99"/>
  <c r="F17" i="99"/>
  <c r="J15" i="104"/>
  <c r="N15" i="104" s="1"/>
  <c r="J10" i="104"/>
  <c r="N10" i="104" s="1"/>
  <c r="J9" i="104"/>
  <c r="N9" i="104" s="1"/>
  <c r="J18" i="104"/>
  <c r="N18" i="104" s="1"/>
  <c r="J20" i="104"/>
  <c r="L20" i="104" s="1"/>
  <c r="D18" i="85"/>
  <c r="D17" i="85"/>
  <c r="C15" i="85"/>
  <c r="C14" i="85" s="1"/>
  <c r="G7" i="85"/>
  <c r="K49" i="90"/>
  <c r="K51" i="90"/>
  <c r="L51" i="90" s="1"/>
  <c r="C51" i="90"/>
  <c r="K57" i="90"/>
  <c r="L57" i="90" s="1"/>
  <c r="F57" i="90"/>
  <c r="C57" i="90"/>
  <c r="K58" i="90"/>
  <c r="L58" i="90" s="1"/>
  <c r="K56" i="90"/>
  <c r="F55" i="90"/>
  <c r="K55" i="90" s="1"/>
  <c r="L55" i="90" s="1"/>
  <c r="F54" i="90"/>
  <c r="K54" i="90" s="1"/>
  <c r="L54" i="90" s="1"/>
  <c r="F53" i="90"/>
  <c r="K53" i="90" s="1"/>
  <c r="L53" i="90" s="1"/>
  <c r="F52" i="90"/>
  <c r="K52" i="90"/>
  <c r="L52" i="90" s="1"/>
  <c r="K48" i="90"/>
  <c r="L48" i="90" s="1"/>
  <c r="F48" i="90"/>
  <c r="I11" i="88"/>
  <c r="J11" i="88" s="1"/>
  <c r="F14" i="99"/>
  <c r="F10" i="99"/>
  <c r="G10" i="92"/>
  <c r="G11" i="92"/>
  <c r="H11" i="92" s="1"/>
  <c r="G9" i="92"/>
  <c r="H9" i="92" s="1"/>
  <c r="G12" i="92"/>
  <c r="H10" i="92"/>
  <c r="G9" i="89"/>
  <c r="G8" i="89"/>
  <c r="G7" i="89"/>
  <c r="H16" i="82"/>
  <c r="H15" i="82"/>
  <c r="I15" i="82" s="1"/>
  <c r="H14" i="82"/>
  <c r="I14" i="82" s="1"/>
  <c r="H13" i="82"/>
  <c r="I13" i="82" s="1"/>
  <c r="H12" i="82"/>
  <c r="I12" i="82" s="1"/>
  <c r="H11" i="82"/>
  <c r="I11" i="82" s="1"/>
  <c r="H10" i="82"/>
  <c r="I10" i="82" s="1"/>
  <c r="H9" i="82"/>
  <c r="I9" i="82" s="1"/>
  <c r="H7" i="89"/>
  <c r="H8" i="89" s="1"/>
  <c r="H9" i="89" s="1"/>
  <c r="I9" i="89" s="1"/>
  <c r="C36" i="76"/>
  <c r="C37" i="76" s="1"/>
  <c r="L49" i="90"/>
  <c r="I58" i="90"/>
  <c r="L56" i="90"/>
  <c r="K41" i="90"/>
  <c r="L41" i="90" s="1"/>
  <c r="K40" i="90"/>
  <c r="L40" i="90" s="1"/>
  <c r="K39" i="90"/>
  <c r="L39" i="90" s="1"/>
  <c r="K38" i="90"/>
  <c r="L38" i="90" s="1"/>
  <c r="K37" i="90"/>
  <c r="L37" i="90" s="1"/>
  <c r="K36" i="90"/>
  <c r="L36" i="90" s="1"/>
  <c r="K35" i="90"/>
  <c r="L35" i="90" s="1"/>
  <c r="K34" i="90"/>
  <c r="L34" i="90" s="1"/>
  <c r="K33" i="90"/>
  <c r="L33" i="90" s="1"/>
  <c r="K32" i="90"/>
  <c r="L32" i="90" s="1"/>
  <c r="K31" i="90"/>
  <c r="L31" i="90" s="1"/>
  <c r="K30" i="90"/>
  <c r="L30" i="90" s="1"/>
  <c r="K29" i="90"/>
  <c r="L29" i="90" s="1"/>
  <c r="K28" i="90"/>
  <c r="L28" i="90" s="1"/>
  <c r="K27" i="90"/>
  <c r="L27" i="90" s="1"/>
  <c r="K26" i="90"/>
  <c r="L26" i="90" s="1"/>
  <c r="K25" i="90"/>
  <c r="L25" i="90" s="1"/>
  <c r="K24" i="90"/>
  <c r="L24" i="90" s="1"/>
  <c r="K23" i="90"/>
  <c r="L23" i="90" s="1"/>
  <c r="K22" i="90"/>
  <c r="L22" i="90" s="1"/>
  <c r="K21" i="90"/>
  <c r="L21" i="90" s="1"/>
  <c r="K20" i="90"/>
  <c r="L20" i="90" s="1"/>
  <c r="K19" i="90"/>
  <c r="L19" i="90" s="1"/>
  <c r="K18" i="90"/>
  <c r="L18" i="90" s="1"/>
  <c r="H17" i="90"/>
  <c r="K17" i="90" s="1"/>
  <c r="L17" i="90" s="1"/>
  <c r="K16" i="90"/>
  <c r="L16" i="90" s="1"/>
  <c r="K15" i="90"/>
  <c r="L15" i="90" s="1"/>
  <c r="K14" i="90"/>
  <c r="L14" i="90" s="1"/>
  <c r="K13" i="90"/>
  <c r="L13" i="90" s="1"/>
  <c r="K12" i="90"/>
  <c r="L12" i="90" s="1"/>
  <c r="K11" i="90"/>
  <c r="L11" i="90" s="1"/>
  <c r="K10" i="90"/>
  <c r="L10" i="90" s="1"/>
  <c r="L43" i="90" s="1"/>
  <c r="C7" i="84"/>
  <c r="E7" i="84" s="1"/>
  <c r="D10" i="88"/>
  <c r="D12" i="88" s="1"/>
  <c r="B38" i="88"/>
  <c r="I10" i="88"/>
  <c r="J10" i="88" s="1"/>
  <c r="D20" i="87"/>
  <c r="A18" i="87"/>
  <c r="A17" i="87"/>
  <c r="A16" i="87"/>
  <c r="A15" i="87"/>
  <c r="A14" i="87"/>
  <c r="A13" i="87"/>
  <c r="A12" i="87"/>
  <c r="E7" i="87"/>
  <c r="D7" i="87"/>
  <c r="A7" i="87"/>
  <c r="A2" i="87"/>
  <c r="D11" i="86"/>
  <c r="D7" i="86"/>
  <c r="N7" i="80"/>
  <c r="L9" i="80" s="1"/>
  <c r="D8" i="68"/>
  <c r="D36" i="77"/>
  <c r="D37" i="77" s="1"/>
  <c r="D38" i="77" s="1"/>
  <c r="D39" i="77" s="1"/>
  <c r="B36" i="77"/>
  <c r="B37" i="77"/>
  <c r="B38" i="77" s="1"/>
  <c r="B39" i="77" s="1"/>
  <c r="K33" i="77"/>
  <c r="H33" i="77"/>
  <c r="B33" i="77"/>
  <c r="F33" i="77"/>
  <c r="I33" i="77" s="1"/>
  <c r="K32" i="77"/>
  <c r="H32" i="77"/>
  <c r="F32" i="77"/>
  <c r="K31" i="77"/>
  <c r="H31" i="77"/>
  <c r="F31" i="77"/>
  <c r="K30" i="77"/>
  <c r="H30" i="77"/>
  <c r="K29" i="77"/>
  <c r="H29" i="77"/>
  <c r="F29" i="77"/>
  <c r="K22" i="77"/>
  <c r="H22" i="77"/>
  <c r="G22" i="77"/>
  <c r="E31" i="77"/>
  <c r="E30" i="77"/>
  <c r="D30" i="77"/>
  <c r="F30" i="77" s="1"/>
  <c r="K13" i="77"/>
  <c r="K12" i="77"/>
  <c r="K11" i="77"/>
  <c r="K10" i="77"/>
  <c r="B10" i="77"/>
  <c r="F10" i="77" s="1"/>
  <c r="I10" i="77" s="1"/>
  <c r="L10" i="77" s="1"/>
  <c r="K9" i="77"/>
  <c r="B9" i="77"/>
  <c r="F9" i="77" s="1"/>
  <c r="I9" i="77" s="1"/>
  <c r="L9" i="77" s="1"/>
  <c r="C47" i="67"/>
  <c r="A134" i="68"/>
  <c r="J227" i="70"/>
  <c r="I227" i="70"/>
  <c r="H227" i="70"/>
  <c r="G227" i="70"/>
  <c r="F227" i="70"/>
  <c r="E227" i="70"/>
  <c r="D227" i="70"/>
  <c r="C227" i="70"/>
  <c r="B227" i="70"/>
  <c r="A227" i="70"/>
  <c r="J226" i="70"/>
  <c r="I226" i="70"/>
  <c r="H226" i="70"/>
  <c r="G226" i="70"/>
  <c r="F226" i="70"/>
  <c r="E226" i="70"/>
  <c r="D226" i="70"/>
  <c r="C226" i="70"/>
  <c r="B226" i="70"/>
  <c r="A226" i="70"/>
  <c r="J225" i="70"/>
  <c r="I225" i="70"/>
  <c r="H225" i="70"/>
  <c r="G225" i="70"/>
  <c r="F225" i="70"/>
  <c r="E225" i="70"/>
  <c r="D225" i="70"/>
  <c r="C225" i="70"/>
  <c r="B225" i="70"/>
  <c r="A225" i="70"/>
  <c r="J224" i="70"/>
  <c r="I224" i="70"/>
  <c r="H224" i="70"/>
  <c r="G224" i="70"/>
  <c r="F224" i="70"/>
  <c r="E224" i="70"/>
  <c r="D224" i="70"/>
  <c r="C224" i="70"/>
  <c r="B224" i="70"/>
  <c r="A224" i="70"/>
  <c r="J223" i="70"/>
  <c r="I223" i="70"/>
  <c r="H223" i="70"/>
  <c r="G223" i="70"/>
  <c r="F223" i="70"/>
  <c r="E223" i="70"/>
  <c r="D223" i="70"/>
  <c r="C223" i="70"/>
  <c r="B223" i="70"/>
  <c r="A223" i="70"/>
  <c r="J222" i="70"/>
  <c r="I222" i="70"/>
  <c r="H222" i="70"/>
  <c r="G222" i="70"/>
  <c r="F222" i="70"/>
  <c r="E222" i="70"/>
  <c r="D222" i="70"/>
  <c r="C222" i="70"/>
  <c r="B222" i="70"/>
  <c r="A222" i="70"/>
  <c r="J221" i="70"/>
  <c r="I221" i="70"/>
  <c r="H221" i="70"/>
  <c r="G221" i="70"/>
  <c r="F221" i="70"/>
  <c r="E221" i="70"/>
  <c r="D221" i="70"/>
  <c r="C221" i="70"/>
  <c r="B221" i="70"/>
  <c r="A221" i="70"/>
  <c r="J220" i="70"/>
  <c r="I220" i="70"/>
  <c r="H220" i="70"/>
  <c r="G220" i="70"/>
  <c r="F220" i="70"/>
  <c r="E220" i="70"/>
  <c r="D220" i="70"/>
  <c r="C220" i="70"/>
  <c r="B220" i="70"/>
  <c r="A220" i="70"/>
  <c r="J219" i="70"/>
  <c r="I219" i="70"/>
  <c r="H219" i="70"/>
  <c r="G219" i="70"/>
  <c r="F219" i="70"/>
  <c r="E219" i="70"/>
  <c r="D219" i="70"/>
  <c r="C219" i="70"/>
  <c r="B219" i="70"/>
  <c r="A219" i="70"/>
  <c r="J218" i="70"/>
  <c r="I218" i="70"/>
  <c r="H218" i="70"/>
  <c r="G218" i="70"/>
  <c r="F218" i="70"/>
  <c r="E218" i="70"/>
  <c r="D218" i="70"/>
  <c r="C218" i="70"/>
  <c r="B218" i="70"/>
  <c r="A218" i="70"/>
  <c r="J217" i="70"/>
  <c r="I217" i="70"/>
  <c r="H217" i="70"/>
  <c r="G217" i="70"/>
  <c r="F217" i="70"/>
  <c r="E217" i="70"/>
  <c r="D217" i="70"/>
  <c r="C217" i="70"/>
  <c r="B217" i="70"/>
  <c r="A217" i="70"/>
  <c r="J216" i="70"/>
  <c r="I216" i="70"/>
  <c r="H216" i="70"/>
  <c r="G216" i="70"/>
  <c r="F216" i="70"/>
  <c r="E216" i="70"/>
  <c r="D216" i="70"/>
  <c r="C216" i="70"/>
  <c r="B216" i="70"/>
  <c r="A216" i="70"/>
  <c r="J215" i="70"/>
  <c r="I215" i="70"/>
  <c r="H215" i="70"/>
  <c r="G215" i="70"/>
  <c r="F215" i="70"/>
  <c r="E215" i="70"/>
  <c r="D215" i="70"/>
  <c r="C215" i="70"/>
  <c r="B215" i="70"/>
  <c r="A215" i="70"/>
  <c r="J214" i="70"/>
  <c r="I214" i="70"/>
  <c r="H214" i="70"/>
  <c r="G214" i="70"/>
  <c r="F214" i="70"/>
  <c r="E214" i="70"/>
  <c r="D214" i="70"/>
  <c r="C214" i="70"/>
  <c r="B214" i="70"/>
  <c r="A214" i="70"/>
  <c r="J213" i="70"/>
  <c r="I213" i="70"/>
  <c r="H213" i="70"/>
  <c r="G213" i="70"/>
  <c r="F213" i="70"/>
  <c r="E213" i="70"/>
  <c r="D213" i="70"/>
  <c r="C213" i="70"/>
  <c r="B213" i="70"/>
  <c r="A213" i="70"/>
  <c r="J212" i="70"/>
  <c r="I212" i="70"/>
  <c r="H212" i="70"/>
  <c r="G212" i="70"/>
  <c r="F212" i="70"/>
  <c r="E212" i="70"/>
  <c r="D212" i="70"/>
  <c r="C212" i="70"/>
  <c r="B212" i="70"/>
  <c r="A212" i="70"/>
  <c r="J211" i="70"/>
  <c r="I211" i="70"/>
  <c r="H211" i="70"/>
  <c r="G211" i="70"/>
  <c r="F211" i="70"/>
  <c r="E211" i="70"/>
  <c r="D211" i="70"/>
  <c r="C211" i="70"/>
  <c r="B211" i="70"/>
  <c r="A211" i="70"/>
  <c r="J210" i="70"/>
  <c r="I210" i="70"/>
  <c r="H210" i="70"/>
  <c r="G210" i="70"/>
  <c r="F210" i="70"/>
  <c r="E210" i="70"/>
  <c r="D210" i="70"/>
  <c r="C210" i="70"/>
  <c r="B210" i="70"/>
  <c r="A210" i="70"/>
  <c r="J209" i="70"/>
  <c r="I209" i="70"/>
  <c r="H209" i="70"/>
  <c r="G209" i="70"/>
  <c r="F209" i="70"/>
  <c r="E209" i="70"/>
  <c r="D209" i="70"/>
  <c r="C209" i="70"/>
  <c r="B209" i="70"/>
  <c r="A209" i="70"/>
  <c r="J208" i="70"/>
  <c r="I208" i="70"/>
  <c r="H208" i="70"/>
  <c r="G208" i="70"/>
  <c r="F208" i="70"/>
  <c r="E208" i="70"/>
  <c r="D208" i="70"/>
  <c r="C208" i="70"/>
  <c r="B208" i="70"/>
  <c r="A208" i="70"/>
  <c r="J207" i="70"/>
  <c r="I207" i="70"/>
  <c r="H207" i="70"/>
  <c r="G207" i="70"/>
  <c r="F207" i="70"/>
  <c r="E207" i="70"/>
  <c r="D207" i="70"/>
  <c r="C207" i="70"/>
  <c r="B207" i="70"/>
  <c r="A207" i="70"/>
  <c r="J206" i="70"/>
  <c r="I206" i="70"/>
  <c r="H206" i="70"/>
  <c r="G206" i="70"/>
  <c r="F206" i="70"/>
  <c r="E206" i="70"/>
  <c r="D206" i="70"/>
  <c r="C206" i="70"/>
  <c r="B206" i="70"/>
  <c r="A206" i="70"/>
  <c r="J205" i="70"/>
  <c r="I205" i="70"/>
  <c r="H205" i="70"/>
  <c r="G205" i="70"/>
  <c r="F205" i="70"/>
  <c r="E205" i="70"/>
  <c r="D205" i="70"/>
  <c r="C205" i="70"/>
  <c r="B205" i="70"/>
  <c r="A205" i="70"/>
  <c r="J204" i="70"/>
  <c r="I204" i="70"/>
  <c r="H204" i="70"/>
  <c r="G204" i="70"/>
  <c r="F204" i="70"/>
  <c r="E204" i="70"/>
  <c r="D204" i="70"/>
  <c r="C204" i="70"/>
  <c r="B204" i="70"/>
  <c r="A204" i="70"/>
  <c r="J203" i="70"/>
  <c r="I203" i="70"/>
  <c r="H203" i="70"/>
  <c r="G203" i="70"/>
  <c r="F203" i="70"/>
  <c r="E203" i="70"/>
  <c r="D203" i="70"/>
  <c r="C203" i="70"/>
  <c r="B203" i="70"/>
  <c r="A203" i="70"/>
  <c r="J202" i="70"/>
  <c r="I202" i="70"/>
  <c r="H202" i="70"/>
  <c r="G202" i="70"/>
  <c r="F202" i="70"/>
  <c r="E202" i="70"/>
  <c r="D202" i="70"/>
  <c r="C202" i="70"/>
  <c r="B202" i="70"/>
  <c r="A202" i="70"/>
  <c r="J201" i="70"/>
  <c r="I201" i="70"/>
  <c r="H201" i="70"/>
  <c r="G201" i="70"/>
  <c r="F201" i="70"/>
  <c r="E201" i="70"/>
  <c r="D201" i="70"/>
  <c r="C201" i="70"/>
  <c r="B201" i="70"/>
  <c r="A201" i="70"/>
  <c r="J200" i="70"/>
  <c r="I200" i="70"/>
  <c r="H200" i="70"/>
  <c r="G200" i="70"/>
  <c r="F200" i="70"/>
  <c r="E200" i="70"/>
  <c r="D200" i="70"/>
  <c r="C200" i="70"/>
  <c r="B200" i="70"/>
  <c r="A200" i="70"/>
  <c r="J199" i="70"/>
  <c r="I199" i="70"/>
  <c r="H199" i="70"/>
  <c r="G199" i="70"/>
  <c r="F199" i="70"/>
  <c r="E199" i="70"/>
  <c r="D199" i="70"/>
  <c r="C199" i="70"/>
  <c r="B199" i="70"/>
  <c r="A199" i="70"/>
  <c r="J198" i="70"/>
  <c r="I198" i="70"/>
  <c r="H198" i="70"/>
  <c r="G198" i="70"/>
  <c r="F198" i="70"/>
  <c r="E198" i="70"/>
  <c r="D198" i="70"/>
  <c r="C198" i="70"/>
  <c r="B198" i="70"/>
  <c r="A198" i="70"/>
  <c r="J197" i="70"/>
  <c r="I197" i="70"/>
  <c r="H197" i="70"/>
  <c r="G197" i="70"/>
  <c r="F197" i="70"/>
  <c r="E197" i="70"/>
  <c r="D197" i="70"/>
  <c r="C197" i="70"/>
  <c r="B197" i="70"/>
  <c r="A197" i="70"/>
  <c r="J196" i="70"/>
  <c r="I196" i="70"/>
  <c r="H196" i="70"/>
  <c r="G196" i="70"/>
  <c r="F196" i="70"/>
  <c r="E196" i="70"/>
  <c r="D196" i="70"/>
  <c r="C196" i="70"/>
  <c r="B196" i="70"/>
  <c r="A196" i="70"/>
  <c r="J195" i="70"/>
  <c r="I195" i="70"/>
  <c r="H195" i="70"/>
  <c r="G195" i="70"/>
  <c r="F195" i="70"/>
  <c r="E195" i="70"/>
  <c r="D195" i="70"/>
  <c r="C195" i="70"/>
  <c r="B195" i="70"/>
  <c r="A195" i="70"/>
  <c r="J194" i="70"/>
  <c r="I194" i="70"/>
  <c r="H194" i="70"/>
  <c r="G194" i="70"/>
  <c r="F194" i="70"/>
  <c r="E194" i="70"/>
  <c r="D194" i="70"/>
  <c r="C194" i="70"/>
  <c r="B194" i="70"/>
  <c r="A194" i="70"/>
  <c r="J193" i="70"/>
  <c r="I193" i="70"/>
  <c r="H193" i="70"/>
  <c r="G193" i="70"/>
  <c r="F193" i="70"/>
  <c r="E193" i="70"/>
  <c r="D193" i="70"/>
  <c r="C193" i="70"/>
  <c r="B193" i="70"/>
  <c r="A193" i="70"/>
  <c r="J192" i="70"/>
  <c r="I192" i="70"/>
  <c r="H192" i="70"/>
  <c r="G192" i="70"/>
  <c r="F192" i="70"/>
  <c r="E192" i="70"/>
  <c r="D192" i="70"/>
  <c r="C192" i="70"/>
  <c r="B192" i="70"/>
  <c r="A192" i="70"/>
  <c r="J191" i="70"/>
  <c r="I191" i="70"/>
  <c r="H191" i="70"/>
  <c r="G191" i="70"/>
  <c r="F191" i="70"/>
  <c r="E191" i="70"/>
  <c r="D191" i="70"/>
  <c r="C191" i="70"/>
  <c r="B191" i="70"/>
  <c r="A191" i="70"/>
  <c r="J190" i="70"/>
  <c r="I190" i="70"/>
  <c r="H190" i="70"/>
  <c r="G190" i="70"/>
  <c r="F190" i="70"/>
  <c r="E190" i="70"/>
  <c r="D190" i="70"/>
  <c r="C190" i="70"/>
  <c r="B190" i="70"/>
  <c r="A190" i="70"/>
  <c r="J189" i="70"/>
  <c r="I189" i="70"/>
  <c r="H189" i="70"/>
  <c r="G189" i="70"/>
  <c r="F189" i="70"/>
  <c r="E189" i="70"/>
  <c r="D189" i="70"/>
  <c r="C189" i="70"/>
  <c r="B189" i="70"/>
  <c r="A189" i="70"/>
  <c r="J188" i="70"/>
  <c r="I188" i="70"/>
  <c r="H188" i="70"/>
  <c r="G188" i="70"/>
  <c r="F188" i="70"/>
  <c r="E188" i="70"/>
  <c r="D188" i="70"/>
  <c r="C188" i="70"/>
  <c r="B188" i="70"/>
  <c r="A188" i="70"/>
  <c r="J187" i="70"/>
  <c r="I187" i="70"/>
  <c r="H187" i="70"/>
  <c r="G187" i="70"/>
  <c r="F187" i="70"/>
  <c r="E187" i="70"/>
  <c r="D187" i="70"/>
  <c r="C187" i="70"/>
  <c r="B187" i="70"/>
  <c r="A187" i="70"/>
  <c r="J186" i="70"/>
  <c r="I186" i="70"/>
  <c r="H186" i="70"/>
  <c r="G186" i="70"/>
  <c r="F186" i="70"/>
  <c r="E186" i="70"/>
  <c r="D186" i="70"/>
  <c r="C186" i="70"/>
  <c r="B186" i="70"/>
  <c r="A186" i="70"/>
  <c r="J185" i="70"/>
  <c r="I185" i="70"/>
  <c r="H185" i="70"/>
  <c r="G185" i="70"/>
  <c r="F185" i="70"/>
  <c r="E185" i="70"/>
  <c r="D185" i="70"/>
  <c r="C185" i="70"/>
  <c r="B185" i="70"/>
  <c r="A185" i="70"/>
  <c r="J184" i="70"/>
  <c r="I184" i="70"/>
  <c r="H184" i="70"/>
  <c r="G184" i="70"/>
  <c r="F184" i="70"/>
  <c r="E184" i="70"/>
  <c r="D184" i="70"/>
  <c r="C184" i="70"/>
  <c r="B184" i="70"/>
  <c r="A184" i="70"/>
  <c r="J183" i="70"/>
  <c r="I183" i="70"/>
  <c r="H183" i="70"/>
  <c r="G183" i="70"/>
  <c r="F183" i="70"/>
  <c r="E183" i="70"/>
  <c r="D183" i="70"/>
  <c r="C183" i="70"/>
  <c r="B183" i="70"/>
  <c r="A183" i="70"/>
  <c r="J182" i="70"/>
  <c r="I182" i="70"/>
  <c r="H182" i="70"/>
  <c r="G182" i="70"/>
  <c r="F182" i="70"/>
  <c r="E182" i="70"/>
  <c r="D182" i="70"/>
  <c r="C182" i="70"/>
  <c r="B182" i="70"/>
  <c r="A182" i="70"/>
  <c r="J181" i="70"/>
  <c r="I181" i="70"/>
  <c r="H181" i="70"/>
  <c r="G181" i="70"/>
  <c r="F181" i="70"/>
  <c r="E181" i="70"/>
  <c r="D181" i="70"/>
  <c r="C181" i="70"/>
  <c r="B181" i="70"/>
  <c r="A181" i="70"/>
  <c r="J180" i="70"/>
  <c r="I180" i="70"/>
  <c r="H180" i="70"/>
  <c r="G180" i="70"/>
  <c r="F180" i="70"/>
  <c r="E180" i="70"/>
  <c r="D180" i="70"/>
  <c r="C180" i="70"/>
  <c r="B180" i="70"/>
  <c r="A180" i="70"/>
  <c r="J179" i="70"/>
  <c r="I179" i="70"/>
  <c r="H179" i="70"/>
  <c r="G179" i="70"/>
  <c r="F179" i="70"/>
  <c r="E179" i="70"/>
  <c r="D179" i="70"/>
  <c r="C179" i="70"/>
  <c r="B179" i="70"/>
  <c r="A179" i="70"/>
  <c r="J178" i="70"/>
  <c r="I178" i="70"/>
  <c r="H178" i="70"/>
  <c r="G178" i="70"/>
  <c r="F178" i="70"/>
  <c r="E178" i="70"/>
  <c r="D178" i="70"/>
  <c r="C178" i="70"/>
  <c r="B178" i="70"/>
  <c r="A178" i="70"/>
  <c r="J177" i="70"/>
  <c r="I177" i="70"/>
  <c r="H177" i="70"/>
  <c r="G177" i="70"/>
  <c r="F177" i="70"/>
  <c r="E177" i="70"/>
  <c r="D177" i="70"/>
  <c r="C177" i="70"/>
  <c r="B177" i="70"/>
  <c r="A177" i="70"/>
  <c r="J176" i="70"/>
  <c r="I176" i="70"/>
  <c r="H176" i="70"/>
  <c r="G176" i="70"/>
  <c r="F176" i="70"/>
  <c r="E176" i="70"/>
  <c r="D176" i="70"/>
  <c r="C176" i="70"/>
  <c r="B176" i="70"/>
  <c r="A176" i="70"/>
  <c r="J175" i="70"/>
  <c r="I175" i="70"/>
  <c r="H175" i="70"/>
  <c r="G175" i="70"/>
  <c r="F175" i="70"/>
  <c r="E175" i="70"/>
  <c r="D175" i="70"/>
  <c r="C175" i="70"/>
  <c r="B175" i="70"/>
  <c r="A175" i="70"/>
  <c r="J174" i="70"/>
  <c r="I174" i="70"/>
  <c r="H174" i="70"/>
  <c r="G174" i="70"/>
  <c r="F174" i="70"/>
  <c r="E174" i="70"/>
  <c r="D174" i="70"/>
  <c r="C174" i="70"/>
  <c r="B174" i="70"/>
  <c r="A174" i="70"/>
  <c r="J173" i="70"/>
  <c r="I173" i="70"/>
  <c r="H173" i="70"/>
  <c r="G173" i="70"/>
  <c r="F173" i="70"/>
  <c r="E173" i="70"/>
  <c r="D173" i="70"/>
  <c r="C173" i="70"/>
  <c r="B173" i="70"/>
  <c r="A173" i="70"/>
  <c r="J172" i="70"/>
  <c r="I172" i="70"/>
  <c r="H172" i="70"/>
  <c r="G172" i="70"/>
  <c r="F172" i="70"/>
  <c r="E172" i="70"/>
  <c r="D172" i="70"/>
  <c r="C172" i="70"/>
  <c r="B172" i="70"/>
  <c r="A172" i="70"/>
  <c r="J171" i="70"/>
  <c r="I171" i="70"/>
  <c r="H171" i="70"/>
  <c r="G171" i="70"/>
  <c r="F171" i="70"/>
  <c r="E171" i="70"/>
  <c r="D171" i="70"/>
  <c r="C171" i="70"/>
  <c r="B171" i="70"/>
  <c r="A171" i="70"/>
  <c r="J170" i="70"/>
  <c r="I170" i="70"/>
  <c r="H170" i="70"/>
  <c r="G170" i="70"/>
  <c r="F170" i="70"/>
  <c r="E170" i="70"/>
  <c r="D170" i="70"/>
  <c r="C170" i="70"/>
  <c r="B170" i="70"/>
  <c r="A170" i="70"/>
  <c r="J169" i="70"/>
  <c r="I169" i="70"/>
  <c r="H169" i="70"/>
  <c r="G169" i="70"/>
  <c r="F169" i="70"/>
  <c r="E169" i="70"/>
  <c r="D169" i="70"/>
  <c r="C169" i="70"/>
  <c r="B169" i="70"/>
  <c r="A169" i="70"/>
  <c r="J168" i="70"/>
  <c r="I168" i="70"/>
  <c r="H168" i="70"/>
  <c r="G168" i="70"/>
  <c r="F168" i="70"/>
  <c r="E168" i="70"/>
  <c r="D168" i="70"/>
  <c r="C168" i="70"/>
  <c r="B168" i="70"/>
  <c r="A168" i="70"/>
  <c r="J167" i="70"/>
  <c r="I167" i="70"/>
  <c r="H167" i="70"/>
  <c r="G167" i="70"/>
  <c r="F167" i="70"/>
  <c r="E167" i="70"/>
  <c r="D167" i="70"/>
  <c r="C167" i="70"/>
  <c r="B167" i="70"/>
  <c r="A167" i="70"/>
  <c r="J166" i="70"/>
  <c r="I166" i="70"/>
  <c r="H166" i="70"/>
  <c r="G166" i="70"/>
  <c r="F166" i="70"/>
  <c r="E166" i="70"/>
  <c r="D166" i="70"/>
  <c r="C166" i="70"/>
  <c r="B166" i="70"/>
  <c r="A166" i="70"/>
  <c r="J165" i="70"/>
  <c r="I165" i="70"/>
  <c r="H165" i="70"/>
  <c r="G165" i="70"/>
  <c r="F165" i="70"/>
  <c r="E165" i="70"/>
  <c r="D165" i="70"/>
  <c r="C165" i="70"/>
  <c r="B165" i="70"/>
  <c r="A165" i="70"/>
  <c r="J164" i="70"/>
  <c r="I164" i="70"/>
  <c r="H164" i="70"/>
  <c r="G164" i="70"/>
  <c r="F164" i="70"/>
  <c r="E164" i="70"/>
  <c r="D164" i="70"/>
  <c r="C164" i="70"/>
  <c r="B164" i="70"/>
  <c r="A164" i="70"/>
  <c r="J163" i="70"/>
  <c r="I163" i="70"/>
  <c r="H163" i="70"/>
  <c r="G163" i="70"/>
  <c r="F163" i="70"/>
  <c r="E163" i="70"/>
  <c r="D163" i="70"/>
  <c r="C163" i="70"/>
  <c r="B163" i="70"/>
  <c r="A163" i="70"/>
  <c r="J162" i="70"/>
  <c r="I162" i="70"/>
  <c r="H162" i="70"/>
  <c r="G162" i="70"/>
  <c r="F162" i="70"/>
  <c r="E162" i="70"/>
  <c r="D162" i="70"/>
  <c r="C162" i="70"/>
  <c r="B162" i="70"/>
  <c r="A162" i="70"/>
  <c r="J161" i="70"/>
  <c r="I161" i="70"/>
  <c r="H161" i="70"/>
  <c r="G161" i="70"/>
  <c r="F161" i="70"/>
  <c r="E161" i="70"/>
  <c r="D161" i="70"/>
  <c r="C161" i="70"/>
  <c r="B161" i="70"/>
  <c r="A161" i="70"/>
  <c r="J160" i="70"/>
  <c r="I160" i="70"/>
  <c r="H160" i="70"/>
  <c r="G160" i="70"/>
  <c r="F160" i="70"/>
  <c r="E160" i="70"/>
  <c r="D160" i="70"/>
  <c r="C160" i="70"/>
  <c r="B160" i="70"/>
  <c r="A160" i="70"/>
  <c r="J159" i="70"/>
  <c r="I159" i="70"/>
  <c r="H159" i="70"/>
  <c r="G159" i="70"/>
  <c r="F159" i="70"/>
  <c r="E159" i="70"/>
  <c r="D159" i="70"/>
  <c r="C159" i="70"/>
  <c r="B159" i="70"/>
  <c r="A159" i="70"/>
  <c r="J158" i="70"/>
  <c r="I158" i="70"/>
  <c r="H158" i="70"/>
  <c r="G158" i="70"/>
  <c r="F158" i="70"/>
  <c r="E158" i="70"/>
  <c r="D158" i="70"/>
  <c r="C158" i="70"/>
  <c r="B158" i="70"/>
  <c r="A158" i="70"/>
  <c r="J157" i="70"/>
  <c r="I157" i="70"/>
  <c r="H157" i="70"/>
  <c r="G157" i="70"/>
  <c r="F157" i="70"/>
  <c r="E157" i="70"/>
  <c r="D157" i="70"/>
  <c r="C157" i="70"/>
  <c r="B157" i="70"/>
  <c r="A157" i="70"/>
  <c r="J156" i="70"/>
  <c r="I156" i="70"/>
  <c r="H156" i="70"/>
  <c r="G156" i="70"/>
  <c r="F156" i="70"/>
  <c r="E156" i="70"/>
  <c r="D156" i="70"/>
  <c r="C156" i="70"/>
  <c r="B156" i="70"/>
  <c r="A156" i="70"/>
  <c r="J155" i="70"/>
  <c r="I155" i="70"/>
  <c r="H155" i="70"/>
  <c r="G155" i="70"/>
  <c r="F155" i="70"/>
  <c r="E155" i="70"/>
  <c r="D155" i="70"/>
  <c r="C155" i="70"/>
  <c r="B155" i="70"/>
  <c r="A155" i="70"/>
  <c r="J154" i="70"/>
  <c r="I154" i="70"/>
  <c r="H154" i="70"/>
  <c r="G154" i="70"/>
  <c r="F154" i="70"/>
  <c r="E154" i="70"/>
  <c r="D154" i="70"/>
  <c r="C154" i="70"/>
  <c r="B154" i="70"/>
  <c r="A154" i="70"/>
  <c r="J153" i="70"/>
  <c r="I153" i="70"/>
  <c r="H153" i="70"/>
  <c r="G153" i="70"/>
  <c r="F153" i="70"/>
  <c r="E153" i="70"/>
  <c r="D153" i="70"/>
  <c r="C153" i="70"/>
  <c r="B153" i="70"/>
  <c r="A153" i="70"/>
  <c r="J152" i="70"/>
  <c r="I152" i="70"/>
  <c r="H152" i="70"/>
  <c r="G152" i="70"/>
  <c r="F152" i="70"/>
  <c r="E152" i="70"/>
  <c r="D152" i="70"/>
  <c r="C152" i="70"/>
  <c r="B152" i="70"/>
  <c r="A152" i="70"/>
  <c r="J151" i="70"/>
  <c r="I151" i="70"/>
  <c r="H151" i="70"/>
  <c r="G151" i="70"/>
  <c r="F151" i="70"/>
  <c r="E151" i="70"/>
  <c r="D151" i="70"/>
  <c r="C151" i="70"/>
  <c r="B151" i="70"/>
  <c r="A151" i="70"/>
  <c r="J150" i="70"/>
  <c r="I150" i="70"/>
  <c r="H150" i="70"/>
  <c r="G150" i="70"/>
  <c r="F150" i="70"/>
  <c r="E150" i="70"/>
  <c r="D150" i="70"/>
  <c r="C150" i="70"/>
  <c r="B150" i="70"/>
  <c r="A150" i="70"/>
  <c r="J149" i="70"/>
  <c r="I149" i="70"/>
  <c r="H149" i="70"/>
  <c r="G149" i="70"/>
  <c r="F149" i="70"/>
  <c r="E149" i="70"/>
  <c r="D149" i="70"/>
  <c r="C149" i="70"/>
  <c r="B149" i="70"/>
  <c r="A149" i="70"/>
  <c r="J148" i="70"/>
  <c r="I148" i="70"/>
  <c r="H148" i="70"/>
  <c r="G148" i="70"/>
  <c r="F148" i="70"/>
  <c r="E148" i="70"/>
  <c r="D148" i="70"/>
  <c r="C148" i="70"/>
  <c r="B148" i="70"/>
  <c r="A148" i="70"/>
  <c r="J147" i="70"/>
  <c r="I147" i="70"/>
  <c r="H147" i="70"/>
  <c r="G147" i="70"/>
  <c r="F147" i="70"/>
  <c r="E147" i="70"/>
  <c r="D147" i="70"/>
  <c r="C147" i="70"/>
  <c r="B147" i="70"/>
  <c r="A147" i="70"/>
  <c r="J146" i="70"/>
  <c r="I146" i="70"/>
  <c r="H146" i="70"/>
  <c r="G146" i="70"/>
  <c r="F146" i="70"/>
  <c r="E146" i="70"/>
  <c r="D146" i="70"/>
  <c r="C146" i="70"/>
  <c r="B146" i="70"/>
  <c r="A146" i="70"/>
  <c r="J145" i="70"/>
  <c r="I145" i="70"/>
  <c r="H145" i="70"/>
  <c r="G145" i="70"/>
  <c r="F145" i="70"/>
  <c r="E145" i="70"/>
  <c r="D145" i="70"/>
  <c r="C145" i="70"/>
  <c r="B145" i="70"/>
  <c r="A145" i="70"/>
  <c r="J144" i="70"/>
  <c r="I144" i="70"/>
  <c r="H144" i="70"/>
  <c r="G144" i="70"/>
  <c r="F144" i="70"/>
  <c r="E144" i="70"/>
  <c r="D144" i="70"/>
  <c r="C144" i="70"/>
  <c r="B144" i="70"/>
  <c r="A144" i="70"/>
  <c r="J143" i="70"/>
  <c r="I143" i="70"/>
  <c r="H143" i="70"/>
  <c r="G143" i="70"/>
  <c r="F143" i="70"/>
  <c r="E143" i="70"/>
  <c r="D143" i="70"/>
  <c r="C143" i="70"/>
  <c r="B143" i="70"/>
  <c r="A143" i="70"/>
  <c r="J142" i="70"/>
  <c r="I142" i="70"/>
  <c r="H142" i="70"/>
  <c r="G142" i="70"/>
  <c r="F142" i="70"/>
  <c r="E142" i="70"/>
  <c r="D142" i="70"/>
  <c r="C142" i="70"/>
  <c r="B142" i="70"/>
  <c r="A142" i="70"/>
  <c r="J141" i="70"/>
  <c r="I141" i="70"/>
  <c r="H141" i="70"/>
  <c r="G141" i="70"/>
  <c r="F141" i="70"/>
  <c r="E141" i="70"/>
  <c r="D141" i="70"/>
  <c r="C141" i="70"/>
  <c r="B141" i="70"/>
  <c r="A141" i="70"/>
  <c r="J140" i="70"/>
  <c r="I140" i="70"/>
  <c r="H140" i="70"/>
  <c r="G140" i="70"/>
  <c r="F140" i="70"/>
  <c r="E140" i="70"/>
  <c r="D140" i="70"/>
  <c r="C140" i="70"/>
  <c r="B140" i="70"/>
  <c r="A140" i="70"/>
  <c r="J139" i="70"/>
  <c r="I139" i="70"/>
  <c r="H139" i="70"/>
  <c r="G139" i="70"/>
  <c r="F139" i="70"/>
  <c r="E139" i="70"/>
  <c r="D139" i="70"/>
  <c r="C139" i="70"/>
  <c r="B139" i="70"/>
  <c r="A139" i="70"/>
  <c r="J138" i="70"/>
  <c r="I138" i="70"/>
  <c r="H138" i="70"/>
  <c r="G138" i="70"/>
  <c r="F138" i="70"/>
  <c r="E138" i="70"/>
  <c r="D138" i="70"/>
  <c r="C138" i="70"/>
  <c r="B138" i="70"/>
  <c r="A138" i="70"/>
  <c r="J137" i="70"/>
  <c r="I137" i="70"/>
  <c r="H137" i="70"/>
  <c r="G137" i="70"/>
  <c r="F137" i="70"/>
  <c r="E137" i="70"/>
  <c r="D137" i="70"/>
  <c r="C137" i="70"/>
  <c r="B137" i="70"/>
  <c r="A137" i="70"/>
  <c r="J136" i="70"/>
  <c r="I136" i="70"/>
  <c r="H136" i="70"/>
  <c r="G136" i="70"/>
  <c r="F136" i="70"/>
  <c r="E136" i="70"/>
  <c r="D136" i="70"/>
  <c r="C136" i="70"/>
  <c r="B136" i="70"/>
  <c r="A136" i="70"/>
  <c r="J135" i="70"/>
  <c r="I135" i="70"/>
  <c r="H135" i="70"/>
  <c r="G135" i="70"/>
  <c r="F135" i="70"/>
  <c r="E135" i="70"/>
  <c r="D135" i="70"/>
  <c r="C135" i="70"/>
  <c r="B135" i="70"/>
  <c r="A135" i="70"/>
  <c r="J134" i="70"/>
  <c r="I134" i="70"/>
  <c r="H134" i="70"/>
  <c r="G134" i="70"/>
  <c r="F134" i="70"/>
  <c r="E134" i="70"/>
  <c r="D134" i="70"/>
  <c r="C134" i="70"/>
  <c r="B134" i="70"/>
  <c r="A134" i="70"/>
  <c r="J133" i="70"/>
  <c r="I133" i="70"/>
  <c r="H133" i="70"/>
  <c r="G133" i="70"/>
  <c r="F133" i="70"/>
  <c r="E133" i="70"/>
  <c r="D133" i="70"/>
  <c r="C133" i="70"/>
  <c r="B133" i="70"/>
  <c r="A133" i="70"/>
  <c r="J132" i="70"/>
  <c r="I132" i="70"/>
  <c r="H132" i="70"/>
  <c r="G132" i="70"/>
  <c r="F132" i="70"/>
  <c r="E132" i="70"/>
  <c r="D132" i="70"/>
  <c r="C132" i="70"/>
  <c r="B132" i="70"/>
  <c r="A132" i="70"/>
  <c r="J131" i="70"/>
  <c r="I131" i="70"/>
  <c r="H131" i="70"/>
  <c r="G131" i="70"/>
  <c r="F131" i="70"/>
  <c r="E131" i="70"/>
  <c r="D131" i="70"/>
  <c r="C131" i="70"/>
  <c r="B131" i="70"/>
  <c r="A131" i="70"/>
  <c r="J130" i="70"/>
  <c r="I130" i="70"/>
  <c r="H130" i="70"/>
  <c r="G130" i="70"/>
  <c r="F130" i="70"/>
  <c r="E130" i="70"/>
  <c r="D130" i="70"/>
  <c r="C130" i="70"/>
  <c r="B130" i="70"/>
  <c r="A130" i="70"/>
  <c r="J129" i="70"/>
  <c r="I129" i="70"/>
  <c r="H129" i="70"/>
  <c r="G129" i="70"/>
  <c r="F129" i="70"/>
  <c r="E129" i="70"/>
  <c r="D129" i="70"/>
  <c r="C129" i="70"/>
  <c r="B129" i="70"/>
  <c r="A129" i="70"/>
  <c r="J128" i="70"/>
  <c r="I128" i="70"/>
  <c r="H128" i="70"/>
  <c r="G128" i="70"/>
  <c r="F128" i="70"/>
  <c r="E128" i="70"/>
  <c r="D128" i="70"/>
  <c r="C128" i="70"/>
  <c r="B128" i="70"/>
  <c r="A128" i="70"/>
  <c r="J127" i="70"/>
  <c r="I127" i="70"/>
  <c r="H127" i="70"/>
  <c r="G127" i="70"/>
  <c r="F127" i="70"/>
  <c r="E127" i="70"/>
  <c r="D127" i="70"/>
  <c r="C127" i="70"/>
  <c r="B127" i="70"/>
  <c r="A127" i="70"/>
  <c r="J126" i="70"/>
  <c r="I126" i="70"/>
  <c r="H126" i="70"/>
  <c r="G126" i="70"/>
  <c r="F126" i="70"/>
  <c r="E126" i="70"/>
  <c r="D126" i="70"/>
  <c r="C126" i="70"/>
  <c r="B126" i="70"/>
  <c r="A126" i="70"/>
  <c r="J125" i="70"/>
  <c r="I125" i="70"/>
  <c r="H125" i="70"/>
  <c r="G125" i="70"/>
  <c r="F125" i="70"/>
  <c r="E125" i="70"/>
  <c r="D125" i="70"/>
  <c r="C125" i="70"/>
  <c r="B125" i="70"/>
  <c r="A125" i="70"/>
  <c r="J124" i="70"/>
  <c r="I124" i="70"/>
  <c r="H124" i="70"/>
  <c r="G124" i="70"/>
  <c r="F124" i="70"/>
  <c r="E124" i="70"/>
  <c r="D124" i="70"/>
  <c r="C124" i="70"/>
  <c r="B124" i="70"/>
  <c r="A124" i="70"/>
  <c r="J123" i="70"/>
  <c r="I123" i="70"/>
  <c r="H123" i="70"/>
  <c r="G123" i="70"/>
  <c r="F123" i="70"/>
  <c r="E123" i="70"/>
  <c r="D123" i="70"/>
  <c r="C123" i="70"/>
  <c r="B123" i="70"/>
  <c r="A123" i="70"/>
  <c r="J122" i="70"/>
  <c r="I122" i="70"/>
  <c r="H122" i="70"/>
  <c r="G122" i="70"/>
  <c r="F122" i="70"/>
  <c r="E122" i="70"/>
  <c r="D122" i="70"/>
  <c r="C122" i="70"/>
  <c r="B122" i="70"/>
  <c r="A122" i="70"/>
  <c r="J121" i="70"/>
  <c r="I121" i="70"/>
  <c r="H121" i="70"/>
  <c r="G121" i="70"/>
  <c r="F121" i="70"/>
  <c r="E121" i="70"/>
  <c r="D121" i="70"/>
  <c r="C121" i="70"/>
  <c r="B121" i="70"/>
  <c r="A121" i="70"/>
  <c r="J120" i="70"/>
  <c r="I120" i="70"/>
  <c r="H120" i="70"/>
  <c r="G120" i="70"/>
  <c r="F120" i="70"/>
  <c r="E120" i="70"/>
  <c r="D120" i="70"/>
  <c r="C120" i="70"/>
  <c r="B120" i="70"/>
  <c r="A120" i="70"/>
  <c r="J119" i="70"/>
  <c r="I119" i="70"/>
  <c r="H119" i="70"/>
  <c r="G119" i="70"/>
  <c r="F119" i="70"/>
  <c r="E119" i="70"/>
  <c r="D119" i="70"/>
  <c r="C119" i="70"/>
  <c r="B119" i="70"/>
  <c r="A119" i="70"/>
  <c r="J118" i="70"/>
  <c r="I118" i="70"/>
  <c r="H118" i="70"/>
  <c r="G118" i="70"/>
  <c r="F118" i="70"/>
  <c r="E118" i="70"/>
  <c r="D118" i="70"/>
  <c r="C118" i="70"/>
  <c r="B118" i="70"/>
  <c r="A118" i="70"/>
  <c r="J117" i="70"/>
  <c r="I117" i="70"/>
  <c r="H117" i="70"/>
  <c r="G117" i="70"/>
  <c r="F117" i="70"/>
  <c r="E117" i="70"/>
  <c r="D117" i="70"/>
  <c r="C117" i="70"/>
  <c r="B117" i="70"/>
  <c r="A117" i="70"/>
  <c r="J116" i="70"/>
  <c r="I116" i="70"/>
  <c r="H116" i="70"/>
  <c r="G116" i="70"/>
  <c r="F116" i="70"/>
  <c r="E116" i="70"/>
  <c r="D116" i="70"/>
  <c r="C116" i="70"/>
  <c r="B116" i="70"/>
  <c r="A116" i="70"/>
  <c r="J115" i="70"/>
  <c r="I115" i="70"/>
  <c r="H115" i="70"/>
  <c r="G115" i="70"/>
  <c r="F115" i="70"/>
  <c r="E115" i="70"/>
  <c r="D115" i="70"/>
  <c r="C115" i="70"/>
  <c r="B115" i="70"/>
  <c r="A115" i="70"/>
  <c r="J114" i="70"/>
  <c r="I114" i="70"/>
  <c r="H114" i="70"/>
  <c r="G114" i="70"/>
  <c r="F114" i="70"/>
  <c r="E114" i="70"/>
  <c r="D114" i="70"/>
  <c r="C114" i="70"/>
  <c r="B114" i="70"/>
  <c r="A114" i="70"/>
  <c r="J113" i="70"/>
  <c r="I113" i="70"/>
  <c r="H113" i="70"/>
  <c r="G113" i="70"/>
  <c r="F113" i="70"/>
  <c r="E113" i="70"/>
  <c r="D113" i="70"/>
  <c r="C113" i="70"/>
  <c r="B113" i="70"/>
  <c r="A113" i="70"/>
  <c r="J112" i="70"/>
  <c r="I112" i="70"/>
  <c r="H112" i="70"/>
  <c r="G112" i="70"/>
  <c r="F112" i="70"/>
  <c r="E112" i="70"/>
  <c r="D112" i="70"/>
  <c r="C112" i="70"/>
  <c r="B112" i="70"/>
  <c r="A112" i="70"/>
  <c r="J111" i="70"/>
  <c r="I111" i="70"/>
  <c r="H111" i="70"/>
  <c r="G111" i="70"/>
  <c r="F111" i="70"/>
  <c r="E111" i="70"/>
  <c r="D111" i="70"/>
  <c r="C111" i="70"/>
  <c r="B111" i="70"/>
  <c r="A111" i="70"/>
  <c r="J110" i="70"/>
  <c r="I110" i="70"/>
  <c r="H110" i="70"/>
  <c r="G110" i="70"/>
  <c r="F110" i="70"/>
  <c r="E110" i="70"/>
  <c r="D110" i="70"/>
  <c r="C110" i="70"/>
  <c r="B110" i="70"/>
  <c r="A110" i="70"/>
  <c r="J109" i="70"/>
  <c r="I109" i="70"/>
  <c r="H109" i="70"/>
  <c r="G109" i="70"/>
  <c r="F109" i="70"/>
  <c r="E109" i="70"/>
  <c r="D109" i="70"/>
  <c r="C109" i="70"/>
  <c r="B109" i="70"/>
  <c r="A109" i="70"/>
  <c r="J108" i="70"/>
  <c r="I108" i="70"/>
  <c r="H108" i="70"/>
  <c r="G108" i="70"/>
  <c r="F108" i="70"/>
  <c r="E108" i="70"/>
  <c r="D108" i="70"/>
  <c r="C108" i="70"/>
  <c r="B108" i="70"/>
  <c r="A108" i="70"/>
  <c r="J107" i="70"/>
  <c r="I107" i="70"/>
  <c r="H107" i="70"/>
  <c r="G107" i="70"/>
  <c r="F107" i="70"/>
  <c r="E107" i="70"/>
  <c r="D107" i="70"/>
  <c r="C107" i="70"/>
  <c r="B107" i="70"/>
  <c r="A107" i="70"/>
  <c r="J106" i="70"/>
  <c r="I106" i="70"/>
  <c r="H106" i="70"/>
  <c r="G106" i="70"/>
  <c r="F106" i="70"/>
  <c r="E106" i="70"/>
  <c r="D106" i="70"/>
  <c r="C106" i="70"/>
  <c r="B106" i="70"/>
  <c r="A106" i="70"/>
  <c r="J105" i="70"/>
  <c r="I105" i="70"/>
  <c r="H105" i="70"/>
  <c r="G105" i="70"/>
  <c r="F105" i="70"/>
  <c r="E105" i="70"/>
  <c r="D105" i="70"/>
  <c r="C105" i="70"/>
  <c r="B105" i="70"/>
  <c r="A105" i="70"/>
  <c r="J104" i="70"/>
  <c r="I104" i="70"/>
  <c r="H104" i="70"/>
  <c r="G104" i="70"/>
  <c r="F104" i="70"/>
  <c r="E104" i="70"/>
  <c r="D104" i="70"/>
  <c r="C104" i="70"/>
  <c r="B104" i="70"/>
  <c r="A104" i="70"/>
  <c r="J103" i="70"/>
  <c r="I103" i="70"/>
  <c r="H103" i="70"/>
  <c r="G103" i="70"/>
  <c r="F103" i="70"/>
  <c r="E103" i="70"/>
  <c r="D103" i="70"/>
  <c r="C103" i="70"/>
  <c r="B103" i="70"/>
  <c r="A103" i="70"/>
  <c r="J102" i="70"/>
  <c r="I102" i="70"/>
  <c r="H102" i="70"/>
  <c r="G102" i="70"/>
  <c r="F102" i="70"/>
  <c r="E102" i="70"/>
  <c r="D102" i="70"/>
  <c r="C102" i="70"/>
  <c r="B102" i="70"/>
  <c r="A102" i="70"/>
  <c r="J101" i="70"/>
  <c r="I101" i="70"/>
  <c r="H101" i="70"/>
  <c r="G101" i="70"/>
  <c r="F101" i="70"/>
  <c r="E101" i="70"/>
  <c r="D101" i="70"/>
  <c r="C101" i="70"/>
  <c r="B101" i="70"/>
  <c r="A101" i="70"/>
  <c r="J100" i="70"/>
  <c r="I100" i="70"/>
  <c r="H100" i="70"/>
  <c r="G100" i="70"/>
  <c r="F100" i="70"/>
  <c r="E100" i="70"/>
  <c r="D100" i="70"/>
  <c r="C100" i="70"/>
  <c r="B100" i="70"/>
  <c r="A100" i="70"/>
  <c r="J99" i="70"/>
  <c r="I99" i="70"/>
  <c r="H99" i="70"/>
  <c r="G99" i="70"/>
  <c r="F99" i="70"/>
  <c r="E99" i="70"/>
  <c r="D99" i="70"/>
  <c r="C99" i="70"/>
  <c r="B99" i="70"/>
  <c r="A99" i="70"/>
  <c r="J98" i="70"/>
  <c r="I98" i="70"/>
  <c r="H98" i="70"/>
  <c r="G98" i="70"/>
  <c r="F98" i="70"/>
  <c r="E98" i="70"/>
  <c r="D98" i="70"/>
  <c r="C98" i="70"/>
  <c r="B98" i="70"/>
  <c r="A98" i="70"/>
  <c r="J97" i="70"/>
  <c r="I97" i="70"/>
  <c r="H97" i="70"/>
  <c r="G97" i="70"/>
  <c r="F97" i="70"/>
  <c r="E97" i="70"/>
  <c r="D97" i="70"/>
  <c r="C97" i="70"/>
  <c r="B97" i="70"/>
  <c r="A97" i="70"/>
  <c r="J96" i="70"/>
  <c r="I96" i="70"/>
  <c r="H96" i="70"/>
  <c r="G96" i="70"/>
  <c r="F96" i="70"/>
  <c r="E96" i="70"/>
  <c r="D96" i="70"/>
  <c r="C96" i="70"/>
  <c r="B96" i="70"/>
  <c r="A96" i="70"/>
  <c r="J95" i="70"/>
  <c r="I95" i="70"/>
  <c r="H95" i="70"/>
  <c r="G95" i="70"/>
  <c r="F95" i="70"/>
  <c r="E95" i="70"/>
  <c r="D95" i="70"/>
  <c r="C95" i="70"/>
  <c r="B95" i="70"/>
  <c r="A95" i="70"/>
  <c r="J94" i="70"/>
  <c r="I94" i="70"/>
  <c r="H94" i="70"/>
  <c r="G94" i="70"/>
  <c r="F94" i="70"/>
  <c r="E94" i="70"/>
  <c r="D94" i="70"/>
  <c r="C94" i="70"/>
  <c r="B94" i="70"/>
  <c r="A94" i="70"/>
  <c r="J93" i="70"/>
  <c r="I93" i="70"/>
  <c r="H93" i="70"/>
  <c r="G93" i="70"/>
  <c r="F93" i="70"/>
  <c r="E93" i="70"/>
  <c r="D93" i="70"/>
  <c r="C93" i="70"/>
  <c r="B93" i="70"/>
  <c r="A93" i="70"/>
  <c r="J92" i="70"/>
  <c r="I92" i="70"/>
  <c r="H92" i="70"/>
  <c r="G92" i="70"/>
  <c r="F92" i="70"/>
  <c r="E92" i="70"/>
  <c r="D92" i="70"/>
  <c r="C92" i="70"/>
  <c r="B92" i="70"/>
  <c r="A92" i="70"/>
  <c r="J91" i="70"/>
  <c r="I91" i="70"/>
  <c r="H91" i="70"/>
  <c r="G91" i="70"/>
  <c r="F91" i="70"/>
  <c r="E91" i="70"/>
  <c r="D91" i="70"/>
  <c r="C91" i="70"/>
  <c r="B91" i="70"/>
  <c r="A91" i="70"/>
  <c r="J90" i="70"/>
  <c r="I90" i="70"/>
  <c r="H90" i="70"/>
  <c r="G90" i="70"/>
  <c r="F90" i="70"/>
  <c r="E90" i="70"/>
  <c r="D90" i="70"/>
  <c r="C90" i="70"/>
  <c r="B90" i="70"/>
  <c r="A90" i="70"/>
  <c r="J89" i="70"/>
  <c r="I89" i="70"/>
  <c r="H89" i="70"/>
  <c r="G89" i="70"/>
  <c r="F89" i="70"/>
  <c r="E89" i="70"/>
  <c r="D89" i="70"/>
  <c r="C89" i="70"/>
  <c r="B89" i="70"/>
  <c r="A89" i="70"/>
  <c r="J88" i="70"/>
  <c r="I88" i="70"/>
  <c r="H88" i="70"/>
  <c r="G88" i="70"/>
  <c r="F88" i="70"/>
  <c r="E88" i="70"/>
  <c r="D88" i="70"/>
  <c r="C88" i="70"/>
  <c r="B88" i="70"/>
  <c r="A88" i="70"/>
  <c r="J87" i="70"/>
  <c r="I87" i="70"/>
  <c r="H87" i="70"/>
  <c r="G87" i="70"/>
  <c r="F87" i="70"/>
  <c r="E87" i="70"/>
  <c r="D87" i="70"/>
  <c r="C87" i="70"/>
  <c r="B87" i="70"/>
  <c r="A87" i="70"/>
  <c r="J86" i="70"/>
  <c r="I86" i="70"/>
  <c r="H86" i="70"/>
  <c r="G86" i="70"/>
  <c r="F86" i="70"/>
  <c r="E86" i="70"/>
  <c r="D86" i="70"/>
  <c r="C86" i="70"/>
  <c r="B86" i="70"/>
  <c r="A86" i="70"/>
  <c r="J85" i="70"/>
  <c r="I85" i="70"/>
  <c r="H85" i="70"/>
  <c r="G85" i="70"/>
  <c r="F85" i="70"/>
  <c r="E85" i="70"/>
  <c r="D85" i="70"/>
  <c r="C85" i="70"/>
  <c r="B85" i="70"/>
  <c r="A85" i="70"/>
  <c r="J84" i="70"/>
  <c r="I84" i="70"/>
  <c r="H84" i="70"/>
  <c r="G84" i="70"/>
  <c r="F84" i="70"/>
  <c r="E84" i="70"/>
  <c r="D84" i="70"/>
  <c r="C84" i="70"/>
  <c r="B84" i="70"/>
  <c r="A84" i="70"/>
  <c r="J83" i="70"/>
  <c r="I83" i="70"/>
  <c r="H83" i="70"/>
  <c r="G83" i="70"/>
  <c r="F83" i="70"/>
  <c r="E83" i="70"/>
  <c r="D83" i="70"/>
  <c r="C83" i="70"/>
  <c r="B83" i="70"/>
  <c r="A83" i="70"/>
  <c r="J82" i="70"/>
  <c r="I82" i="70"/>
  <c r="H82" i="70"/>
  <c r="G82" i="70"/>
  <c r="F82" i="70"/>
  <c r="E82" i="70"/>
  <c r="D82" i="70"/>
  <c r="C82" i="70"/>
  <c r="B82" i="70"/>
  <c r="A82" i="70"/>
  <c r="J81" i="70"/>
  <c r="I81" i="70"/>
  <c r="H81" i="70"/>
  <c r="G81" i="70"/>
  <c r="F81" i="70"/>
  <c r="E81" i="70"/>
  <c r="D81" i="70"/>
  <c r="C81" i="70"/>
  <c r="B81" i="70"/>
  <c r="A81" i="70"/>
  <c r="J80" i="70"/>
  <c r="I80" i="70"/>
  <c r="H80" i="70"/>
  <c r="G80" i="70"/>
  <c r="F80" i="70"/>
  <c r="E80" i="70"/>
  <c r="D80" i="70"/>
  <c r="C80" i="70"/>
  <c r="B80" i="70"/>
  <c r="A80" i="70"/>
  <c r="J79" i="70"/>
  <c r="I79" i="70"/>
  <c r="H79" i="70"/>
  <c r="G79" i="70"/>
  <c r="F79" i="70"/>
  <c r="E79" i="70"/>
  <c r="D79" i="70"/>
  <c r="C79" i="70"/>
  <c r="B79" i="70"/>
  <c r="A79" i="70"/>
  <c r="J78" i="70"/>
  <c r="I78" i="70"/>
  <c r="H78" i="70"/>
  <c r="G78" i="70"/>
  <c r="F78" i="70"/>
  <c r="E78" i="70"/>
  <c r="D78" i="70"/>
  <c r="C78" i="70"/>
  <c r="B78" i="70"/>
  <c r="A78" i="70"/>
  <c r="J77" i="70"/>
  <c r="I77" i="70"/>
  <c r="H77" i="70"/>
  <c r="G77" i="70"/>
  <c r="F77" i="70"/>
  <c r="E77" i="70"/>
  <c r="D77" i="70"/>
  <c r="C77" i="70"/>
  <c r="B77" i="70"/>
  <c r="A77" i="70"/>
  <c r="J76" i="70"/>
  <c r="I76" i="70"/>
  <c r="H76" i="70"/>
  <c r="G76" i="70"/>
  <c r="F76" i="70"/>
  <c r="E76" i="70"/>
  <c r="D76" i="70"/>
  <c r="C76" i="70"/>
  <c r="B76" i="70"/>
  <c r="A76" i="70"/>
  <c r="J75" i="70"/>
  <c r="I75" i="70"/>
  <c r="H75" i="70"/>
  <c r="G75" i="70"/>
  <c r="F75" i="70"/>
  <c r="E75" i="70"/>
  <c r="D75" i="70"/>
  <c r="C75" i="70"/>
  <c r="B75" i="70"/>
  <c r="A75" i="70"/>
  <c r="J74" i="70"/>
  <c r="I74" i="70"/>
  <c r="H74" i="70"/>
  <c r="G74" i="70"/>
  <c r="F74" i="70"/>
  <c r="E74" i="70"/>
  <c r="D74" i="70"/>
  <c r="C74" i="70"/>
  <c r="B74" i="70"/>
  <c r="A74" i="70"/>
  <c r="J73" i="70"/>
  <c r="I73" i="70"/>
  <c r="H73" i="70"/>
  <c r="G73" i="70"/>
  <c r="F73" i="70"/>
  <c r="E73" i="70"/>
  <c r="D73" i="70"/>
  <c r="C73" i="70"/>
  <c r="B73" i="70"/>
  <c r="A73" i="70"/>
  <c r="J72" i="70"/>
  <c r="I72" i="70"/>
  <c r="H72" i="70"/>
  <c r="G72" i="70"/>
  <c r="F72" i="70"/>
  <c r="E72" i="70"/>
  <c r="D72" i="70"/>
  <c r="C72" i="70"/>
  <c r="B72" i="70"/>
  <c r="A72" i="70"/>
  <c r="J71" i="70"/>
  <c r="I71" i="70"/>
  <c r="H71" i="70"/>
  <c r="G71" i="70"/>
  <c r="F71" i="70"/>
  <c r="E71" i="70"/>
  <c r="D71" i="70"/>
  <c r="C71" i="70"/>
  <c r="B71" i="70"/>
  <c r="A71" i="70"/>
  <c r="J70" i="70"/>
  <c r="I70" i="70"/>
  <c r="H70" i="70"/>
  <c r="G70" i="70"/>
  <c r="F70" i="70"/>
  <c r="E70" i="70"/>
  <c r="D70" i="70"/>
  <c r="C70" i="70"/>
  <c r="B70" i="70"/>
  <c r="A70" i="70"/>
  <c r="J69" i="70"/>
  <c r="I69" i="70"/>
  <c r="H69" i="70"/>
  <c r="G69" i="70"/>
  <c r="F69" i="70"/>
  <c r="E69" i="70"/>
  <c r="D69" i="70"/>
  <c r="C69" i="70"/>
  <c r="B69" i="70"/>
  <c r="A69" i="70"/>
  <c r="J68" i="70"/>
  <c r="I68" i="70"/>
  <c r="H68" i="70"/>
  <c r="G68" i="70"/>
  <c r="F68" i="70"/>
  <c r="E68" i="70"/>
  <c r="D68" i="70"/>
  <c r="C68" i="70"/>
  <c r="B68" i="70"/>
  <c r="A68" i="70"/>
  <c r="J67" i="70"/>
  <c r="I67" i="70"/>
  <c r="H67" i="70"/>
  <c r="G67" i="70"/>
  <c r="F67" i="70"/>
  <c r="E67" i="70"/>
  <c r="D67" i="70"/>
  <c r="C67" i="70"/>
  <c r="B67" i="70"/>
  <c r="A67" i="70"/>
  <c r="J66" i="70"/>
  <c r="I66" i="70"/>
  <c r="H66" i="70"/>
  <c r="G66" i="70"/>
  <c r="F66" i="70"/>
  <c r="E66" i="70"/>
  <c r="D66" i="70"/>
  <c r="C66" i="70"/>
  <c r="B66" i="70"/>
  <c r="A66" i="70"/>
  <c r="J65" i="70"/>
  <c r="I65" i="70"/>
  <c r="H65" i="70"/>
  <c r="G65" i="70"/>
  <c r="F65" i="70"/>
  <c r="E65" i="70"/>
  <c r="D65" i="70"/>
  <c r="C65" i="70"/>
  <c r="B65" i="70"/>
  <c r="A65" i="70"/>
  <c r="J64" i="70"/>
  <c r="I64" i="70"/>
  <c r="H64" i="70"/>
  <c r="G64" i="70"/>
  <c r="F64" i="70"/>
  <c r="E64" i="70"/>
  <c r="D64" i="70"/>
  <c r="C64" i="70"/>
  <c r="B64" i="70"/>
  <c r="A64" i="70"/>
  <c r="J63" i="70"/>
  <c r="I63" i="70"/>
  <c r="H63" i="70"/>
  <c r="G63" i="70"/>
  <c r="F63" i="70"/>
  <c r="E63" i="70"/>
  <c r="D63" i="70"/>
  <c r="C63" i="70"/>
  <c r="B63" i="70"/>
  <c r="A63" i="70"/>
  <c r="J62" i="70"/>
  <c r="I62" i="70"/>
  <c r="H62" i="70"/>
  <c r="G62" i="70"/>
  <c r="F62" i="70"/>
  <c r="E62" i="70"/>
  <c r="D62" i="70"/>
  <c r="C62" i="70"/>
  <c r="B62" i="70"/>
  <c r="A62" i="70"/>
  <c r="J61" i="70"/>
  <c r="I61" i="70"/>
  <c r="H61" i="70"/>
  <c r="G61" i="70"/>
  <c r="F61" i="70"/>
  <c r="E61" i="70"/>
  <c r="D61" i="70"/>
  <c r="C61" i="70"/>
  <c r="B61" i="70"/>
  <c r="A61" i="70"/>
  <c r="J60" i="70"/>
  <c r="I60" i="70"/>
  <c r="H60" i="70"/>
  <c r="G60" i="70"/>
  <c r="F60" i="70"/>
  <c r="E60" i="70"/>
  <c r="D60" i="70"/>
  <c r="C60" i="70"/>
  <c r="B60" i="70"/>
  <c r="A60" i="70"/>
  <c r="J59" i="70"/>
  <c r="I59" i="70"/>
  <c r="H59" i="70"/>
  <c r="G59" i="70"/>
  <c r="F59" i="70"/>
  <c r="E59" i="70"/>
  <c r="D59" i="70"/>
  <c r="C59" i="70"/>
  <c r="B59" i="70"/>
  <c r="A59" i="70"/>
  <c r="J58" i="70"/>
  <c r="I58" i="70"/>
  <c r="H58" i="70"/>
  <c r="G58" i="70"/>
  <c r="F58" i="70"/>
  <c r="E58" i="70"/>
  <c r="D58" i="70"/>
  <c r="C58" i="70"/>
  <c r="B58" i="70"/>
  <c r="A58" i="70"/>
  <c r="J57" i="70"/>
  <c r="I57" i="70"/>
  <c r="H57" i="70"/>
  <c r="G57" i="70"/>
  <c r="F57" i="70"/>
  <c r="E57" i="70"/>
  <c r="D57" i="70"/>
  <c r="C57" i="70"/>
  <c r="B57" i="70"/>
  <c r="A57" i="70"/>
  <c r="J56" i="70"/>
  <c r="I56" i="70"/>
  <c r="H56" i="70"/>
  <c r="G56" i="70"/>
  <c r="F56" i="70"/>
  <c r="E56" i="70"/>
  <c r="D56" i="70"/>
  <c r="C56" i="70"/>
  <c r="B56" i="70"/>
  <c r="A56" i="70"/>
  <c r="J55" i="70"/>
  <c r="I55" i="70"/>
  <c r="H55" i="70"/>
  <c r="G55" i="70"/>
  <c r="F55" i="70"/>
  <c r="E55" i="70"/>
  <c r="D55" i="70"/>
  <c r="C55" i="70"/>
  <c r="B55" i="70"/>
  <c r="A55" i="70"/>
  <c r="J54" i="70"/>
  <c r="I54" i="70"/>
  <c r="H54" i="70"/>
  <c r="G54" i="70"/>
  <c r="F54" i="70"/>
  <c r="E54" i="70"/>
  <c r="D54" i="70"/>
  <c r="C54" i="70"/>
  <c r="B54" i="70"/>
  <c r="A54" i="70"/>
  <c r="J53" i="70"/>
  <c r="I53" i="70"/>
  <c r="H53" i="70"/>
  <c r="G53" i="70"/>
  <c r="F53" i="70"/>
  <c r="E53" i="70"/>
  <c r="D53" i="70"/>
  <c r="C53" i="70"/>
  <c r="B53" i="70"/>
  <c r="A53" i="70"/>
  <c r="J52" i="70"/>
  <c r="I52" i="70"/>
  <c r="H52" i="70"/>
  <c r="G52" i="70"/>
  <c r="F52" i="70"/>
  <c r="E52" i="70"/>
  <c r="D52" i="70"/>
  <c r="C52" i="70"/>
  <c r="B52" i="70"/>
  <c r="A52" i="70"/>
  <c r="J51" i="70"/>
  <c r="I51" i="70"/>
  <c r="H51" i="70"/>
  <c r="G51" i="70"/>
  <c r="F51" i="70"/>
  <c r="E51" i="70"/>
  <c r="D51" i="70"/>
  <c r="C51" i="70"/>
  <c r="B51" i="70"/>
  <c r="A51" i="70"/>
  <c r="J50" i="70"/>
  <c r="I50" i="70"/>
  <c r="H50" i="70"/>
  <c r="G50" i="70"/>
  <c r="F50" i="70"/>
  <c r="E50" i="70"/>
  <c r="D50" i="70"/>
  <c r="C50" i="70"/>
  <c r="B50" i="70"/>
  <c r="A50" i="70"/>
  <c r="J49" i="70"/>
  <c r="I49" i="70"/>
  <c r="H49" i="70"/>
  <c r="G49" i="70"/>
  <c r="F49" i="70"/>
  <c r="E49" i="70"/>
  <c r="D49" i="70"/>
  <c r="C49" i="70"/>
  <c r="B49" i="70"/>
  <c r="A49" i="70"/>
  <c r="J48" i="70"/>
  <c r="I48" i="70"/>
  <c r="H48" i="70"/>
  <c r="G48" i="70"/>
  <c r="F48" i="70"/>
  <c r="E48" i="70"/>
  <c r="D48" i="70"/>
  <c r="C48" i="70"/>
  <c r="B48" i="70"/>
  <c r="A48" i="70"/>
  <c r="J47" i="70"/>
  <c r="I47" i="70"/>
  <c r="H47" i="70"/>
  <c r="G47" i="70"/>
  <c r="F47" i="70"/>
  <c r="E47" i="70"/>
  <c r="D47" i="70"/>
  <c r="C47" i="70"/>
  <c r="B47" i="70"/>
  <c r="A47" i="70"/>
  <c r="J46" i="70"/>
  <c r="I46" i="70"/>
  <c r="H46" i="70"/>
  <c r="G46" i="70"/>
  <c r="F46" i="70"/>
  <c r="E46" i="70"/>
  <c r="D46" i="70"/>
  <c r="C46" i="70"/>
  <c r="B46" i="70"/>
  <c r="A46" i="70"/>
  <c r="J45" i="70"/>
  <c r="I45" i="70"/>
  <c r="H45" i="70"/>
  <c r="G45" i="70"/>
  <c r="F45" i="70"/>
  <c r="E45" i="70"/>
  <c r="D45" i="70"/>
  <c r="C45" i="70"/>
  <c r="B45" i="70"/>
  <c r="A45" i="70"/>
  <c r="J44" i="70"/>
  <c r="I44" i="70"/>
  <c r="H44" i="70"/>
  <c r="G44" i="70"/>
  <c r="F44" i="70"/>
  <c r="E44" i="70"/>
  <c r="D44" i="70"/>
  <c r="C44" i="70"/>
  <c r="B44" i="70"/>
  <c r="A44" i="70"/>
  <c r="J43" i="70"/>
  <c r="I43" i="70"/>
  <c r="H43" i="70"/>
  <c r="G43" i="70"/>
  <c r="F43" i="70"/>
  <c r="E43" i="70"/>
  <c r="D43" i="70"/>
  <c r="C43" i="70"/>
  <c r="B43" i="70"/>
  <c r="A43" i="70"/>
  <c r="J42" i="70"/>
  <c r="I42" i="70"/>
  <c r="H42" i="70"/>
  <c r="G42" i="70"/>
  <c r="F42" i="70"/>
  <c r="E42" i="70"/>
  <c r="D42" i="70"/>
  <c r="C42" i="70"/>
  <c r="B42" i="70"/>
  <c r="A42" i="70"/>
  <c r="J41" i="70"/>
  <c r="I41" i="70"/>
  <c r="H41" i="70"/>
  <c r="G41" i="70"/>
  <c r="F41" i="70"/>
  <c r="E41" i="70"/>
  <c r="D41" i="70"/>
  <c r="C41" i="70"/>
  <c r="B41" i="70"/>
  <c r="A41" i="70"/>
  <c r="J40" i="70"/>
  <c r="I40" i="70"/>
  <c r="H40" i="70"/>
  <c r="G40" i="70"/>
  <c r="F40" i="70"/>
  <c r="E40" i="70"/>
  <c r="D40" i="70"/>
  <c r="C40" i="70"/>
  <c r="B40" i="70"/>
  <c r="A40" i="70"/>
  <c r="J39" i="70"/>
  <c r="I39" i="70"/>
  <c r="H39" i="70"/>
  <c r="G39" i="70"/>
  <c r="F39" i="70"/>
  <c r="E39" i="70"/>
  <c r="D39" i="70"/>
  <c r="C39" i="70"/>
  <c r="B39" i="70"/>
  <c r="A39" i="70"/>
  <c r="J38" i="70"/>
  <c r="I38" i="70"/>
  <c r="H38" i="70"/>
  <c r="G38" i="70"/>
  <c r="F38" i="70"/>
  <c r="E38" i="70"/>
  <c r="D38" i="70"/>
  <c r="C38" i="70"/>
  <c r="B38" i="70"/>
  <c r="A38" i="70"/>
  <c r="J37" i="70"/>
  <c r="I37" i="70"/>
  <c r="H37" i="70"/>
  <c r="G37" i="70"/>
  <c r="F37" i="70"/>
  <c r="E37" i="70"/>
  <c r="D37" i="70"/>
  <c r="C37" i="70"/>
  <c r="B37" i="70"/>
  <c r="J36" i="70"/>
  <c r="I36" i="70"/>
  <c r="H36" i="70"/>
  <c r="G36" i="70"/>
  <c r="F36" i="70"/>
  <c r="E36" i="70"/>
  <c r="D36" i="70"/>
  <c r="C36" i="70"/>
  <c r="B36" i="70"/>
  <c r="A36" i="70"/>
  <c r="J35" i="70"/>
  <c r="I35" i="70"/>
  <c r="H35" i="70"/>
  <c r="G35" i="70"/>
  <c r="F35" i="70"/>
  <c r="E35" i="70"/>
  <c r="D35" i="70"/>
  <c r="C35" i="70"/>
  <c r="B35" i="70"/>
  <c r="A35" i="70"/>
  <c r="J34" i="70"/>
  <c r="I34" i="70"/>
  <c r="H34" i="70"/>
  <c r="G34" i="70"/>
  <c r="F34" i="70"/>
  <c r="E34" i="70"/>
  <c r="D34" i="70"/>
  <c r="C34" i="70"/>
  <c r="B34" i="70"/>
  <c r="A34" i="70"/>
  <c r="J33" i="70"/>
  <c r="I33" i="70"/>
  <c r="H33" i="70"/>
  <c r="G33" i="70"/>
  <c r="F33" i="70"/>
  <c r="E33" i="70"/>
  <c r="D33" i="70"/>
  <c r="C33" i="70"/>
  <c r="B33" i="70"/>
  <c r="A33" i="70"/>
  <c r="J32" i="70"/>
  <c r="I32" i="70"/>
  <c r="H32" i="70"/>
  <c r="G32" i="70"/>
  <c r="F32" i="70"/>
  <c r="E32" i="70"/>
  <c r="D32" i="70"/>
  <c r="C32" i="70"/>
  <c r="B32" i="70"/>
  <c r="A32" i="70"/>
  <c r="J31" i="70"/>
  <c r="I31" i="70"/>
  <c r="H31" i="70"/>
  <c r="G31" i="70"/>
  <c r="F31" i="70"/>
  <c r="E31" i="70"/>
  <c r="D31" i="70"/>
  <c r="C31" i="70"/>
  <c r="B31" i="70"/>
  <c r="A31" i="70"/>
  <c r="J30" i="70"/>
  <c r="I30" i="70"/>
  <c r="H30" i="70"/>
  <c r="G30" i="70"/>
  <c r="F30" i="70"/>
  <c r="E30" i="70"/>
  <c r="D30" i="70"/>
  <c r="C30" i="70"/>
  <c r="B30" i="70"/>
  <c r="A30" i="70"/>
  <c r="J29" i="70"/>
  <c r="I29" i="70"/>
  <c r="H29" i="70"/>
  <c r="G29" i="70"/>
  <c r="F29" i="70"/>
  <c r="E29" i="70"/>
  <c r="D29" i="70"/>
  <c r="C29" i="70"/>
  <c r="B29" i="70"/>
  <c r="A29" i="70"/>
  <c r="J28" i="70"/>
  <c r="I28" i="70"/>
  <c r="H28" i="70"/>
  <c r="G28" i="70"/>
  <c r="F28" i="70"/>
  <c r="E28" i="70"/>
  <c r="D28" i="70"/>
  <c r="C28" i="70"/>
  <c r="B28" i="70"/>
  <c r="A28" i="70"/>
  <c r="J27" i="70"/>
  <c r="I27" i="70"/>
  <c r="H27" i="70"/>
  <c r="G27" i="70"/>
  <c r="F27" i="70"/>
  <c r="E27" i="70"/>
  <c r="D27" i="70"/>
  <c r="C27" i="70"/>
  <c r="B27" i="70"/>
  <c r="A27" i="70"/>
  <c r="J26" i="70"/>
  <c r="I26" i="70"/>
  <c r="H26" i="70"/>
  <c r="G26" i="70"/>
  <c r="F26" i="70"/>
  <c r="E26" i="70"/>
  <c r="D26" i="70"/>
  <c r="C26" i="70"/>
  <c r="B26" i="70"/>
  <c r="A26" i="70"/>
  <c r="J25" i="70"/>
  <c r="I25" i="70"/>
  <c r="H25" i="70"/>
  <c r="G25" i="70"/>
  <c r="F25" i="70"/>
  <c r="E25" i="70"/>
  <c r="D25" i="70"/>
  <c r="C25" i="70"/>
  <c r="B25" i="70"/>
  <c r="A25" i="70"/>
  <c r="J24" i="70"/>
  <c r="I24" i="70"/>
  <c r="H24" i="70"/>
  <c r="G24" i="70"/>
  <c r="F24" i="70"/>
  <c r="E24" i="70"/>
  <c r="D24" i="70"/>
  <c r="C24" i="70"/>
  <c r="B24" i="70"/>
  <c r="A24" i="70"/>
  <c r="J23" i="70"/>
  <c r="I23" i="70"/>
  <c r="H23" i="70"/>
  <c r="G23" i="70"/>
  <c r="F23" i="70"/>
  <c r="E23" i="70"/>
  <c r="D23" i="70"/>
  <c r="C23" i="70"/>
  <c r="B23" i="70"/>
  <c r="A23" i="70"/>
  <c r="J22" i="70"/>
  <c r="I22" i="70"/>
  <c r="H22" i="70"/>
  <c r="G22" i="70"/>
  <c r="F22" i="70"/>
  <c r="E22" i="70"/>
  <c r="D22" i="70"/>
  <c r="C22" i="70"/>
  <c r="B22" i="70"/>
  <c r="A22" i="70"/>
  <c r="J21" i="70"/>
  <c r="I21" i="70"/>
  <c r="H21" i="70"/>
  <c r="G21" i="70"/>
  <c r="F21" i="70"/>
  <c r="E21" i="70"/>
  <c r="D21" i="70"/>
  <c r="C21" i="70"/>
  <c r="B21" i="70"/>
  <c r="A21" i="70"/>
  <c r="J20" i="70"/>
  <c r="I20" i="70"/>
  <c r="H20" i="70"/>
  <c r="G20" i="70"/>
  <c r="F20" i="70"/>
  <c r="E20" i="70"/>
  <c r="D20" i="70"/>
  <c r="C20" i="70"/>
  <c r="B20" i="70"/>
  <c r="A20" i="70"/>
  <c r="J19" i="70"/>
  <c r="I19" i="70"/>
  <c r="H19" i="70"/>
  <c r="G19" i="70"/>
  <c r="F19" i="70"/>
  <c r="E19" i="70"/>
  <c r="D19" i="70"/>
  <c r="C19" i="70"/>
  <c r="B19" i="70"/>
  <c r="A19" i="70"/>
  <c r="J18" i="70"/>
  <c r="I18" i="70"/>
  <c r="H18" i="70"/>
  <c r="G18" i="70"/>
  <c r="F18" i="70"/>
  <c r="E18" i="70"/>
  <c r="D18" i="70"/>
  <c r="C18" i="70"/>
  <c r="B18" i="70"/>
  <c r="A18" i="70"/>
  <c r="J17" i="70"/>
  <c r="I17" i="70"/>
  <c r="H17" i="70"/>
  <c r="G17" i="70"/>
  <c r="F17" i="70"/>
  <c r="E17" i="70"/>
  <c r="D17" i="70"/>
  <c r="C17" i="70"/>
  <c r="B17" i="70"/>
  <c r="A17" i="70"/>
  <c r="J16" i="70"/>
  <c r="I16" i="70"/>
  <c r="H16" i="70"/>
  <c r="G16" i="70"/>
  <c r="F16" i="70"/>
  <c r="E16" i="70"/>
  <c r="D16" i="70"/>
  <c r="C16" i="70"/>
  <c r="B16" i="70"/>
  <c r="A16" i="70"/>
  <c r="J15" i="70"/>
  <c r="I15" i="70"/>
  <c r="H15" i="70"/>
  <c r="G15" i="70"/>
  <c r="F15" i="70"/>
  <c r="E15" i="70"/>
  <c r="D15" i="70"/>
  <c r="C15" i="70"/>
  <c r="B15" i="70"/>
  <c r="A15" i="70"/>
  <c r="J14" i="70"/>
  <c r="I14" i="70"/>
  <c r="H14" i="70"/>
  <c r="G14" i="70"/>
  <c r="F14" i="70"/>
  <c r="E14" i="70"/>
  <c r="D14" i="70"/>
  <c r="C14" i="70"/>
  <c r="B14" i="70"/>
  <c r="A14" i="70"/>
  <c r="J13" i="70"/>
  <c r="I13" i="70"/>
  <c r="H13" i="70"/>
  <c r="G13" i="70"/>
  <c r="F13" i="70"/>
  <c r="E13" i="70"/>
  <c r="D13" i="70"/>
  <c r="C13" i="70"/>
  <c r="B13" i="70"/>
  <c r="A13" i="70"/>
  <c r="J12" i="70"/>
  <c r="I12" i="70"/>
  <c r="H12" i="70"/>
  <c r="G12" i="70"/>
  <c r="F12" i="70"/>
  <c r="E12" i="70"/>
  <c r="D12" i="70"/>
  <c r="C12" i="70"/>
  <c r="B12" i="70"/>
  <c r="A12" i="70"/>
  <c r="J11" i="70"/>
  <c r="I11" i="70"/>
  <c r="H11" i="70"/>
  <c r="G11" i="70"/>
  <c r="F11" i="70"/>
  <c r="E11" i="70"/>
  <c r="D11" i="70"/>
  <c r="C11" i="70"/>
  <c r="B11" i="70"/>
  <c r="A11" i="70"/>
  <c r="J10" i="70"/>
  <c r="I10" i="70"/>
  <c r="H10" i="70"/>
  <c r="G10" i="70"/>
  <c r="F10" i="70"/>
  <c r="E10" i="70"/>
  <c r="D10" i="70"/>
  <c r="C10" i="70"/>
  <c r="B10" i="70"/>
  <c r="A10" i="70"/>
  <c r="J9" i="70"/>
  <c r="I9" i="70"/>
  <c r="H9" i="70"/>
  <c r="G9" i="70"/>
  <c r="F9" i="70"/>
  <c r="E9" i="70"/>
  <c r="D9" i="70"/>
  <c r="C9" i="70"/>
  <c r="B9" i="70"/>
  <c r="A9" i="70"/>
  <c r="I8" i="70"/>
  <c r="H8" i="70"/>
  <c r="G8" i="70"/>
  <c r="F8" i="70"/>
  <c r="E8" i="70"/>
  <c r="D8" i="70"/>
  <c r="C8" i="70"/>
  <c r="A8" i="70"/>
  <c r="J7" i="70"/>
  <c r="I7" i="70"/>
  <c r="H7" i="70"/>
  <c r="G7" i="70"/>
  <c r="F7" i="70"/>
  <c r="E7" i="70"/>
  <c r="D7" i="70"/>
  <c r="C7" i="70"/>
  <c r="B7" i="70"/>
  <c r="A7" i="70"/>
  <c r="C104" i="68"/>
  <c r="C102" i="68"/>
  <c r="C101" i="68"/>
  <c r="C100" i="68"/>
  <c r="C92" i="68"/>
  <c r="C91" i="68"/>
  <c r="C89" i="68"/>
  <c r="C88" i="68"/>
  <c r="C85" i="68"/>
  <c r="C84" i="68"/>
  <c r="C86" i="68" s="1"/>
  <c r="C82" i="68"/>
  <c r="C79" i="68"/>
  <c r="C78" i="68"/>
  <c r="C77" i="68"/>
  <c r="C73" i="68"/>
  <c r="C72" i="68"/>
  <c r="C71" i="68"/>
  <c r="C64" i="68"/>
  <c r="C63" i="68"/>
  <c r="C62" i="68"/>
  <c r="C55" i="68"/>
  <c r="C54" i="68"/>
  <c r="C53" i="68"/>
  <c r="C51" i="68"/>
  <c r="C50" i="68"/>
  <c r="C47" i="68"/>
  <c r="C46" i="68"/>
  <c r="C44" i="68"/>
  <c r="C42" i="68"/>
  <c r="C41" i="68"/>
  <c r="C40" i="68"/>
  <c r="C37" i="68"/>
  <c r="C36" i="68"/>
  <c r="C29" i="68"/>
  <c r="C28" i="68"/>
  <c r="C27" i="68"/>
  <c r="C20" i="68"/>
  <c r="C19" i="68"/>
  <c r="C18" i="68"/>
  <c r="C17" i="68"/>
  <c r="C15" i="68"/>
  <c r="C14" i="68"/>
  <c r="C13" i="68"/>
  <c r="C376" i="69"/>
  <c r="G376" i="69" s="1"/>
  <c r="C375" i="69"/>
  <c r="G375" i="69" s="1"/>
  <c r="C374" i="69"/>
  <c r="G374" i="69" s="1"/>
  <c r="C373" i="69"/>
  <c r="G373" i="69" s="1"/>
  <c r="C372" i="69"/>
  <c r="G372" i="69" s="1"/>
  <c r="C371" i="69"/>
  <c r="G371" i="69" s="1"/>
  <c r="C368" i="69"/>
  <c r="G368" i="69" s="1"/>
  <c r="C367" i="69"/>
  <c r="G367" i="69" s="1"/>
  <c r="C364" i="69"/>
  <c r="G364" i="69" s="1"/>
  <c r="C363" i="69"/>
  <c r="G363" i="69" s="1"/>
  <c r="C361" i="69"/>
  <c r="G361" i="69" s="1"/>
  <c r="C354" i="69"/>
  <c r="G354" i="69" s="1"/>
  <c r="C353" i="69"/>
  <c r="G353" i="69" s="1"/>
  <c r="C352" i="69"/>
  <c r="G352" i="69" s="1"/>
  <c r="G349" i="69"/>
  <c r="C348" i="69"/>
  <c r="G348" i="69" s="1"/>
  <c r="C347" i="69"/>
  <c r="G347" i="69" s="1"/>
  <c r="G346" i="69"/>
  <c r="C345" i="69"/>
  <c r="G345" i="69" s="1"/>
  <c r="C344" i="69"/>
  <c r="G344" i="69" s="1"/>
  <c r="C343" i="69"/>
  <c r="G343" i="69" s="1"/>
  <c r="C342" i="69"/>
  <c r="G342" i="69" s="1"/>
  <c r="C341" i="69"/>
  <c r="G341" i="69" s="1"/>
  <c r="C340" i="69"/>
  <c r="G340" i="69" s="1"/>
  <c r="C339" i="69"/>
  <c r="G339" i="69" s="1"/>
  <c r="C338" i="69"/>
  <c r="G338" i="69" s="1"/>
  <c r="C337" i="69"/>
  <c r="G337" i="69" s="1"/>
  <c r="C334" i="69"/>
  <c r="G334" i="69" s="1"/>
  <c r="C333" i="69"/>
  <c r="G333" i="69" s="1"/>
  <c r="C332" i="69"/>
  <c r="G332" i="69" s="1"/>
  <c r="C331" i="69"/>
  <c r="G331" i="69" s="1"/>
  <c r="C330" i="69"/>
  <c r="G330" i="69" s="1"/>
  <c r="C329" i="69"/>
  <c r="G329" i="69" s="1"/>
  <c r="C328" i="69"/>
  <c r="G328" i="69" s="1"/>
  <c r="C327" i="69"/>
  <c r="G327" i="69" s="1"/>
  <c r="C326" i="69"/>
  <c r="G326" i="69" s="1"/>
  <c r="C325" i="69"/>
  <c r="G325" i="69" s="1"/>
  <c r="C324" i="69"/>
  <c r="G324" i="69" s="1"/>
  <c r="C323" i="69"/>
  <c r="G323" i="69" s="1"/>
  <c r="N325" i="69" s="1"/>
  <c r="C319" i="69"/>
  <c r="G319" i="69" s="1"/>
  <c r="C318" i="69"/>
  <c r="G318" i="69" s="1"/>
  <c r="C317" i="69"/>
  <c r="G317" i="69" s="1"/>
  <c r="C316" i="69"/>
  <c r="G316" i="69" s="1"/>
  <c r="C315" i="69"/>
  <c r="G315" i="69" s="1"/>
  <c r="C314" i="69"/>
  <c r="G314" i="69" s="1"/>
  <c r="C312" i="69"/>
  <c r="G312" i="69" s="1"/>
  <c r="C311" i="69"/>
  <c r="G311" i="69" s="1"/>
  <c r="C310" i="69"/>
  <c r="G310" i="69" s="1"/>
  <c r="C309" i="69"/>
  <c r="G309" i="69" s="1"/>
  <c r="C308" i="69"/>
  <c r="G308" i="69" s="1"/>
  <c r="C307" i="69"/>
  <c r="G307" i="69" s="1"/>
  <c r="C306" i="69"/>
  <c r="G306" i="69" s="1"/>
  <c r="C305" i="69"/>
  <c r="G305" i="69" s="1"/>
  <c r="C304" i="69"/>
  <c r="G304" i="69" s="1"/>
  <c r="C303" i="69"/>
  <c r="G303" i="69" s="1"/>
  <c r="C302" i="69"/>
  <c r="G302" i="69" s="1"/>
  <c r="C301" i="69"/>
  <c r="G301" i="69" s="1"/>
  <c r="C300" i="69"/>
  <c r="G300" i="69" s="1"/>
  <c r="C299" i="69"/>
  <c r="G299" i="69" s="1"/>
  <c r="C296" i="69"/>
  <c r="G296" i="69" s="1"/>
  <c r="C292" i="69"/>
  <c r="G292" i="69" s="1"/>
  <c r="C291" i="69"/>
  <c r="G291" i="69" s="1"/>
  <c r="C290" i="69"/>
  <c r="G290" i="69" s="1"/>
  <c r="C289" i="69"/>
  <c r="G289" i="69" s="1"/>
  <c r="C288" i="69"/>
  <c r="G288" i="69" s="1"/>
  <c r="C287" i="69"/>
  <c r="G287" i="69" s="1"/>
  <c r="G284" i="69"/>
  <c r="C283" i="69"/>
  <c r="G283" i="69" s="1"/>
  <c r="C282" i="69"/>
  <c r="G282" i="69" s="1"/>
  <c r="G281" i="69"/>
  <c r="C280" i="69"/>
  <c r="G280" i="69" s="1"/>
  <c r="C279" i="69"/>
  <c r="G279" i="69" s="1"/>
  <c r="C278" i="69"/>
  <c r="G278" i="69" s="1"/>
  <c r="C277" i="69"/>
  <c r="G277" i="69" s="1"/>
  <c r="C276" i="69"/>
  <c r="G276" i="69" s="1"/>
  <c r="C275" i="69"/>
  <c r="G275" i="69" s="1"/>
  <c r="C274" i="69"/>
  <c r="G274" i="69" s="1"/>
  <c r="C273" i="69"/>
  <c r="G273" i="69" s="1"/>
  <c r="C272" i="69"/>
  <c r="G272" i="69" s="1"/>
  <c r="C269" i="69"/>
  <c r="G269" i="69" s="1"/>
  <c r="C268" i="69"/>
  <c r="G268" i="69" s="1"/>
  <c r="C267" i="69"/>
  <c r="G267" i="69" s="1"/>
  <c r="C266" i="69"/>
  <c r="G266" i="69" s="1"/>
  <c r="C265" i="69"/>
  <c r="G265" i="69" s="1"/>
  <c r="C264" i="69"/>
  <c r="G264" i="69" s="1"/>
  <c r="C263" i="69"/>
  <c r="G263" i="69" s="1"/>
  <c r="C262" i="69"/>
  <c r="G262" i="69" s="1"/>
  <c r="C261" i="69"/>
  <c r="G261" i="69" s="1"/>
  <c r="C260" i="69"/>
  <c r="G260" i="69" s="1"/>
  <c r="C259" i="69"/>
  <c r="G259" i="69" s="1"/>
  <c r="C255" i="69"/>
  <c r="G255" i="69" s="1"/>
  <c r="C254" i="69"/>
  <c r="G254" i="69" s="1"/>
  <c r="C253" i="69"/>
  <c r="G253" i="69" s="1"/>
  <c r="C250" i="69"/>
  <c r="G250" i="69" s="1"/>
  <c r="C249" i="69"/>
  <c r="G249" i="69" s="1"/>
  <c r="C247" i="69"/>
  <c r="G247" i="69" s="1"/>
  <c r="C241" i="69"/>
  <c r="G241" i="69" s="1"/>
  <c r="C240" i="69"/>
  <c r="G240" i="69" s="1"/>
  <c r="C239" i="69"/>
  <c r="G239" i="69" s="1"/>
  <c r="C238" i="69"/>
  <c r="G238" i="69" s="1"/>
  <c r="C237" i="69"/>
  <c r="G237" i="69" s="1"/>
  <c r="C236" i="69"/>
  <c r="G236" i="69" s="1"/>
  <c r="C235" i="69"/>
  <c r="G235" i="69" s="1"/>
  <c r="C234" i="69"/>
  <c r="G234" i="69" s="1"/>
  <c r="C233" i="69"/>
  <c r="G233" i="69" s="1"/>
  <c r="C232" i="69"/>
  <c r="G232" i="69" s="1"/>
  <c r="C231" i="69"/>
  <c r="G231" i="69" s="1"/>
  <c r="C230" i="69"/>
  <c r="G230" i="69" s="1"/>
  <c r="C229" i="69"/>
  <c r="G229" i="69" s="1"/>
  <c r="C227" i="69"/>
  <c r="G227" i="69" s="1"/>
  <c r="C224" i="69"/>
  <c r="G224" i="69" s="1"/>
  <c r="C223" i="69"/>
  <c r="G223" i="69" s="1"/>
  <c r="C222" i="69"/>
  <c r="G222" i="69" s="1"/>
  <c r="C221" i="69"/>
  <c r="G221" i="69" s="1"/>
  <c r="C220" i="69"/>
  <c r="G220" i="69" s="1"/>
  <c r="C219" i="69"/>
  <c r="G219" i="69" s="1"/>
  <c r="C218" i="69"/>
  <c r="G218" i="69" s="1"/>
  <c r="C217" i="69"/>
  <c r="G217" i="69" s="1"/>
  <c r="C216" i="69"/>
  <c r="G216" i="69" s="1"/>
  <c r="C209" i="69"/>
  <c r="G209" i="69" s="1"/>
  <c r="C208" i="69"/>
  <c r="G208" i="69" s="1"/>
  <c r="C207" i="69"/>
  <c r="G207" i="69" s="1"/>
  <c r="C206" i="69"/>
  <c r="G206" i="69" s="1"/>
  <c r="C205" i="69"/>
  <c r="G205" i="69" s="1"/>
  <c r="C204" i="69"/>
  <c r="G204" i="69" s="1"/>
  <c r="C203" i="69"/>
  <c r="G203" i="69" s="1"/>
  <c r="G210" i="69" s="1"/>
  <c r="C200" i="69"/>
  <c r="G200" i="69" s="1"/>
  <c r="C199" i="69"/>
  <c r="G199" i="69" s="1"/>
  <c r="C198" i="69"/>
  <c r="G198" i="69" s="1"/>
  <c r="C195" i="69"/>
  <c r="G195" i="69" s="1"/>
  <c r="C194" i="69"/>
  <c r="G194" i="69" s="1"/>
  <c r="C193" i="69"/>
  <c r="G193" i="69" s="1"/>
  <c r="C192" i="69"/>
  <c r="G192" i="69" s="1"/>
  <c r="C191" i="69"/>
  <c r="G191" i="69" s="1"/>
  <c r="C190" i="69"/>
  <c r="G190" i="69" s="1"/>
  <c r="C189" i="69"/>
  <c r="G189" i="69" s="1"/>
  <c r="C188" i="69"/>
  <c r="G188" i="69" s="1"/>
  <c r="C187" i="69"/>
  <c r="G187" i="69" s="1"/>
  <c r="C186" i="69"/>
  <c r="G186" i="69" s="1"/>
  <c r="C185" i="69"/>
  <c r="G185" i="69" s="1"/>
  <c r="C184" i="69"/>
  <c r="G184" i="69" s="1"/>
  <c r="C183" i="69"/>
  <c r="G183" i="69" s="1"/>
  <c r="C182" i="69"/>
  <c r="G182" i="69" s="1"/>
  <c r="C181" i="69"/>
  <c r="G181" i="69" s="1"/>
  <c r="G196" i="69" s="1"/>
  <c r="C177" i="69"/>
  <c r="G177" i="69" s="1"/>
  <c r="C176" i="69"/>
  <c r="G176" i="69" s="1"/>
  <c r="C175" i="69"/>
  <c r="G175" i="69" s="1"/>
  <c r="C174" i="69"/>
  <c r="G174" i="69" s="1"/>
  <c r="C173" i="69"/>
  <c r="G173" i="69" s="1"/>
  <c r="C172" i="69"/>
  <c r="G172" i="69" s="1"/>
  <c r="G178" i="69" s="1"/>
  <c r="C171" i="69"/>
  <c r="G171" i="69" s="1"/>
  <c r="C170" i="69"/>
  <c r="G170" i="69" s="1"/>
  <c r="C169" i="69"/>
  <c r="G169" i="69" s="1"/>
  <c r="C168" i="69"/>
  <c r="G168" i="69" s="1"/>
  <c r="C167" i="69"/>
  <c r="G167" i="69" s="1"/>
  <c r="C166" i="69"/>
  <c r="G166" i="69" s="1"/>
  <c r="C165" i="69"/>
  <c r="G165" i="69" s="1"/>
  <c r="C161" i="69"/>
  <c r="G161" i="69" s="1"/>
  <c r="C160" i="69"/>
  <c r="G160" i="69" s="1"/>
  <c r="C159" i="69"/>
  <c r="G159" i="69" s="1"/>
  <c r="C158" i="69"/>
  <c r="G158" i="69" s="1"/>
  <c r="C157" i="69"/>
  <c r="G157" i="69" s="1"/>
  <c r="C156" i="69"/>
  <c r="G156" i="69" s="1"/>
  <c r="C154" i="69"/>
  <c r="G154" i="69" s="1"/>
  <c r="C153" i="69"/>
  <c r="G153" i="69" s="1"/>
  <c r="C152" i="69"/>
  <c r="G152" i="69" s="1"/>
  <c r="C151" i="69"/>
  <c r="G151" i="69" s="1"/>
  <c r="C150" i="69"/>
  <c r="G150" i="69" s="1"/>
  <c r="C149" i="69"/>
  <c r="G149" i="69" s="1"/>
  <c r="C148" i="69"/>
  <c r="G148" i="69" s="1"/>
  <c r="C147" i="69"/>
  <c r="G147" i="69" s="1"/>
  <c r="C146" i="69"/>
  <c r="G146" i="69" s="1"/>
  <c r="C145" i="69"/>
  <c r="G145" i="69" s="1"/>
  <c r="C144" i="69"/>
  <c r="G144" i="69" s="1"/>
  <c r="G155" i="69" s="1"/>
  <c r="C143" i="69"/>
  <c r="G143" i="69" s="1"/>
  <c r="C142" i="69"/>
  <c r="G142" i="69" s="1"/>
  <c r="C141" i="69"/>
  <c r="G141" i="69" s="1"/>
  <c r="C138" i="69"/>
  <c r="G138" i="69" s="1"/>
  <c r="C134" i="69"/>
  <c r="G134" i="69" s="1"/>
  <c r="C133" i="69"/>
  <c r="G133" i="69" s="1"/>
  <c r="C132" i="69"/>
  <c r="G132" i="69" s="1"/>
  <c r="C131" i="69"/>
  <c r="G131" i="69" s="1"/>
  <c r="C130" i="69"/>
  <c r="G130" i="69" s="1"/>
  <c r="C129" i="69"/>
  <c r="G129" i="69" s="1"/>
  <c r="G127" i="69"/>
  <c r="C126" i="69"/>
  <c r="G126" i="69" s="1"/>
  <c r="C125" i="69"/>
  <c r="G125" i="69" s="1"/>
  <c r="G124" i="69"/>
  <c r="C123" i="69"/>
  <c r="G123" i="69" s="1"/>
  <c r="C122" i="69"/>
  <c r="G122" i="69" s="1"/>
  <c r="C121" i="69"/>
  <c r="G121" i="69" s="1"/>
  <c r="C120" i="69"/>
  <c r="G120" i="69" s="1"/>
  <c r="C119" i="69"/>
  <c r="G119" i="69" s="1"/>
  <c r="C118" i="69"/>
  <c r="G118" i="69" s="1"/>
  <c r="C117" i="69"/>
  <c r="G117" i="69" s="1"/>
  <c r="C116" i="69"/>
  <c r="G116" i="69" s="1"/>
  <c r="C115" i="69"/>
  <c r="G115" i="69" s="1"/>
  <c r="C111" i="69"/>
  <c r="G111" i="69" s="1"/>
  <c r="C110" i="69"/>
  <c r="G110" i="69" s="1"/>
  <c r="C109" i="69"/>
  <c r="G109" i="69" s="1"/>
  <c r="C108" i="69"/>
  <c r="G108" i="69" s="1"/>
  <c r="C105" i="69"/>
  <c r="G105" i="69" s="1"/>
  <c r="C104" i="69"/>
  <c r="G104" i="69" s="1"/>
  <c r="C103" i="69"/>
  <c r="G103" i="69" s="1"/>
  <c r="C102" i="69"/>
  <c r="G102" i="69" s="1"/>
  <c r="C101" i="69"/>
  <c r="G101" i="69" s="1"/>
  <c r="C100" i="69"/>
  <c r="G100" i="69" s="1"/>
  <c r="C99" i="69"/>
  <c r="G99" i="69" s="1"/>
  <c r="C98" i="69"/>
  <c r="G98" i="69" s="1"/>
  <c r="C97" i="69"/>
  <c r="G97" i="69" s="1"/>
  <c r="C96" i="69"/>
  <c r="G96" i="69" s="1"/>
  <c r="C95" i="69"/>
  <c r="G95" i="69" s="1"/>
  <c r="C92" i="69"/>
  <c r="G92" i="69" s="1"/>
  <c r="C89" i="69"/>
  <c r="G89" i="69" s="1"/>
  <c r="C88" i="69"/>
  <c r="G88" i="69" s="1"/>
  <c r="C87" i="69"/>
  <c r="G87" i="69" s="1"/>
  <c r="C86" i="69"/>
  <c r="G86" i="69" s="1"/>
  <c r="C85" i="69"/>
  <c r="G85" i="69" s="1"/>
  <c r="C84" i="69"/>
  <c r="G84" i="69" s="1"/>
  <c r="C83" i="69"/>
  <c r="G83" i="69" s="1"/>
  <c r="C82" i="69"/>
  <c r="G82" i="69" s="1"/>
  <c r="C81" i="69"/>
  <c r="G81" i="69" s="1"/>
  <c r="C74" i="69"/>
  <c r="G74" i="69" s="1"/>
  <c r="C73" i="69"/>
  <c r="G73" i="69" s="1"/>
  <c r="C72" i="69"/>
  <c r="G72" i="69" s="1"/>
  <c r="C71" i="69"/>
  <c r="G71" i="69" s="1"/>
  <c r="C70" i="69"/>
  <c r="G70" i="69" s="1"/>
  <c r="C69" i="69"/>
  <c r="G69" i="69" s="1"/>
  <c r="C68" i="69"/>
  <c r="G68" i="69" s="1"/>
  <c r="C67" i="69"/>
  <c r="G67" i="69" s="1"/>
  <c r="C66" i="69"/>
  <c r="G66" i="69" s="1"/>
  <c r="C65" i="69"/>
  <c r="G65" i="69" s="1"/>
  <c r="C64" i="69"/>
  <c r="G64" i="69" s="1"/>
  <c r="C63" i="69"/>
  <c r="G63" i="69" s="1"/>
  <c r="C62" i="69"/>
  <c r="G62" i="69" s="1"/>
  <c r="B60" i="69"/>
  <c r="C60" i="69" s="1"/>
  <c r="G60" i="69" s="1"/>
  <c r="C57" i="69"/>
  <c r="G57" i="69" s="1"/>
  <c r="C56" i="69"/>
  <c r="G56" i="69" s="1"/>
  <c r="C55" i="69"/>
  <c r="G55" i="69" s="1"/>
  <c r="C54" i="69"/>
  <c r="G54" i="69" s="1"/>
  <c r="C53" i="69"/>
  <c r="G53" i="69" s="1"/>
  <c r="C52" i="69"/>
  <c r="G52" i="69" s="1"/>
  <c r="C51" i="69"/>
  <c r="G51" i="69" s="1"/>
  <c r="C50" i="69"/>
  <c r="G50" i="69" s="1"/>
  <c r="C49" i="69"/>
  <c r="G49" i="69" s="1"/>
  <c r="C44" i="69"/>
  <c r="G44" i="69" s="1"/>
  <c r="C41" i="69"/>
  <c r="G41" i="69" s="1"/>
  <c r="C40" i="69"/>
  <c r="G40" i="69" s="1"/>
  <c r="G39" i="69"/>
  <c r="C38" i="69"/>
  <c r="G38" i="69" s="1"/>
  <c r="C36" i="69"/>
  <c r="G36" i="69" s="1"/>
  <c r="C35" i="69"/>
  <c r="G35" i="69" s="1"/>
  <c r="G37" i="69" s="1"/>
  <c r="N36" i="69" s="1"/>
  <c r="C32" i="69"/>
  <c r="G32" i="69" s="1"/>
  <c r="C31" i="69"/>
  <c r="G31" i="69" s="1"/>
  <c r="C30" i="69"/>
  <c r="G30" i="69" s="1"/>
  <c r="C29" i="69"/>
  <c r="G29" i="69" s="1"/>
  <c r="C28" i="69"/>
  <c r="G28" i="69" s="1"/>
  <c r="C27" i="69"/>
  <c r="G27" i="69" s="1"/>
  <c r="C26" i="69"/>
  <c r="G26" i="69" s="1"/>
  <c r="C25" i="69"/>
  <c r="G25" i="69" s="1"/>
  <c r="C24" i="69"/>
  <c r="G24" i="69" s="1"/>
  <c r="C22" i="69"/>
  <c r="G22" i="69" s="1"/>
  <c r="C19" i="69"/>
  <c r="G19" i="69" s="1"/>
  <c r="C18" i="69"/>
  <c r="G18" i="69" s="1"/>
  <c r="C17" i="69"/>
  <c r="G17" i="69" s="1"/>
  <c r="C16" i="69"/>
  <c r="G16" i="69" s="1"/>
  <c r="C13" i="69"/>
  <c r="G13" i="69" s="1"/>
  <c r="C12" i="69"/>
  <c r="G12" i="69" s="1"/>
  <c r="G14" i="69" s="1"/>
  <c r="C11" i="69"/>
  <c r="G11" i="69" s="1"/>
  <c r="M12" i="67"/>
  <c r="N12" i="67" s="1"/>
  <c r="O12" i="67" s="1"/>
  <c r="A4" i="67"/>
  <c r="M39" i="67"/>
  <c r="N39" i="67" s="1"/>
  <c r="O39" i="67" s="1"/>
  <c r="M38" i="67"/>
  <c r="N38" i="67" s="1"/>
  <c r="O38" i="67" s="1"/>
  <c r="M37" i="67"/>
  <c r="N37" i="67" s="1"/>
  <c r="O37" i="67" s="1"/>
  <c r="M36" i="67"/>
  <c r="N36" i="67"/>
  <c r="O36" i="67" s="1"/>
  <c r="M35" i="67"/>
  <c r="N35" i="67" s="1"/>
  <c r="O35" i="67" s="1"/>
  <c r="C34" i="67"/>
  <c r="H23" i="67"/>
  <c r="M23" i="67" s="1"/>
  <c r="N23" i="67"/>
  <c r="O23" i="67" s="1"/>
  <c r="H18" i="67"/>
  <c r="M18" i="67" s="1"/>
  <c r="N18" i="67"/>
  <c r="O18" i="67" s="1"/>
  <c r="M34" i="67"/>
  <c r="M32" i="67"/>
  <c r="N32" i="67" s="1"/>
  <c r="O32" i="67" s="1"/>
  <c r="M31" i="67"/>
  <c r="N31" i="67" s="1"/>
  <c r="O31" i="67"/>
  <c r="M30" i="67"/>
  <c r="N30" i="67" s="1"/>
  <c r="O30" i="67" s="1"/>
  <c r="M29" i="67"/>
  <c r="N29" i="67" s="1"/>
  <c r="O29" i="67" s="1"/>
  <c r="M28" i="67"/>
  <c r="N28" i="67" s="1"/>
  <c r="O28" i="67" s="1"/>
  <c r="M27" i="67"/>
  <c r="N27" i="67" s="1"/>
  <c r="O27" i="67"/>
  <c r="M25" i="67"/>
  <c r="N25" i="67" s="1"/>
  <c r="O25" i="67" s="1"/>
  <c r="M24" i="67"/>
  <c r="N24" i="67" s="1"/>
  <c r="O24" i="67" s="1"/>
  <c r="M22" i="67"/>
  <c r="N22" i="67" s="1"/>
  <c r="O22" i="67" s="1"/>
  <c r="M21" i="67"/>
  <c r="N21" i="67" s="1"/>
  <c r="O21" i="67"/>
  <c r="M20" i="67"/>
  <c r="N20" i="67" s="1"/>
  <c r="O20" i="67" s="1"/>
  <c r="M19" i="67"/>
  <c r="N19" i="67" s="1"/>
  <c r="O19" i="67" s="1"/>
  <c r="M17" i="67"/>
  <c r="N17" i="67" s="1"/>
  <c r="O17" i="67" s="1"/>
  <c r="M16" i="67"/>
  <c r="N16" i="67" s="1"/>
  <c r="O16" i="67"/>
  <c r="M14" i="67"/>
  <c r="N14" i="67" s="1"/>
  <c r="O14" i="67" s="1"/>
  <c r="E15" i="67"/>
  <c r="M15" i="67" s="1"/>
  <c r="N15" i="67" s="1"/>
  <c r="O15" i="67" s="1"/>
  <c r="O33" i="67"/>
  <c r="F26" i="67"/>
  <c r="M26" i="67" s="1"/>
  <c r="N26" i="67" s="1"/>
  <c r="O26" i="67" s="1"/>
  <c r="F13" i="67"/>
  <c r="M13" i="67" s="1"/>
  <c r="N13" i="67" s="1"/>
  <c r="P68" i="58"/>
  <c r="M68" i="58"/>
  <c r="N68" i="58" s="1"/>
  <c r="L68" i="58"/>
  <c r="J68" i="58"/>
  <c r="P67" i="58"/>
  <c r="M67" i="58"/>
  <c r="N67" i="58" s="1"/>
  <c r="L67" i="58"/>
  <c r="J67" i="58"/>
  <c r="P66" i="58"/>
  <c r="M66" i="58"/>
  <c r="N66" i="58" s="1"/>
  <c r="L66" i="58"/>
  <c r="J66" i="58"/>
  <c r="P65" i="58"/>
  <c r="M65" i="58"/>
  <c r="N65" i="58" s="1"/>
  <c r="L65" i="58"/>
  <c r="J65" i="58"/>
  <c r="M64" i="58"/>
  <c r="O64" i="58" s="1"/>
  <c r="P64" i="58" s="1"/>
  <c r="L64" i="58"/>
  <c r="J64" i="58"/>
  <c r="M62" i="58"/>
  <c r="N62" i="58" s="1"/>
  <c r="L62" i="58"/>
  <c r="J62" i="58"/>
  <c r="M61" i="58"/>
  <c r="N61" i="58" s="1"/>
  <c r="L61" i="58"/>
  <c r="J61" i="58"/>
  <c r="M60" i="58"/>
  <c r="N60" i="58" s="1"/>
  <c r="L60" i="58"/>
  <c r="J60" i="58"/>
  <c r="M59" i="58"/>
  <c r="O59" i="58" s="1"/>
  <c r="P59" i="58" s="1"/>
  <c r="L59" i="58"/>
  <c r="J59" i="58"/>
  <c r="M58" i="58"/>
  <c r="O58" i="58" s="1"/>
  <c r="P58" i="58" s="1"/>
  <c r="L58" i="58"/>
  <c r="J58" i="58"/>
  <c r="M57" i="58"/>
  <c r="O57" i="58" s="1"/>
  <c r="P57" i="58" s="1"/>
  <c r="L57" i="58"/>
  <c r="J57" i="58"/>
  <c r="M56" i="58"/>
  <c r="L56" i="58"/>
  <c r="J56" i="58"/>
  <c r="J55" i="58"/>
  <c r="M54" i="58"/>
  <c r="O54" i="58"/>
  <c r="P54" i="58" s="1"/>
  <c r="L54" i="58"/>
  <c r="J54" i="58"/>
  <c r="M53" i="58"/>
  <c r="L53" i="58"/>
  <c r="J53" i="58"/>
  <c r="M52" i="58"/>
  <c r="O52" i="58" s="1"/>
  <c r="P52" i="58" s="1"/>
  <c r="L52" i="58"/>
  <c r="J52" i="58"/>
  <c r="M51" i="58"/>
  <c r="N51" i="58" s="1"/>
  <c r="L51" i="58"/>
  <c r="J51" i="58"/>
  <c r="M50" i="58"/>
  <c r="O50" i="58" s="1"/>
  <c r="P50" i="58" s="1"/>
  <c r="L50" i="58"/>
  <c r="J50" i="58"/>
  <c r="M49" i="58"/>
  <c r="L49" i="58"/>
  <c r="J49" i="58"/>
  <c r="M48" i="58"/>
  <c r="O48" i="58" s="1"/>
  <c r="P48" i="58" s="1"/>
  <c r="L48" i="58"/>
  <c r="J48" i="58"/>
  <c r="M47" i="58"/>
  <c r="O47" i="58" s="1"/>
  <c r="P47" i="58" s="1"/>
  <c r="L47" i="58"/>
  <c r="J47" i="58"/>
  <c r="M46" i="58"/>
  <c r="O46" i="58" s="1"/>
  <c r="P46" i="58" s="1"/>
  <c r="L46" i="58"/>
  <c r="J46" i="58"/>
  <c r="M45" i="58"/>
  <c r="N45" i="58" s="1"/>
  <c r="L45" i="58"/>
  <c r="J45" i="58"/>
  <c r="M43" i="58"/>
  <c r="O43" i="58" s="1"/>
  <c r="P43" i="58" s="1"/>
  <c r="L43" i="58"/>
  <c r="J43" i="58"/>
  <c r="M42" i="58"/>
  <c r="O42" i="58" s="1"/>
  <c r="P42" i="58" s="1"/>
  <c r="L42" i="58"/>
  <c r="J42" i="58"/>
  <c r="M41" i="58"/>
  <c r="N41" i="58"/>
  <c r="L41" i="58"/>
  <c r="J41" i="58"/>
  <c r="M40" i="58"/>
  <c r="N40" i="58"/>
  <c r="L40" i="58"/>
  <c r="J40" i="58"/>
  <c r="M39" i="58"/>
  <c r="L39" i="58"/>
  <c r="J39" i="58"/>
  <c r="M38" i="58"/>
  <c r="L38" i="58"/>
  <c r="J38" i="58"/>
  <c r="M37" i="58"/>
  <c r="L37" i="58"/>
  <c r="J37" i="58"/>
  <c r="M36" i="58"/>
  <c r="O36" i="58" s="1"/>
  <c r="P36" i="58" s="1"/>
  <c r="L36" i="58"/>
  <c r="J36" i="58"/>
  <c r="M35" i="58"/>
  <c r="O35" i="58" s="1"/>
  <c r="L35" i="58"/>
  <c r="J35" i="58"/>
  <c r="M34" i="58"/>
  <c r="L34" i="58"/>
  <c r="J34" i="58"/>
  <c r="M33" i="58"/>
  <c r="L33" i="58"/>
  <c r="J33" i="58"/>
  <c r="M32" i="58"/>
  <c r="N32" i="58" s="1"/>
  <c r="L32" i="58"/>
  <c r="J32" i="58"/>
  <c r="M31" i="58"/>
  <c r="N31" i="58" s="1"/>
  <c r="L31" i="58"/>
  <c r="J31" i="58"/>
  <c r="M29" i="58"/>
  <c r="N29" i="58" s="1"/>
  <c r="L29" i="58"/>
  <c r="J29" i="58"/>
  <c r="M28" i="58"/>
  <c r="O28" i="58" s="1"/>
  <c r="P28" i="58" s="1"/>
  <c r="L28" i="58"/>
  <c r="J28" i="58"/>
  <c r="M27" i="58"/>
  <c r="O27" i="58" s="1"/>
  <c r="P27" i="58" s="1"/>
  <c r="L27" i="58"/>
  <c r="J27" i="58"/>
  <c r="M26" i="58"/>
  <c r="L26" i="58"/>
  <c r="J26" i="58"/>
  <c r="J25" i="58"/>
  <c r="M24" i="58"/>
  <c r="N24" i="58"/>
  <c r="L24" i="58"/>
  <c r="J24" i="58"/>
  <c r="M23" i="58"/>
  <c r="O23" i="58"/>
  <c r="P23" i="58" s="1"/>
  <c r="L23" i="58"/>
  <c r="J23" i="58"/>
  <c r="M22" i="58"/>
  <c r="L22" i="58"/>
  <c r="J22" i="58"/>
  <c r="M21" i="58"/>
  <c r="O21" i="58" s="1"/>
  <c r="P21" i="58" s="1"/>
  <c r="L21" i="58"/>
  <c r="J21" i="58"/>
  <c r="M19" i="58"/>
  <c r="O19" i="58" s="1"/>
  <c r="P19" i="58" s="1"/>
  <c r="L19" i="58"/>
  <c r="J19" i="58"/>
  <c r="M18" i="58"/>
  <c r="O18" i="58" s="1"/>
  <c r="P18" i="58" s="1"/>
  <c r="L18" i="58"/>
  <c r="J18" i="58"/>
  <c r="M17" i="58"/>
  <c r="O17" i="58" s="1"/>
  <c r="P17" i="58" s="1"/>
  <c r="L17" i="58"/>
  <c r="J17" i="58"/>
  <c r="M16" i="58"/>
  <c r="N16" i="58" s="1"/>
  <c r="L16" i="58"/>
  <c r="J16" i="58"/>
  <c r="M15" i="58"/>
  <c r="O15" i="58" s="1"/>
  <c r="P15" i="58" s="1"/>
  <c r="L15" i="58"/>
  <c r="J15" i="58"/>
  <c r="M14" i="58"/>
  <c r="L14" i="58"/>
  <c r="J14" i="58"/>
  <c r="M13" i="58"/>
  <c r="O13" i="58" s="1"/>
  <c r="P13" i="58" s="1"/>
  <c r="L13" i="58"/>
  <c r="J13" i="58"/>
  <c r="Q66" i="56"/>
  <c r="J66" i="56"/>
  <c r="N66" i="56" s="1"/>
  <c r="J65" i="56"/>
  <c r="N65" i="56" s="1"/>
  <c r="J64" i="56"/>
  <c r="N64" i="56"/>
  <c r="P63" i="56"/>
  <c r="Q63" i="56" s="1"/>
  <c r="O63" i="56"/>
  <c r="O64" i="56" s="1"/>
  <c r="O65" i="56" s="1"/>
  <c r="O66" i="56" s="1"/>
  <c r="J63" i="56"/>
  <c r="N63" i="56" s="1"/>
  <c r="J62" i="56"/>
  <c r="N62" i="56"/>
  <c r="P62" i="56" s="1"/>
  <c r="Q61" i="56"/>
  <c r="R61" i="56" s="1"/>
  <c r="P61" i="56"/>
  <c r="O60" i="56"/>
  <c r="N60" i="56"/>
  <c r="P60" i="56" s="1"/>
  <c r="O59" i="56"/>
  <c r="N59" i="56"/>
  <c r="P59" i="56" s="1"/>
  <c r="O58" i="56"/>
  <c r="N58" i="56"/>
  <c r="Q58" i="56" s="1"/>
  <c r="R58" i="56" s="1"/>
  <c r="O57" i="56"/>
  <c r="J57" i="56"/>
  <c r="N57" i="56" s="1"/>
  <c r="Q57" i="56" s="1"/>
  <c r="R57" i="56" s="1"/>
  <c r="O56" i="56"/>
  <c r="J56" i="56"/>
  <c r="N56" i="56"/>
  <c r="Q56" i="56" s="1"/>
  <c r="R56" i="56" s="1"/>
  <c r="O55" i="56"/>
  <c r="N55" i="56"/>
  <c r="O54" i="56"/>
  <c r="O50" i="56"/>
  <c r="O49" i="56" s="1"/>
  <c r="J54" i="56"/>
  <c r="N54" i="56" s="1"/>
  <c r="P54" i="56" s="1"/>
  <c r="Q53" i="56"/>
  <c r="R53" i="56" s="1"/>
  <c r="P53" i="56"/>
  <c r="J52" i="56"/>
  <c r="N52" i="56" s="1"/>
  <c r="J51" i="56"/>
  <c r="N51" i="56" s="1"/>
  <c r="Q51" i="56" s="1"/>
  <c r="R51" i="56" s="1"/>
  <c r="J50" i="56"/>
  <c r="N50" i="56" s="1"/>
  <c r="Q50" i="56" s="1"/>
  <c r="R50" i="56" s="1"/>
  <c r="J49" i="56"/>
  <c r="N49" i="56" s="1"/>
  <c r="P49" i="56" s="1"/>
  <c r="N48" i="56"/>
  <c r="Q48" i="56" s="1"/>
  <c r="R48" i="56" s="1"/>
  <c r="N47" i="56"/>
  <c r="P47" i="56" s="1"/>
  <c r="N46" i="56"/>
  <c r="J45" i="56"/>
  <c r="N45" i="56" s="1"/>
  <c r="J44" i="56"/>
  <c r="N44" i="56" s="1"/>
  <c r="P44" i="56" s="1"/>
  <c r="N43" i="56"/>
  <c r="O43" i="56"/>
  <c r="Q42" i="56"/>
  <c r="R42" i="56"/>
  <c r="P42" i="56"/>
  <c r="N41" i="56"/>
  <c r="Q41" i="56" s="1"/>
  <c r="R41" i="56" s="1"/>
  <c r="J40" i="56"/>
  <c r="N40" i="56" s="1"/>
  <c r="P40" i="56" s="1"/>
  <c r="N39" i="56"/>
  <c r="P39" i="56" s="1"/>
  <c r="N38" i="56"/>
  <c r="N37" i="56"/>
  <c r="P37" i="56" s="1"/>
  <c r="N36" i="56"/>
  <c r="O36" i="56" s="1"/>
  <c r="J35" i="56"/>
  <c r="N35" i="56" s="1"/>
  <c r="Q35" i="56" s="1"/>
  <c r="R35" i="56" s="1"/>
  <c r="N34" i="56"/>
  <c r="P34" i="56" s="1"/>
  <c r="N33" i="56"/>
  <c r="P33" i="56" s="1"/>
  <c r="Q32" i="56"/>
  <c r="R32" i="56" s="1"/>
  <c r="P32" i="56"/>
  <c r="N31" i="56"/>
  <c r="Q31" i="56"/>
  <c r="R31" i="56" s="1"/>
  <c r="J30" i="56"/>
  <c r="N30" i="56" s="1"/>
  <c r="P30" i="56" s="1"/>
  <c r="N29" i="56"/>
  <c r="O29" i="56" s="1"/>
  <c r="N28" i="56"/>
  <c r="P28" i="56" s="1"/>
  <c r="Q27" i="56"/>
  <c r="R27" i="56" s="1"/>
  <c r="P27" i="56"/>
  <c r="J26" i="56"/>
  <c r="N26" i="56" s="1"/>
  <c r="P26" i="56" s="1"/>
  <c r="N25" i="56"/>
  <c r="P25" i="56" s="1"/>
  <c r="J24" i="56"/>
  <c r="N24" i="56" s="1"/>
  <c r="Q24" i="56" s="1"/>
  <c r="R24" i="56" s="1"/>
  <c r="N23" i="56"/>
  <c r="P23" i="56" s="1"/>
  <c r="Q22" i="56"/>
  <c r="R22" i="56" s="1"/>
  <c r="P22" i="56"/>
  <c r="N21" i="56"/>
  <c r="O21" i="56" s="1"/>
  <c r="N20" i="56"/>
  <c r="Q20" i="56" s="1"/>
  <c r="R20" i="56" s="1"/>
  <c r="J19" i="56"/>
  <c r="N19" i="56" s="1"/>
  <c r="Q19" i="56" s="1"/>
  <c r="R19" i="56" s="1"/>
  <c r="O18" i="56"/>
  <c r="O19" i="56" s="1"/>
  <c r="O20" i="56" s="1"/>
  <c r="O23" i="56" s="1"/>
  <c r="N18" i="56"/>
  <c r="P18" i="56" s="1"/>
  <c r="Q17" i="56"/>
  <c r="R17" i="56" s="1"/>
  <c r="P17" i="56"/>
  <c r="J16" i="56"/>
  <c r="N16" i="56" s="1"/>
  <c r="P16" i="56" s="1"/>
  <c r="J15" i="56"/>
  <c r="N15" i="56" s="1"/>
  <c r="Q15" i="56" s="1"/>
  <c r="R15" i="56" s="1"/>
  <c r="J14" i="56"/>
  <c r="N14" i="56" s="1"/>
  <c r="P14" i="56" s="1"/>
  <c r="J12" i="56"/>
  <c r="N12" i="56" s="1"/>
  <c r="P12" i="56" s="1"/>
  <c r="J11" i="56"/>
  <c r="N11" i="56" s="1"/>
  <c r="Q11" i="56" s="1"/>
  <c r="R11" i="56" s="1"/>
  <c r="J10" i="56"/>
  <c r="N10" i="56" s="1"/>
  <c r="P10" i="56" s="1"/>
  <c r="N9" i="56"/>
  <c r="Q9" i="56" s="1"/>
  <c r="R9" i="56" s="1"/>
  <c r="G15" i="28"/>
  <c r="K15" i="28"/>
  <c r="N15" i="28"/>
  <c r="G16" i="28"/>
  <c r="K16" i="28"/>
  <c r="N16" i="28" s="1"/>
  <c r="G18" i="28"/>
  <c r="J18" i="28"/>
  <c r="K18" i="28"/>
  <c r="N18" i="28" s="1"/>
  <c r="G19" i="28"/>
  <c r="J19" i="28"/>
  <c r="K19" i="28"/>
  <c r="N19" i="28" s="1"/>
  <c r="G20" i="28"/>
  <c r="J20" i="28"/>
  <c r="K20" i="28"/>
  <c r="N20" i="28" s="1"/>
  <c r="G21" i="28"/>
  <c r="J21" i="28"/>
  <c r="K21" i="28"/>
  <c r="N21" i="28" s="1"/>
  <c r="G22" i="28"/>
  <c r="J22" i="28"/>
  <c r="K22" i="28"/>
  <c r="N22" i="28" s="1"/>
  <c r="G23" i="28"/>
  <c r="J23" i="28"/>
  <c r="K23" i="28"/>
  <c r="N23" i="28" s="1"/>
  <c r="G24" i="28"/>
  <c r="J24" i="28"/>
  <c r="K24" i="28"/>
  <c r="N24" i="28" s="1"/>
  <c r="G25" i="28"/>
  <c r="J25" i="28"/>
  <c r="K25" i="28"/>
  <c r="N25" i="28" s="1"/>
  <c r="K27" i="28"/>
  <c r="N27" i="28" s="1"/>
  <c r="K28" i="28"/>
  <c r="N28" i="28" s="1"/>
  <c r="K29" i="28"/>
  <c r="N29" i="28" s="1"/>
  <c r="K30" i="28"/>
  <c r="N30" i="28" s="1"/>
  <c r="K31" i="28"/>
  <c r="N31" i="28" s="1"/>
  <c r="K32" i="28"/>
  <c r="N32" i="28" s="1"/>
  <c r="H3" i="21"/>
  <c r="H5" i="21"/>
  <c r="H6" i="21"/>
  <c r="H7" i="21"/>
  <c r="D31" i="31"/>
  <c r="I31" i="31"/>
  <c r="N31" i="31" s="1"/>
  <c r="E32" i="31"/>
  <c r="F32" i="31"/>
  <c r="I32" i="31"/>
  <c r="J32" i="31"/>
  <c r="N32" i="31" s="1"/>
  <c r="C33" i="31"/>
  <c r="F33" i="31"/>
  <c r="G33" i="31"/>
  <c r="H33" i="31"/>
  <c r="N33" i="31" s="1"/>
  <c r="K34" i="31"/>
  <c r="L34" i="31"/>
  <c r="N34" i="31" s="1"/>
  <c r="M34" i="31"/>
  <c r="D14" i="37"/>
  <c r="E14" i="37"/>
  <c r="E15" i="37"/>
  <c r="Q15" i="37" s="1"/>
  <c r="S15" i="37" s="1"/>
  <c r="D16" i="37"/>
  <c r="I16" i="37"/>
  <c r="E17" i="37"/>
  <c r="Q17" i="37"/>
  <c r="S17" i="37" s="1"/>
  <c r="Q18" i="37"/>
  <c r="S18" i="37" s="1"/>
  <c r="S19" i="37"/>
  <c r="G20" i="37"/>
  <c r="H20" i="37"/>
  <c r="Q20" i="37" s="1"/>
  <c r="S20" i="37" s="1"/>
  <c r="K21" i="37"/>
  <c r="Q21" i="37"/>
  <c r="S21" i="37" s="1"/>
  <c r="D22" i="37"/>
  <c r="E22" i="37"/>
  <c r="K33" i="37"/>
  <c r="M33" i="37" s="1"/>
  <c r="M34" i="37"/>
  <c r="K35" i="37"/>
  <c r="M35" i="37"/>
  <c r="K36" i="37"/>
  <c r="M36" i="37"/>
  <c r="K37" i="37"/>
  <c r="M37" i="37"/>
  <c r="K38" i="37"/>
  <c r="M38" i="37"/>
  <c r="K39" i="37"/>
  <c r="M39" i="37"/>
  <c r="K40" i="37"/>
  <c r="M40" i="37"/>
  <c r="K41" i="37"/>
  <c r="M41" i="37"/>
  <c r="B26" i="76"/>
  <c r="B134" i="68"/>
  <c r="D9" i="86"/>
  <c r="O62" i="58"/>
  <c r="P62" i="58" s="1"/>
  <c r="I12" i="88"/>
  <c r="J12" i="88" s="1"/>
  <c r="B45" i="90"/>
  <c r="B18" i="87"/>
  <c r="C18" i="87" s="1"/>
  <c r="O39" i="58"/>
  <c r="P39" i="58" s="1"/>
  <c r="N39" i="58"/>
  <c r="P20" i="56"/>
  <c r="H13" i="92"/>
  <c r="H17" i="92" s="1"/>
  <c r="C12" i="86"/>
  <c r="D10" i="86"/>
  <c r="B15" i="87"/>
  <c r="D15" i="87" s="1"/>
  <c r="H15" i="85"/>
  <c r="E7" i="103" s="1"/>
  <c r="H7" i="85"/>
  <c r="B8" i="86" s="1"/>
  <c r="B14" i="87"/>
  <c r="C14" i="87" s="1"/>
  <c r="D14" i="87" s="1"/>
  <c r="M22" i="103"/>
  <c r="C9" i="103"/>
  <c r="C10" i="103"/>
  <c r="N23" i="58"/>
  <c r="O40" i="58"/>
  <c r="P40" i="58" s="1"/>
  <c r="L25" i="104"/>
  <c r="R25" i="104" s="1"/>
  <c r="N25" i="104"/>
  <c r="N27" i="104" s="1"/>
  <c r="J6" i="104"/>
  <c r="N6" i="104"/>
  <c r="J7" i="104"/>
  <c r="N7" i="104"/>
  <c r="H32" i="103"/>
  <c r="E13" i="99"/>
  <c r="E6" i="103"/>
  <c r="E10" i="103"/>
  <c r="F6" i="103" s="1"/>
  <c r="F10" i="103" s="1"/>
  <c r="L50" i="103"/>
  <c r="I22" i="77"/>
  <c r="F8" i="91"/>
  <c r="J16" i="104"/>
  <c r="L16" i="104" s="1"/>
  <c r="J17" i="104"/>
  <c r="N17" i="104" s="1"/>
  <c r="R23" i="104"/>
  <c r="R27" i="104" s="1"/>
  <c r="D32" i="103"/>
  <c r="C32" i="103"/>
  <c r="E16" i="99"/>
  <c r="F16" i="99" s="1"/>
  <c r="D16" i="99"/>
  <c r="D13" i="99"/>
  <c r="F12" i="99"/>
  <c r="C13" i="99"/>
  <c r="B56" i="103"/>
  <c r="B55" i="103"/>
  <c r="E9" i="103"/>
  <c r="F9" i="103" s="1"/>
  <c r="I30" i="77"/>
  <c r="L30" i="77"/>
  <c r="B54" i="103"/>
  <c r="B57" i="103"/>
  <c r="C54" i="103" s="1"/>
  <c r="H31" i="103"/>
  <c r="G40" i="103"/>
  <c r="E8" i="103"/>
  <c r="N17" i="58"/>
  <c r="L60" i="90"/>
  <c r="H47" i="103" s="1"/>
  <c r="C8" i="103"/>
  <c r="K20" i="103" s="1"/>
  <c r="M23" i="103"/>
  <c r="C7" i="103"/>
  <c r="B16" i="87"/>
  <c r="D16" i="87" s="1"/>
  <c r="H23" i="103"/>
  <c r="P21" i="56"/>
  <c r="O41" i="58"/>
  <c r="P41" i="58"/>
  <c r="O16" i="58"/>
  <c r="P16" i="58"/>
  <c r="N47" i="58"/>
  <c r="N35" i="58"/>
  <c r="P35" i="58"/>
  <c r="N46" i="58"/>
  <c r="Q19" i="103"/>
  <c r="F23" i="103"/>
  <c r="B12" i="87"/>
  <c r="C12" i="87" s="1"/>
  <c r="D12" i="87" s="1"/>
  <c r="D23" i="103"/>
  <c r="C4" i="115"/>
  <c r="D4" i="115" s="1"/>
  <c r="C12" i="115"/>
  <c r="C74" i="68"/>
  <c r="C27" i="103"/>
  <c r="I43" i="103" s="1"/>
  <c r="B13" i="87"/>
  <c r="C13" i="87" s="1"/>
  <c r="B17" i="87"/>
  <c r="D17" i="87" s="1"/>
  <c r="B10" i="115"/>
  <c r="D10" i="115" s="1"/>
  <c r="B47" i="103"/>
  <c r="B19" i="103" s="1"/>
  <c r="H10" i="120"/>
  <c r="H11" i="120"/>
  <c r="C11" i="115"/>
  <c r="C13" i="115" s="1"/>
  <c r="C65" i="68"/>
  <c r="C118" i="68" s="1"/>
  <c r="C119" i="68" s="1"/>
  <c r="C10" i="115"/>
  <c r="C14" i="115" s="1"/>
  <c r="C47" i="103"/>
  <c r="C51" i="103" s="1"/>
  <c r="C80" i="68"/>
  <c r="L5" i="104"/>
  <c r="L23" i="104" s="1"/>
  <c r="L27" i="104" s="1"/>
  <c r="B10" i="84"/>
  <c r="C10" i="85"/>
  <c r="B11" i="77"/>
  <c r="F11" i="77" s="1"/>
  <c r="I11" i="77" s="1"/>
  <c r="L11" i="77" s="1"/>
  <c r="N48" i="58"/>
  <c r="O38" i="56"/>
  <c r="O31" i="58"/>
  <c r="P31" i="58" s="1"/>
  <c r="L33" i="77"/>
  <c r="C16" i="68"/>
  <c r="C21" i="68" s="1"/>
  <c r="C109" i="68" s="1"/>
  <c r="H7" i="123"/>
  <c r="H11" i="123" s="1"/>
  <c r="G23" i="103" s="1"/>
  <c r="D13" i="91"/>
  <c r="G8" i="91"/>
  <c r="B11" i="115" s="1"/>
  <c r="D11" i="115" s="1"/>
  <c r="O14" i="58"/>
  <c r="P14" i="58" s="1"/>
  <c r="N14" i="58"/>
  <c r="Q33" i="56"/>
  <c r="R33" i="56" s="1"/>
  <c r="Q10" i="56"/>
  <c r="R10" i="56" s="1"/>
  <c r="O24" i="58"/>
  <c r="P24" i="58" s="1"/>
  <c r="O31" i="56"/>
  <c r="P31" i="56"/>
  <c r="C43" i="68"/>
  <c r="C48" i="68"/>
  <c r="Q23" i="104"/>
  <c r="C38" i="68"/>
  <c r="L10" i="104"/>
  <c r="L11" i="104"/>
  <c r="L13" i="104"/>
  <c r="G11" i="106"/>
  <c r="N22" i="104"/>
  <c r="D11" i="88"/>
  <c r="K11" i="88" s="1"/>
  <c r="C90" i="68"/>
  <c r="C103" i="68"/>
  <c r="C105" i="68" s="1"/>
  <c r="C124" i="68" s="1"/>
  <c r="C125" i="68" s="1"/>
  <c r="G251" i="69"/>
  <c r="Q47" i="56"/>
  <c r="R47" i="56" s="1"/>
  <c r="Q59" i="56"/>
  <c r="R59" i="56" s="1"/>
  <c r="N13" i="58"/>
  <c r="N50" i="58"/>
  <c r="N52" i="58"/>
  <c r="N54" i="58"/>
  <c r="N57" i="58"/>
  <c r="N28" i="58"/>
  <c r="O12" i="56"/>
  <c r="O25" i="56"/>
  <c r="Q25" i="56"/>
  <c r="R25" i="56" s="1"/>
  <c r="O30" i="56"/>
  <c r="Q38" i="56"/>
  <c r="R38" i="56" s="1"/>
  <c r="P38" i="56"/>
  <c r="P46" i="56"/>
  <c r="Q46" i="56"/>
  <c r="R46" i="56" s="1"/>
  <c r="O46" i="56"/>
  <c r="P52" i="56"/>
  <c r="P55" i="56"/>
  <c r="Q55" i="56"/>
  <c r="R55" i="56" s="1"/>
  <c r="P58" i="56"/>
  <c r="P64" i="56"/>
  <c r="P65" i="56" s="1"/>
  <c r="Q65" i="56" s="1"/>
  <c r="N19" i="58"/>
  <c r="I7" i="89"/>
  <c r="Q52" i="56"/>
  <c r="R52" i="56" s="1"/>
  <c r="O52" i="56"/>
  <c r="N22" i="58"/>
  <c r="O22" i="58"/>
  <c r="P22" i="58" s="1"/>
  <c r="O26" i="58"/>
  <c r="P26" i="58" s="1"/>
  <c r="N26" i="58"/>
  <c r="O33" i="58"/>
  <c r="Q33" i="58" s="1"/>
  <c r="N33" i="58"/>
  <c r="O37" i="58"/>
  <c r="P37" i="58" s="1"/>
  <c r="N37" i="58"/>
  <c r="O39" i="56"/>
  <c r="Q39" i="56"/>
  <c r="R39" i="56" s="1"/>
  <c r="O40" i="56"/>
  <c r="P19" i="56"/>
  <c r="Q22" i="37"/>
  <c r="S22" i="37" s="1"/>
  <c r="Q12" i="56"/>
  <c r="R12" i="56" s="1"/>
  <c r="O56" i="58"/>
  <c r="P56" i="58" s="1"/>
  <c r="N56" i="58"/>
  <c r="L6" i="104"/>
  <c r="O32" i="58"/>
  <c r="P32" i="58" s="1"/>
  <c r="P33" i="58"/>
  <c r="M42" i="37"/>
  <c r="O11" i="56"/>
  <c r="P43" i="56"/>
  <c r="Q21" i="56"/>
  <c r="R21" i="56" s="1"/>
  <c r="Q43" i="56"/>
  <c r="R43" i="56" s="1"/>
  <c r="Q34" i="56"/>
  <c r="R34" i="56" s="1"/>
  <c r="P50" i="56"/>
  <c r="L9" i="104"/>
  <c r="I31" i="77"/>
  <c r="L31" i="77" s="1"/>
  <c r="B12" i="77"/>
  <c r="F12" i="77" s="1"/>
  <c r="I12" i="77" s="1"/>
  <c r="L12" i="77" s="1"/>
  <c r="G313" i="69"/>
  <c r="G335" i="69"/>
  <c r="G377" i="69"/>
  <c r="C30" i="68"/>
  <c r="C112" i="68" s="1"/>
  <c r="C113" i="68" s="1"/>
  <c r="G242" i="69"/>
  <c r="G350" i="69"/>
  <c r="G369" i="69"/>
  <c r="N169" i="69"/>
  <c r="P15" i="56"/>
  <c r="Q44" i="56"/>
  <c r="R44" i="56" s="1"/>
  <c r="O44" i="56"/>
  <c r="P56" i="56"/>
  <c r="P35" i="56"/>
  <c r="P51" i="56"/>
  <c r="Q14" i="56"/>
  <c r="R14" i="56" s="1"/>
  <c r="O14" i="56"/>
  <c r="O28" i="56"/>
  <c r="N50" i="103"/>
  <c r="G293" i="69"/>
  <c r="P23" i="104"/>
  <c r="L15" i="104"/>
  <c r="G13" i="106"/>
  <c r="G19" i="77"/>
  <c r="G20" i="77" s="1"/>
  <c r="L7" i="104"/>
  <c r="L18" i="104"/>
  <c r="P25" i="104"/>
  <c r="N20" i="104"/>
  <c r="L21" i="104"/>
  <c r="N19" i="104"/>
  <c r="N16" i="104"/>
  <c r="N12" i="104"/>
  <c r="L8" i="104"/>
  <c r="L14" i="104"/>
  <c r="B23" i="103"/>
  <c r="C23" i="103"/>
  <c r="D23" i="87"/>
  <c r="K19" i="103"/>
  <c r="K21" i="103"/>
  <c r="B23" i="87"/>
  <c r="K23" i="103"/>
  <c r="K22" i="103"/>
  <c r="K54" i="103"/>
  <c r="G14" i="99" l="1"/>
  <c r="H14" i="99" s="1"/>
  <c r="D60" i="103"/>
  <c r="P45" i="56"/>
  <c r="Q45" i="56"/>
  <c r="R45" i="56" s="1"/>
  <c r="O45" i="56"/>
  <c r="D8" i="86"/>
  <c r="B12" i="86"/>
  <c r="Q62" i="56"/>
  <c r="R62" i="56" s="1"/>
  <c r="Q49" i="56"/>
  <c r="R49" i="56" s="1"/>
  <c r="O51" i="58"/>
  <c r="P51" i="58" s="1"/>
  <c r="O29" i="58"/>
  <c r="P29" i="58" s="1"/>
  <c r="B51" i="103"/>
  <c r="O35" i="56"/>
  <c r="O15" i="56"/>
  <c r="H49" i="103"/>
  <c r="H21" i="103" s="1"/>
  <c r="Q60" i="56"/>
  <c r="R60" i="56" s="1"/>
  <c r="N58" i="58"/>
  <c r="Q13" i="58"/>
  <c r="R13" i="58" s="1"/>
  <c r="O37" i="56"/>
  <c r="Q29" i="56"/>
  <c r="R29" i="56" s="1"/>
  <c r="N21" i="58"/>
  <c r="N18" i="58"/>
  <c r="N36" i="58"/>
  <c r="O45" i="58"/>
  <c r="P45" i="58" s="1"/>
  <c r="N42" i="58"/>
  <c r="N43" i="58"/>
  <c r="O60" i="58"/>
  <c r="P60" i="58" s="1"/>
  <c r="O61" i="58"/>
  <c r="P61" i="58" s="1"/>
  <c r="G162" i="69"/>
  <c r="G90" i="69"/>
  <c r="G355" i="69"/>
  <c r="P48" i="56"/>
  <c r="N27" i="58"/>
  <c r="P29" i="56"/>
  <c r="Q40" i="56"/>
  <c r="R40" i="56" s="1"/>
  <c r="O24" i="56"/>
  <c r="Q30" i="56"/>
  <c r="R30" i="56" s="1"/>
  <c r="H8" i="85"/>
  <c r="Q37" i="56"/>
  <c r="R37" i="56" s="1"/>
  <c r="N15" i="58"/>
  <c r="O33" i="56"/>
  <c r="Q23" i="56"/>
  <c r="R23" i="56" s="1"/>
  <c r="G33" i="69"/>
  <c r="N30" i="69" s="1"/>
  <c r="G201" i="69"/>
  <c r="G320" i="69"/>
  <c r="N59" i="58"/>
  <c r="G106" i="69"/>
  <c r="F18" i="133"/>
  <c r="G256" i="69"/>
  <c r="G365" i="69"/>
  <c r="I29" i="77"/>
  <c r="L29" i="77" s="1"/>
  <c r="I32" i="77"/>
  <c r="L32" i="77" s="1"/>
  <c r="G7" i="91"/>
  <c r="G9" i="91" s="1"/>
  <c r="H16" i="91" s="1"/>
  <c r="H17" i="91" s="1"/>
  <c r="G112" i="69"/>
  <c r="G135" i="69"/>
  <c r="G225" i="69"/>
  <c r="G285" i="69"/>
  <c r="I17" i="82"/>
  <c r="I21" i="82" s="1"/>
  <c r="B22" i="103"/>
  <c r="B43" i="103"/>
  <c r="G75" i="69"/>
  <c r="G128" i="69"/>
  <c r="C93" i="68"/>
  <c r="C121" i="68" s="1"/>
  <c r="C122" i="68" s="1"/>
  <c r="C56" i="103"/>
  <c r="C55" i="103"/>
  <c r="D48" i="103" s="1"/>
  <c r="D20" i="103" s="1"/>
  <c r="F7" i="103"/>
  <c r="B49" i="103"/>
  <c r="B21" i="103" s="1"/>
  <c r="B13" i="77"/>
  <c r="F13" i="77" s="1"/>
  <c r="I13" i="77" s="1"/>
  <c r="H48" i="103"/>
  <c r="H20" i="103" s="1"/>
  <c r="Q64" i="56"/>
  <c r="L17" i="104"/>
  <c r="Q25" i="104"/>
  <c r="F8" i="103"/>
  <c r="B32" i="103"/>
  <c r="F32" i="103" s="1"/>
  <c r="G270" i="69"/>
  <c r="Q14" i="37"/>
  <c r="S14" i="37" s="1"/>
  <c r="P9" i="56"/>
  <c r="O10" i="56"/>
  <c r="N34" i="67"/>
  <c r="O34" i="67" s="1"/>
  <c r="G58" i="69"/>
  <c r="H12" i="99"/>
  <c r="H12" i="120"/>
  <c r="K35" i="130"/>
  <c r="H10" i="136"/>
  <c r="D12" i="86"/>
  <c r="E8" i="86" s="1"/>
  <c r="G8" i="86" s="1"/>
  <c r="G16" i="99"/>
  <c r="G17" i="99" s="1"/>
  <c r="H17" i="99" s="1"/>
  <c r="K10" i="88"/>
  <c r="K43" i="103"/>
  <c r="H10" i="99"/>
  <c r="G19" i="99"/>
  <c r="H19" i="99" s="1"/>
  <c r="B21" i="87"/>
  <c r="C59" i="103"/>
  <c r="H16" i="99"/>
  <c r="D18" i="87"/>
  <c r="B25" i="76"/>
  <c r="G21" i="77"/>
  <c r="H21" i="77" s="1"/>
  <c r="H20" i="77"/>
  <c r="L14" i="77"/>
  <c r="C110" i="68"/>
  <c r="D14" i="115"/>
  <c r="H12" i="115" s="1"/>
  <c r="E12" i="115" s="1"/>
  <c r="F12" i="115" s="1"/>
  <c r="G12" i="115" s="1"/>
  <c r="I12" i="115" s="1"/>
  <c r="C21" i="87"/>
  <c r="C22" i="87" s="1"/>
  <c r="C25" i="87" s="1"/>
  <c r="D13" i="87"/>
  <c r="D21" i="87" s="1"/>
  <c r="S27" i="104"/>
  <c r="S23" i="37"/>
  <c r="C26" i="37" s="1"/>
  <c r="N35" i="31"/>
  <c r="N36" i="31" s="1"/>
  <c r="H19" i="103"/>
  <c r="D47" i="103"/>
  <c r="E47" i="103"/>
  <c r="E49" i="103"/>
  <c r="E21" i="103" s="1"/>
  <c r="S21" i="103" s="1"/>
  <c r="D49" i="103"/>
  <c r="D21" i="103" s="1"/>
  <c r="O13" i="67"/>
  <c r="N40" i="67"/>
  <c r="E12" i="86"/>
  <c r="K47" i="103"/>
  <c r="E48" i="103"/>
  <c r="E20" i="103" s="1"/>
  <c r="S20" i="103" s="1"/>
  <c r="L19" i="103"/>
  <c r="P19" i="103"/>
  <c r="I8" i="89"/>
  <c r="I10" i="89" s="1"/>
  <c r="H19" i="77"/>
  <c r="J43" i="103"/>
  <c r="B14" i="115"/>
  <c r="O51" i="56"/>
  <c r="P36" i="56"/>
  <c r="Q26" i="56"/>
  <c r="R26" i="56" s="1"/>
  <c r="Q36" i="56"/>
  <c r="R36" i="56" s="1"/>
  <c r="Q16" i="56"/>
  <c r="R16" i="56" s="1"/>
  <c r="P11" i="56"/>
  <c r="O34" i="56"/>
  <c r="P24" i="56"/>
  <c r="N64" i="58"/>
  <c r="P57" i="56"/>
  <c r="C19" i="103"/>
  <c r="O26" i="56"/>
  <c r="Q54" i="56"/>
  <c r="R54" i="56" s="1"/>
  <c r="Q28" i="56"/>
  <c r="R28" i="56" s="1"/>
  <c r="Q18" i="56"/>
  <c r="R18" i="56" s="1"/>
  <c r="N33" i="28"/>
  <c r="N34" i="28" s="1"/>
  <c r="O41" i="56"/>
  <c r="P41" i="56"/>
  <c r="O38" i="58"/>
  <c r="P38" i="58" s="1"/>
  <c r="N38" i="58"/>
  <c r="O49" i="58"/>
  <c r="P49" i="58" s="1"/>
  <c r="N49" i="58"/>
  <c r="N53" i="58"/>
  <c r="O53" i="58"/>
  <c r="P53" i="58" s="1"/>
  <c r="G20" i="69"/>
  <c r="N34" i="58"/>
  <c r="O34" i="58"/>
  <c r="P34" i="58" s="1"/>
  <c r="C52" i="68"/>
  <c r="C56" i="68" s="1"/>
  <c r="C115" i="68" s="1"/>
  <c r="C116" i="68" s="1"/>
  <c r="K12" i="88"/>
  <c r="M9" i="80"/>
  <c r="H21" i="99" l="1"/>
  <c r="G48" i="103" s="1"/>
  <c r="G20" i="103" s="1"/>
  <c r="F12" i="86"/>
  <c r="H51" i="103"/>
  <c r="B48" i="103"/>
  <c r="B20" i="103" s="1"/>
  <c r="P20" i="103" s="1"/>
  <c r="R20" i="103" s="1"/>
  <c r="T20" i="103" s="1"/>
  <c r="B13" i="115"/>
  <c r="D13" i="115" s="1"/>
  <c r="G12" i="86"/>
  <c r="F9" i="86"/>
  <c r="G9" i="86" s="1"/>
  <c r="G49" i="103"/>
  <c r="G21" i="103" s="1"/>
  <c r="N108" i="69"/>
  <c r="K13" i="88"/>
  <c r="F49" i="103" s="1"/>
  <c r="F21" i="103" s="1"/>
  <c r="C34" i="103" s="1"/>
  <c r="E7" i="86"/>
  <c r="G7" i="86" s="1"/>
  <c r="L49" i="103"/>
  <c r="D59" i="103" s="1"/>
  <c r="F11" i="86"/>
  <c r="G11" i="86" s="1"/>
  <c r="F10" i="86"/>
  <c r="G10" i="86" s="1"/>
  <c r="O40" i="67"/>
  <c r="G47" i="103"/>
  <c r="H10" i="115"/>
  <c r="E10" i="115" s="1"/>
  <c r="F47" i="103"/>
  <c r="C43" i="103"/>
  <c r="C22" i="103"/>
  <c r="L47" i="103"/>
  <c r="D27" i="103"/>
  <c r="N19" i="103"/>
  <c r="N22" i="103" s="1"/>
  <c r="L22" i="103"/>
  <c r="D31" i="103"/>
  <c r="O43" i="103"/>
  <c r="E19" i="103"/>
  <c r="E51" i="103"/>
  <c r="C128" i="68"/>
  <c r="C130" i="68" s="1"/>
  <c r="H13" i="115"/>
  <c r="E13" i="115" s="1"/>
  <c r="F13" i="115" s="1"/>
  <c r="G13" i="115" s="1"/>
  <c r="I13" i="115" s="1"/>
  <c r="H11" i="115"/>
  <c r="E11" i="115" s="1"/>
  <c r="F11" i="115" s="1"/>
  <c r="G11" i="115" s="1"/>
  <c r="P21" i="103"/>
  <c r="R21" i="103" s="1"/>
  <c r="T21" i="103" s="1"/>
  <c r="N36" i="28"/>
  <c r="C24" i="37"/>
  <c r="P22" i="103"/>
  <c r="R19" i="103"/>
  <c r="K51" i="103"/>
  <c r="K49" i="103"/>
  <c r="D19" i="103"/>
  <c r="D51" i="103"/>
  <c r="H43" i="103"/>
  <c r="H22" i="103"/>
  <c r="H24" i="103" s="1"/>
  <c r="C25" i="37"/>
  <c r="N38" i="31"/>
  <c r="C28" i="87"/>
  <c r="H14" i="115"/>
  <c r="C127" i="68"/>
  <c r="G51" i="103"/>
  <c r="G19" i="103"/>
  <c r="E23" i="103"/>
  <c r="B10" i="87"/>
  <c r="L21" i="103"/>
  <c r="N49" i="103" l="1"/>
  <c r="F48" i="103"/>
  <c r="F20" i="103" s="1"/>
  <c r="C33" i="103" s="1"/>
  <c r="L20" i="103"/>
  <c r="C27" i="37"/>
  <c r="B18" i="77"/>
  <c r="D10" i="87"/>
  <c r="D22" i="87" s="1"/>
  <c r="D25" i="87" s="1"/>
  <c r="B22" i="87"/>
  <c r="B25" i="87" s="1"/>
  <c r="C8" i="87" s="1"/>
  <c r="E14" i="115"/>
  <c r="F10" i="115"/>
  <c r="E22" i="103"/>
  <c r="E43" i="103"/>
  <c r="S19" i="103"/>
  <c r="S22" i="103" s="1"/>
  <c r="S26" i="103" s="1"/>
  <c r="S27" i="103" s="1"/>
  <c r="D35" i="103"/>
  <c r="N47" i="103"/>
  <c r="L51" i="103"/>
  <c r="F51" i="103"/>
  <c r="F19" i="103"/>
  <c r="N21" i="103"/>
  <c r="R45" i="103"/>
  <c r="D34" i="103"/>
  <c r="B34" i="103" s="1"/>
  <c r="F34" i="103" s="1"/>
  <c r="G22" i="103"/>
  <c r="G43" i="103"/>
  <c r="D22" i="103"/>
  <c r="D43" i="103"/>
  <c r="I24" i="103"/>
  <c r="L54" i="103"/>
  <c r="J24" i="103"/>
  <c r="K24" i="103"/>
  <c r="B24" i="103"/>
  <c r="F14" i="103"/>
  <c r="M31" i="103"/>
  <c r="C24" i="103"/>
  <c r="N20" i="103" l="1"/>
  <c r="D33" i="103"/>
  <c r="B33" i="103" s="1"/>
  <c r="F33" i="103" s="1"/>
  <c r="L58" i="103"/>
  <c r="L57" i="103"/>
  <c r="D54" i="103"/>
  <c r="D24" i="103"/>
  <c r="G54" i="103"/>
  <c r="G24" i="103"/>
  <c r="F43" i="103"/>
  <c r="F22" i="103"/>
  <c r="C31" i="103"/>
  <c r="E54" i="103"/>
  <c r="E24" i="103"/>
  <c r="F14" i="115"/>
  <c r="F16" i="115" s="1"/>
  <c r="G10" i="115"/>
  <c r="I10" i="115" s="1"/>
  <c r="F18" i="77"/>
  <c r="I18" i="77" s="1"/>
  <c r="L18" i="77" s="1"/>
  <c r="B19" i="77"/>
  <c r="T19" i="103"/>
  <c r="T22" i="103" s="1"/>
  <c r="T24" i="103" s="1"/>
  <c r="D8" i="87"/>
  <c r="C35" i="76"/>
  <c r="L23" i="103"/>
  <c r="B11" i="76"/>
  <c r="F54" i="103" l="1"/>
  <c r="F24" i="103"/>
  <c r="N23" i="103"/>
  <c r="M24" i="103"/>
  <c r="B20" i="77"/>
  <c r="F19" i="77"/>
  <c r="I19" i="77" s="1"/>
  <c r="L19" i="77" s="1"/>
  <c r="C35" i="103"/>
  <c r="C29" i="103" s="1"/>
  <c r="B31" i="103"/>
  <c r="F20" i="77" l="1"/>
  <c r="I20" i="77" s="1"/>
  <c r="L20" i="77" s="1"/>
  <c r="B21" i="77"/>
  <c r="F31" i="103"/>
  <c r="F35" i="103" s="1"/>
  <c r="B35" i="103"/>
  <c r="B37" i="103" l="1"/>
  <c r="B39" i="103" s="1"/>
  <c r="B29" i="103"/>
  <c r="F21" i="77"/>
  <c r="I21" i="77" s="1"/>
  <c r="L21" i="77" s="1"/>
  <c r="L23" i="77" s="1"/>
  <c r="B22" i="77"/>
</calcChain>
</file>

<file path=xl/comments1.xml><?xml version="1.0" encoding="utf-8"?>
<comments xmlns="http://schemas.openxmlformats.org/spreadsheetml/2006/main">
  <authors>
    <author>43203262</author>
  </authors>
  <commentList>
    <comment ref="B8" authorId="0">
      <text>
        <r>
          <rPr>
            <b/>
            <sz val="9"/>
            <color indexed="81"/>
            <rFont val="Tahoma"/>
            <family val="2"/>
          </rPr>
          <t xml:space="preserve">DURACION: 
- </t>
        </r>
        <r>
          <rPr>
            <b/>
            <sz val="9"/>
            <color indexed="81"/>
            <rFont val="Tahoma"/>
            <family val="2"/>
          </rPr>
          <t xml:space="preserve">EN MESES: </t>
        </r>
        <r>
          <rPr>
            <sz val="9"/>
            <color indexed="81"/>
            <rFont val="Tahoma"/>
            <family val="2"/>
          </rPr>
          <t>SE REALIZAN LOS COSTOS POR 30 DIAS CONTABLES, SE DETERMINA VALOR MES Y TOTAL.
-</t>
        </r>
        <r>
          <rPr>
            <b/>
            <sz val="9"/>
            <color indexed="81"/>
            <rFont val="Tahoma"/>
            <family val="2"/>
          </rPr>
          <t>DIAS CALENDARIO:</t>
        </r>
        <r>
          <rPr>
            <sz val="9"/>
            <color indexed="81"/>
            <rFont val="Tahoma"/>
            <family val="2"/>
          </rPr>
          <t xml:space="preserve"> SE RELIZAN LOS COSTOS RECONOCIENDO DIA POR DIA PARA EL TOTAL, IGUALMENTE SE COSTEA EL VALOR MES Y TOTAL POR DIAS
-</t>
        </r>
        <r>
          <rPr>
            <b/>
            <sz val="9"/>
            <color indexed="81"/>
            <rFont val="Tahoma"/>
            <family val="2"/>
          </rPr>
          <t>DIAS HABILES:</t>
        </r>
        <r>
          <rPr>
            <sz val="9"/>
            <color indexed="81"/>
            <rFont val="Tahoma"/>
            <family val="2"/>
          </rPr>
          <t xml:space="preserve"> LOS COSTOS FIJOS SE CALCULAN POR 30 DIAS CONTABLES Y LOS COSTOS VARIABLES DE ACUERDO AL CONSUMO, LUEGO SE ESTABLECE UN VALOR POR DIA HABIL, VALOR MES Y VALOR TORTAL</t>
        </r>
      </text>
    </comment>
    <comment ref="A13" authorId="0">
      <text>
        <r>
          <rPr>
            <b/>
            <sz val="9"/>
            <color indexed="81"/>
            <rFont val="Tahoma"/>
            <family val="2"/>
          </rPr>
          <t>FECHA DE ELABORACION DE ESTUDIO DE COSTOS</t>
        </r>
        <r>
          <rPr>
            <sz val="9"/>
            <color indexed="81"/>
            <rFont val="Tahoma"/>
            <family val="2"/>
          </rPr>
          <t xml:space="preserve">
</t>
        </r>
      </text>
    </comment>
    <comment ref="C29" authorId="0">
      <text>
        <r>
          <rPr>
            <b/>
            <sz val="9"/>
            <color indexed="81"/>
            <rFont val="Tahoma"/>
            <family val="2"/>
          </rPr>
          <t xml:space="preserve">HONORARIOS POR SERVICIOS: </t>
        </r>
        <r>
          <rPr>
            <sz val="9"/>
            <color indexed="81"/>
            <rFont val="Tahoma"/>
            <family val="2"/>
          </rPr>
          <t xml:space="preserve">CONTEMPLA LOS COSTOS INDIRECTOS DE ADMINISTRACION Y LA UTILIDAD DEL OPERADOR. ESTE COMPONENTE NO SE CALCULA SI EL ESTUDIO DE COSTOS SE REALIZA SOLO PARA LA COMPRA DE BIENES.
</t>
        </r>
      </text>
    </comment>
    <comment ref="C33" authorId="0">
      <text>
        <r>
          <rPr>
            <b/>
            <sz val="9"/>
            <color indexed="81"/>
            <rFont val="Tahoma"/>
            <family val="2"/>
          </rPr>
          <t>IVA:</t>
        </r>
        <r>
          <rPr>
            <sz val="9"/>
            <color indexed="81"/>
            <rFont val="Tahoma"/>
            <family val="2"/>
          </rPr>
          <t xml:space="preserve"> SE DETERMINA DE ACUERDO AL OBJETO CONTRATUAL,  SE ANALIZA LA FORMA CONTRACTUAL Y PROPONENTE. 
-SI SE APLICA IVA DIFERENCIADO ES IMPPORTANTE DISCRIMINAR LOS EXCLUIDOS O EXENTOS, QUE IGUALMENTE TENGAN RELACIÓN CON EL OBJETO.
-SI EL COSTEO NO AMERITA IVA, ESTAS FILAS SE ELIMINAN.
</t>
        </r>
      </text>
    </comment>
    <comment ref="C38" authorId="0">
      <text>
        <r>
          <rPr>
            <b/>
            <sz val="9"/>
            <color indexed="81"/>
            <rFont val="Tahoma"/>
            <family val="2"/>
          </rPr>
          <t xml:space="preserve">DIFERENCIA: </t>
        </r>
        <r>
          <rPr>
            <sz val="9"/>
            <color indexed="81"/>
            <rFont val="Tahoma"/>
            <family val="2"/>
          </rPr>
          <t xml:space="preserve">ESTE CONCEPTO SE RELACIONA EN EL COSTEO INICIAL SI EXISTE DIFERENCIA SOBRANTE O FALTANTE, PARA QUE EL LIDER O DIRECTOR REALICE LOS AJUSTES TECNICOS NECESARIO EN LAS ESPECIFICACIONES TECNICAS.  DEPUES DE REALIZARCEN LOS AJUSTES CORRESPONDIENTES, ESTAS FILAS PUEDEN SER ELIMINADAS.
</t>
        </r>
      </text>
    </comment>
  </commentList>
</comments>
</file>

<file path=xl/comments2.xml><?xml version="1.0" encoding="utf-8"?>
<comments xmlns="http://schemas.openxmlformats.org/spreadsheetml/2006/main">
  <authors>
    <author>Henry</author>
    <author>43203262</author>
  </authors>
  <commentList>
    <comment ref="E23" authorId="0">
      <text>
        <r>
          <rPr>
            <b/>
            <sz val="9"/>
            <color indexed="81"/>
            <rFont val="Tahoma"/>
            <family val="2"/>
          </rPr>
          <t xml:space="preserve">Si va a colocar algun valor en Especie , Favor colocarlo sin puntos  ni comas </t>
        </r>
        <r>
          <rPr>
            <sz val="9"/>
            <color indexed="81"/>
            <rFont val="Tahoma"/>
            <family val="2"/>
          </rPr>
          <t xml:space="preserve">
</t>
        </r>
      </text>
    </comment>
    <comment ref="D24" authorId="0">
      <text>
        <r>
          <rPr>
            <sz val="9"/>
            <color indexed="81"/>
            <rFont val="Tahoma"/>
            <family val="2"/>
          </rPr>
          <t xml:space="preserve">Si va a colocar algun valor en Dinero, Favor colocarlo sin puntos  ni comas 
</t>
        </r>
      </text>
    </comment>
    <comment ref="C29" authorId="1">
      <text>
        <r>
          <rPr>
            <b/>
            <sz val="9"/>
            <color indexed="81"/>
            <rFont val="Tahoma"/>
            <family val="2"/>
          </rPr>
          <t>IVA:</t>
        </r>
        <r>
          <rPr>
            <sz val="9"/>
            <color indexed="81"/>
            <rFont val="Tahoma"/>
            <family val="2"/>
          </rPr>
          <t xml:space="preserve"> SE DETERMINA DE ACUERDO AL OBJETO CONTRATUAL,  SE ANALIZA LA FORMA CONTRACTUAL Y PROPONENTE. 
-SI SE APLICA IVA DIFERENCIADO ES IMPPORTANTE DISCRIMINAR LOS EXCLUIDOS O EXENTOS, QUE IGUALMENTE TENGAN RELACIÓN CON EL OBJETO.
-SI EL COSTEO NO AMERITA IVA, ESTAS FILAS SE ELIMINAN.
</t>
        </r>
      </text>
    </comment>
    <comment ref="C34" authorId="1">
      <text>
        <r>
          <rPr>
            <b/>
            <sz val="9"/>
            <color indexed="81"/>
            <rFont val="Tahoma"/>
            <family val="2"/>
          </rPr>
          <t xml:space="preserve">DIFERENCIA: </t>
        </r>
        <r>
          <rPr>
            <sz val="9"/>
            <color indexed="81"/>
            <rFont val="Tahoma"/>
            <family val="2"/>
          </rPr>
          <t xml:space="preserve">ESTE CONCEPTO SE RELACIONA EN EL COSTEO INICIAL SI EXISTE DIFERENCIA SOBRANTE O FALTANTE, PARA QUE EL LIDER O DIRECTOR REALICE LOS AJUSTES TECNICOS NECESARIO EN LAS ESPECIFICACIONES TECNICAS.  DEPUES DE REALIZARCEN LOS AJUSTES CORRESPONDIENTES, ESTAS FILAS PUEDEN SER ELIMINADAS.
</t>
        </r>
      </text>
    </comment>
  </commentList>
</comments>
</file>

<file path=xl/comments3.xml><?xml version="1.0" encoding="utf-8"?>
<comments xmlns="http://schemas.openxmlformats.org/spreadsheetml/2006/main">
  <authors>
    <author>Usuario de Windows</author>
  </authors>
  <commentList>
    <comment ref="D7" authorId="0">
      <text>
        <r>
          <rPr>
            <b/>
            <sz val="9"/>
            <color indexed="81"/>
            <rFont val="Tahoma"/>
            <family val="2"/>
          </rPr>
          <t>COLOQUE EL VALOR UNITARIO DE LA ACTIVIDAD A DESARROLLAR</t>
        </r>
        <r>
          <rPr>
            <sz val="9"/>
            <color indexed="81"/>
            <rFont val="Tahoma"/>
            <family val="2"/>
          </rPr>
          <t xml:space="preserve">
</t>
        </r>
      </text>
    </comment>
    <comment ref="D10" authorId="0">
      <text>
        <r>
          <rPr>
            <b/>
            <sz val="9"/>
            <color indexed="81"/>
            <rFont val="Tahoma"/>
            <family val="2"/>
          </rPr>
          <t>COLOQUE EL VALOR UNITARIO DE LA ACTIVIDAD A DESARROLLAR</t>
        </r>
        <r>
          <rPr>
            <sz val="9"/>
            <color indexed="81"/>
            <rFont val="Tahoma"/>
            <family val="2"/>
          </rPr>
          <t xml:space="preserve">
</t>
        </r>
      </text>
    </comment>
    <comment ref="D12" authorId="0">
      <text>
        <r>
          <rPr>
            <b/>
            <sz val="9"/>
            <color indexed="81"/>
            <rFont val="Tahoma"/>
            <family val="2"/>
          </rPr>
          <t>COLOQUE EL VALOR UNITARIO DE LA ACTIVIDAD A DESARROLLAR</t>
        </r>
        <r>
          <rPr>
            <sz val="9"/>
            <color indexed="81"/>
            <rFont val="Tahoma"/>
            <family val="2"/>
          </rPr>
          <t xml:space="preserve">
</t>
        </r>
      </text>
    </comment>
  </commentList>
</comments>
</file>

<file path=xl/comments4.xml><?xml version="1.0" encoding="utf-8"?>
<comments xmlns="http://schemas.openxmlformats.org/spreadsheetml/2006/main">
  <authors>
    <author>Henry</author>
  </authors>
  <commentList>
    <comment ref="G8" authorId="0">
      <text>
        <r>
          <rPr>
            <sz val="9"/>
            <color indexed="81"/>
            <rFont val="Tahoma"/>
            <family val="2"/>
          </rPr>
          <t xml:space="preserve">EL Valor debe llevar IVA Incluido
</t>
        </r>
      </text>
    </comment>
  </commentList>
</comments>
</file>

<file path=xl/comments5.xml><?xml version="1.0" encoding="utf-8"?>
<comments xmlns="http://schemas.openxmlformats.org/spreadsheetml/2006/main">
  <authors>
    <author>nyd</author>
  </authors>
  <commentList>
    <comment ref="A18" authorId="0">
      <text>
        <r>
          <rPr>
            <b/>
            <sz val="8"/>
            <color indexed="81"/>
            <rFont val="Tahoma"/>
            <family val="2"/>
          </rPr>
          <t>nyd:</t>
        </r>
        <r>
          <rPr>
            <sz val="8"/>
            <color indexed="81"/>
            <rFont val="Tahoma"/>
            <family val="2"/>
          </rPr>
          <t xml:space="preserve">
LYZ</t>
        </r>
      </text>
    </comment>
    <comment ref="A22" authorId="0">
      <text>
        <r>
          <rPr>
            <b/>
            <sz val="8"/>
            <color indexed="81"/>
            <rFont val="Tahoma"/>
            <family val="2"/>
          </rPr>
          <t>nyd:</t>
        </r>
        <r>
          <rPr>
            <sz val="8"/>
            <color indexed="81"/>
            <rFont val="Tahoma"/>
            <family val="2"/>
          </rPr>
          <t xml:space="preserve">
(VANESSA)</t>
        </r>
      </text>
    </comment>
  </commentList>
</comments>
</file>

<file path=xl/comments6.xml><?xml version="1.0" encoding="utf-8"?>
<comments xmlns="http://schemas.openxmlformats.org/spreadsheetml/2006/main">
  <authors>
    <author>70562680</author>
  </authors>
  <commentList>
    <comment ref="G9" authorId="0">
      <text>
        <r>
          <rPr>
            <b/>
            <sz val="9"/>
            <color indexed="81"/>
            <rFont val="Tahoma"/>
            <family val="2"/>
          </rPr>
          <t>70562680:</t>
        </r>
        <r>
          <rPr>
            <sz val="9"/>
            <color indexed="81"/>
            <rFont val="Tahoma"/>
            <family val="2"/>
          </rPr>
          <t xml:space="preserve">
Se tomo el historico de Amauta
 </t>
        </r>
      </text>
    </comment>
  </commentList>
</comments>
</file>

<file path=xl/comments7.xml><?xml version="1.0" encoding="utf-8"?>
<comments xmlns="http://schemas.openxmlformats.org/spreadsheetml/2006/main">
  <authors>
    <author>ppineda</author>
  </authors>
  <commentList>
    <comment ref="A4" authorId="0">
      <text>
        <r>
          <rPr>
            <b/>
            <sz val="9"/>
            <color indexed="81"/>
            <rFont val="Tahoma"/>
            <family val="2"/>
          </rPr>
          <t>ppineda:</t>
        </r>
        <r>
          <rPr>
            <sz val="9"/>
            <color indexed="81"/>
            <rFont val="Tahoma"/>
            <family val="2"/>
          </rPr>
          <t xml:space="preserve">
Los productos nuevos en ciclo 2 se les hizo E. Precios en agosto
</t>
        </r>
      </text>
    </comment>
  </commentList>
</comments>
</file>

<file path=xl/comments8.xml><?xml version="1.0" encoding="utf-8"?>
<comments xmlns="http://schemas.openxmlformats.org/spreadsheetml/2006/main">
  <authors>
    <author>1017158131</author>
  </authors>
  <commentList>
    <comment ref="F33" authorId="0">
      <text>
        <r>
          <rPr>
            <b/>
            <sz val="8"/>
            <color indexed="81"/>
            <rFont val="Tahoma"/>
            <family val="2"/>
          </rPr>
          <t>Atendida por Ana Maria tel: 2789001 el 15 de noviembre a las 8:11 am</t>
        </r>
        <r>
          <rPr>
            <sz val="8"/>
            <color indexed="81"/>
            <rFont val="Tahoma"/>
            <family val="2"/>
          </rPr>
          <t xml:space="preserve">
</t>
        </r>
      </text>
    </comment>
  </commentList>
</comments>
</file>

<file path=xl/sharedStrings.xml><?xml version="1.0" encoding="utf-8"?>
<sst xmlns="http://schemas.openxmlformats.org/spreadsheetml/2006/main" count="2868" uniqueCount="1137">
  <si>
    <t>MUNICIPIO DE MEDELLIN</t>
  </si>
  <si>
    <t>SECRETARIA DE BIENESTAR SOCIAL</t>
  </si>
  <si>
    <t xml:space="preserve"> </t>
  </si>
  <si>
    <t>CANTIDAD</t>
  </si>
  <si>
    <t>Unidad</t>
  </si>
  <si>
    <t>IVA</t>
  </si>
  <si>
    <t>DESCRIPCION</t>
  </si>
  <si>
    <t>TV 32" LCD</t>
  </si>
  <si>
    <t>VIDEO BEN</t>
  </si>
  <si>
    <t>Kilo</t>
  </si>
  <si>
    <t>Cant.</t>
  </si>
  <si>
    <t>Libra</t>
  </si>
  <si>
    <t>EQUIPO DE COSTOS</t>
  </si>
  <si>
    <t>EXPERIENCIA</t>
  </si>
  <si>
    <t>ESTUDIOS</t>
  </si>
  <si>
    <t>SALARIO</t>
  </si>
  <si>
    <t>PROFESIONAL</t>
  </si>
  <si>
    <t>SIN
EXPERIENCIA</t>
  </si>
  <si>
    <t>1 A 2 AÑOS</t>
  </si>
  <si>
    <t>2 A 5 AÑOS</t>
  </si>
  <si>
    <t>ESPECIA
LIZACION</t>
  </si>
  <si>
    <t>MAESTRIA</t>
  </si>
  <si>
    <t>BASICO
MENSUAL 2009</t>
  </si>
  <si>
    <t>X</t>
  </si>
  <si>
    <t>Coordinador General del Programa (1)</t>
  </si>
  <si>
    <t>Coordinador General del Programa (2)</t>
  </si>
  <si>
    <t xml:space="preserve">Auxiliar Coordinador (2) </t>
  </si>
  <si>
    <t>Operador Coordinador (Bachiller)</t>
  </si>
  <si>
    <t>Profesional (1)</t>
  </si>
  <si>
    <t>Profesional (2)</t>
  </si>
  <si>
    <t xml:space="preserve">X </t>
  </si>
  <si>
    <t>Profesional (3)</t>
  </si>
  <si>
    <t>Medico General</t>
  </si>
  <si>
    <t xml:space="preserve">Medico General </t>
  </si>
  <si>
    <t>Auxiliar de Gerontología</t>
  </si>
  <si>
    <t>Auxiliar de Enfermería</t>
  </si>
  <si>
    <t>Secretaria General (Técnica)</t>
  </si>
  <si>
    <t>Secretaria Auxiliar Contable (Tecnica)</t>
  </si>
  <si>
    <t>Secretaria Digitadora</t>
  </si>
  <si>
    <t>Operador Calificado</t>
  </si>
  <si>
    <t>Auxiliar Educativo (Bachiller)</t>
  </si>
  <si>
    <t>Bachiller</t>
  </si>
  <si>
    <t>Oficios Varios</t>
  </si>
  <si>
    <t>Vigilante</t>
  </si>
  <si>
    <t>Medico Psiquiatra</t>
  </si>
  <si>
    <t>Odontologo</t>
  </si>
  <si>
    <t>COMPONENTES DEL KIT</t>
  </si>
  <si>
    <t>Agropecuaria la Miranda</t>
  </si>
  <si>
    <t>TOTAL COSTO</t>
  </si>
  <si>
    <t>Plantulas</t>
  </si>
  <si>
    <t>Herramientas</t>
  </si>
  <si>
    <t>Semillas</t>
  </si>
  <si>
    <t>Hortalizas</t>
  </si>
  <si>
    <t>COSTO PROMEDIO</t>
  </si>
  <si>
    <t>DVD  Multizona</t>
  </si>
  <si>
    <t>Telefono Inhalambrico</t>
  </si>
  <si>
    <t>Credihogar</t>
  </si>
  <si>
    <t>Navarro Ospina</t>
  </si>
  <si>
    <t>LM Electrodomest</t>
  </si>
  <si>
    <t>Foto Japón</t>
  </si>
  <si>
    <t>Flascamaras</t>
  </si>
  <si>
    <t>Metrocamaras</t>
  </si>
  <si>
    <t>Fotolandia</t>
  </si>
  <si>
    <t>Camaras y acces</t>
  </si>
  <si>
    <t>Costo promedio</t>
  </si>
  <si>
    <t xml:space="preserve">Grabadora digital periodista de voz, 290 horas, con auricular estereo, SONY ICD UX70RED, </t>
  </si>
  <si>
    <t>Camara digital  12MGP, KODACK V 1273</t>
  </si>
  <si>
    <t xml:space="preserve">Impresora, MULTIFUNCIONAL ( Impresion, Escaneo, Fax, Copia, velocidad 28 ppm, resolucion 1200 * 1200 DPI, Duplex incorporado, memoria 128MB, interfase USB
50.000 PAGINAS MES, SANSUNG scx-4828fn 
</t>
  </si>
  <si>
    <t>Filmadora SONY DCR SR-47, Zoom optico LCD 2.7, Disco duro de 60GB</t>
  </si>
  <si>
    <t>Semillas y semillas</t>
  </si>
  <si>
    <t>kilo</t>
  </si>
  <si>
    <t>CONCEPTO</t>
  </si>
  <si>
    <t>BASICO
MENSUAL 2010</t>
  </si>
  <si>
    <t>Abono orgánico compostado</t>
  </si>
  <si>
    <t>Cal agrícola</t>
  </si>
  <si>
    <t>Sulfato de cobre</t>
  </si>
  <si>
    <t>Azadón con cabo</t>
  </si>
  <si>
    <t>Machete 18"</t>
  </si>
  <si>
    <t>Roca fosfórica</t>
  </si>
  <si>
    <t>Perol mediano con tapa</t>
  </si>
  <si>
    <t>Tabla plástica para picar</t>
  </si>
  <si>
    <t>Recipientes plásticos (tazones)</t>
  </si>
  <si>
    <t>UM</t>
  </si>
  <si>
    <t>Mangera de 3/4" de 20 mts con acoples</t>
  </si>
  <si>
    <t>Alambre de púas k 16, 20 mts</t>
  </si>
  <si>
    <t>Maíz ICA 305</t>
  </si>
  <si>
    <t>Frijol ICA Quimbaya</t>
  </si>
  <si>
    <t>Agromayorista ltda.</t>
  </si>
  <si>
    <t>Vigor Ltda.</t>
  </si>
  <si>
    <t>Codistribelt Ltda.</t>
  </si>
  <si>
    <t>Ferreteria actual Ltda.</t>
  </si>
  <si>
    <t>Grapas (caja)</t>
  </si>
  <si>
    <t>Tierragro</t>
  </si>
  <si>
    <t>454 gr.</t>
  </si>
  <si>
    <t>Delantal cocinero en tela</t>
  </si>
  <si>
    <t>Makro</t>
  </si>
  <si>
    <t>ESTUDIO DE COSTOS - VIGENCIA 2010 (Del 21 de enero al 31 de diciembre)</t>
  </si>
  <si>
    <t>Carrefour</t>
  </si>
  <si>
    <t>PROVEEDOR</t>
  </si>
  <si>
    <t>Agromayorista Ltda.</t>
  </si>
  <si>
    <t>Costo total</t>
  </si>
  <si>
    <t>Éxito</t>
  </si>
  <si>
    <t>COSTO TOTAL</t>
  </si>
  <si>
    <t>Elaboró:  Paula Andrea Mosquera Quiroz</t>
  </si>
  <si>
    <t>ATENCION Y ORIENTACIÓN A LA POBLACION EN CONDICIÓN DE DESPLAZAMIENTO</t>
  </si>
  <si>
    <t xml:space="preserve">Fresa </t>
  </si>
  <si>
    <t xml:space="preserve">Caléndula </t>
  </si>
  <si>
    <t xml:space="preserve">Limoncillo </t>
  </si>
  <si>
    <t xml:space="preserve">Ruda </t>
  </si>
  <si>
    <t xml:space="preserve">Uchuva </t>
  </si>
  <si>
    <t xml:space="preserve">Yerbabuena </t>
  </si>
  <si>
    <t>Agroempaques</t>
  </si>
  <si>
    <t>Codima</t>
  </si>
  <si>
    <t>Agromayorista</t>
  </si>
  <si>
    <t>HERRAMIENTAS</t>
  </si>
  <si>
    <t>Maderas Gilberto Builes</t>
  </si>
  <si>
    <t>Maderinco S.A.</t>
  </si>
  <si>
    <t>Casa Gómez</t>
  </si>
  <si>
    <t>ESTRA</t>
  </si>
  <si>
    <t>Quimicos JM SA</t>
  </si>
  <si>
    <t>Quimicos LM</t>
  </si>
  <si>
    <t>Multihogar</t>
  </si>
  <si>
    <t>Olla de aluminio con tapa, 3 litros</t>
  </si>
  <si>
    <t>KIT DE CULINARIA</t>
  </si>
  <si>
    <t>ARTÍCULOS</t>
  </si>
  <si>
    <t>Cuchillo 5"</t>
  </si>
  <si>
    <t>Gorro cocinero en tela</t>
  </si>
  <si>
    <t>Promical</t>
  </si>
  <si>
    <t xml:space="preserve">Protokimica </t>
  </si>
  <si>
    <t>Multiquimica Ltda.</t>
  </si>
  <si>
    <t>Quimicotienda</t>
  </si>
  <si>
    <t>abaquim Ltda.</t>
  </si>
  <si>
    <t>Promical Ltda.</t>
  </si>
  <si>
    <t>Cantidad</t>
  </si>
  <si>
    <t>SEGURIDAD ALIMENTARIA Y NUTRICIONAL</t>
  </si>
  <si>
    <t>Kilos</t>
  </si>
  <si>
    <t>Gramos</t>
  </si>
  <si>
    <t>KIT AGROPECUARIO</t>
  </si>
  <si>
    <t>Arveja</t>
  </si>
  <si>
    <t>Cilantro</t>
  </si>
  <si>
    <t>Habichuela</t>
  </si>
  <si>
    <t>Pepino cohombro</t>
  </si>
  <si>
    <t>Remolacha</t>
  </si>
  <si>
    <t>Zanahoria</t>
  </si>
  <si>
    <t>Lechuga batavia</t>
  </si>
  <si>
    <t>Tomate</t>
  </si>
  <si>
    <t>Costo unitario apoyo</t>
  </si>
  <si>
    <t>Familias  beneficiadas</t>
  </si>
  <si>
    <r>
      <rPr>
        <b/>
        <sz val="11"/>
        <color indexed="8"/>
        <rFont val="Calibri"/>
        <family val="2"/>
      </rPr>
      <t xml:space="preserve">Nota:  </t>
    </r>
    <r>
      <rPr>
        <sz val="11"/>
        <color theme="1"/>
        <rFont val="Calibri"/>
        <family val="2"/>
        <scheme val="minor"/>
      </rPr>
      <t>Las plantulas, semillas y hortalizas se encuentran exentas de IVA.</t>
    </r>
  </si>
  <si>
    <t>25 kilos</t>
  </si>
  <si>
    <t>5 kilos</t>
  </si>
  <si>
    <t>200 gr.</t>
  </si>
  <si>
    <t>INSUMOS</t>
  </si>
  <si>
    <t>1000 kilos</t>
  </si>
  <si>
    <t>PRODUCTO</t>
  </si>
  <si>
    <t>50 kilos</t>
  </si>
  <si>
    <t>500 gr.</t>
  </si>
  <si>
    <t>25000 gr.</t>
  </si>
  <si>
    <t>tonelada</t>
  </si>
  <si>
    <t>bulto</t>
  </si>
  <si>
    <t>Equiv.</t>
  </si>
  <si>
    <t>$ COTIZ.</t>
  </si>
  <si>
    <t>400 mts</t>
  </si>
  <si>
    <t>Alambre de púas k 16</t>
  </si>
  <si>
    <t>Costo total * producto</t>
  </si>
  <si>
    <t>Costo unitario + Inc.2010</t>
  </si>
  <si>
    <t>Ferrenac.</t>
  </si>
  <si>
    <t>Astilla ganadera (5,5 cm-espesor*2,2-alto)</t>
  </si>
  <si>
    <t>kit agropecuario</t>
  </si>
  <si>
    <t>Insumos</t>
  </si>
  <si>
    <r>
      <t xml:space="preserve">Cucharón de </t>
    </r>
    <r>
      <rPr>
        <sz val="14"/>
        <color indexed="10"/>
        <rFont val="Tahoma"/>
        <family val="2"/>
      </rPr>
      <t>nylon</t>
    </r>
  </si>
  <si>
    <r>
      <t xml:space="preserve">Espumadera de </t>
    </r>
    <r>
      <rPr>
        <sz val="14"/>
        <color indexed="10"/>
        <rFont val="Tahoma"/>
        <family val="2"/>
      </rPr>
      <t>nylon</t>
    </r>
  </si>
  <si>
    <t>Costo apoyo</t>
  </si>
  <si>
    <t>Inmuniz. Rionegro</t>
  </si>
  <si>
    <t>Kit herram.jardinera (pala, tenedor y rastrillo)</t>
  </si>
  <si>
    <t>Canasta para almacenamiento de frutas (60cm*40cm*13 alto) Recuperado</t>
  </si>
  <si>
    <t>Rollo de fibra  para amarrar (750 mts)</t>
  </si>
  <si>
    <t>Fibolca Distrib.</t>
  </si>
  <si>
    <t>Agencia de empaques</t>
  </si>
  <si>
    <t>pendiente que marcela hable con jader</t>
  </si>
  <si>
    <t>SECRETARIA DE SOLIDARIDAD</t>
  </si>
  <si>
    <t>POLIZAS LEGALES</t>
  </si>
  <si>
    <t xml:space="preserve">VALOR </t>
  </si>
  <si>
    <t>TASA</t>
  </si>
  <si>
    <t xml:space="preserve">TASA </t>
  </si>
  <si>
    <t>VALOR</t>
  </si>
  <si>
    <t>PERIODO/VIGENCIA</t>
  </si>
  <si>
    <t>VIGENCIA DE LA</t>
  </si>
  <si>
    <t>GTOS.</t>
  </si>
  <si>
    <t xml:space="preserve">TOTAL </t>
  </si>
  <si>
    <t>CONTRATO</t>
  </si>
  <si>
    <t>A ASEGURAR</t>
  </si>
  <si>
    <t>ASEGURADA</t>
  </si>
  <si>
    <t>ASEGURADO</t>
  </si>
  <si>
    <t>POLIZA</t>
  </si>
  <si>
    <t>PRIMA</t>
  </si>
  <si>
    <t>EXPEDICION</t>
  </si>
  <si>
    <t>PAGADO</t>
  </si>
  <si>
    <t>(POR MPIO MEDE)</t>
  </si>
  <si>
    <t>$</t>
  </si>
  <si>
    <t>AÑO</t>
  </si>
  <si>
    <t>PAGO DE SALARIOS, P. SOCIALES</t>
  </si>
  <si>
    <t>CUMPLIMIENTO</t>
  </si>
  <si>
    <t>CALIDAD</t>
  </si>
  <si>
    <t>RESPONSABILIDAD CIVIL EXTRACON.</t>
  </si>
  <si>
    <t>MANEJO DE ANTICIPO</t>
  </si>
  <si>
    <t>PARA CONTRATOS DE 1 MES (30 DIAS)</t>
  </si>
  <si>
    <t>RECURSO HUMANO</t>
  </si>
  <si>
    <t>ESTUDIO DE COSTOS</t>
  </si>
  <si>
    <t>PROMEDIO</t>
  </si>
  <si>
    <t>Incremento SMMLV 2010</t>
  </si>
  <si>
    <t>NIVEL DE FORMACION</t>
  </si>
  <si>
    <t>SUBSIDIO DE TRANSPORTE 2010</t>
  </si>
  <si>
    <t>PREGRADO</t>
  </si>
  <si>
    <t>BILINGÜE</t>
  </si>
  <si>
    <t>MINISTERIO DE EDUCACIÓN NACIONAL</t>
  </si>
  <si>
    <t>WWW.TUSALARIO.ORG/COLOMBIA/</t>
  </si>
  <si>
    <t>COORDINADOR</t>
  </si>
  <si>
    <t>Coordinador General del Programa (3)</t>
  </si>
  <si>
    <t>Coordinador General del Programa (4)</t>
  </si>
  <si>
    <t>Auxiliar Coordinador (1)</t>
  </si>
  <si>
    <t>TÉCNICO</t>
  </si>
  <si>
    <t>Técnico (1)</t>
  </si>
  <si>
    <t>Técnico (2)</t>
  </si>
  <si>
    <t>Técnico (3)</t>
  </si>
  <si>
    <t>Técnico (4)</t>
  </si>
  <si>
    <t>TECNÓLOGO</t>
  </si>
  <si>
    <t>Tecnólogo (1)</t>
  </si>
  <si>
    <t>Tecnólogo (2)</t>
  </si>
  <si>
    <t>Tecnólogo (3)</t>
  </si>
  <si>
    <t>Tecnólogo (4)</t>
  </si>
  <si>
    <t>Profesional (4)</t>
  </si>
  <si>
    <t>Profesional (5)</t>
  </si>
  <si>
    <t>Profesional (6)</t>
  </si>
  <si>
    <t>Profesional (7)</t>
  </si>
  <si>
    <t>Profesional (8)</t>
  </si>
  <si>
    <t>Profesional (9)</t>
  </si>
  <si>
    <t>Profesional (10)</t>
  </si>
  <si>
    <t>Profesional (11)</t>
  </si>
  <si>
    <t>Profesional (12)</t>
  </si>
  <si>
    <t>Profesional (13)</t>
  </si>
  <si>
    <t>Profesional (14)</t>
  </si>
  <si>
    <t>MEDICINA</t>
  </si>
  <si>
    <t xml:space="preserve">SECRETARIA </t>
  </si>
  <si>
    <t>Secretaria General (Atención al Público)</t>
  </si>
  <si>
    <t>Secretarias administrativas y asistentes personales (Técnico)</t>
  </si>
  <si>
    <t>VARIOS</t>
  </si>
  <si>
    <t>CRITERIOS TENIDOS EN CUENTA:</t>
  </si>
  <si>
    <t>La inflación y le incremento realizado por el Gobierno Nacional al Salario Minimo Legal</t>
  </si>
  <si>
    <t>SALARIO MÍNIMO INTEGRAL 2010</t>
  </si>
  <si>
    <t>$ 6'695.000.00</t>
  </si>
  <si>
    <t>La diversidad de perfiles</t>
  </si>
  <si>
    <t>Contextualizamos en el tema de salarios y tendencias</t>
  </si>
  <si>
    <t>Incremento proporcional en aquellos salarios mas altos.</t>
  </si>
  <si>
    <t>Esta tabla no se aplica para:</t>
  </si>
  <si>
    <t>1. Profesionales de la Salud</t>
  </si>
  <si>
    <t>SE ESTABLECIERON LAS SIGUIENTES CATEGORIAS PARA HACER EFECTIVO EL INCREMENTO</t>
  </si>
  <si>
    <t xml:space="preserve">2. Derecho, en todos los casos ya definidos por el </t>
  </si>
  <si>
    <t>Colegio de Abogados</t>
  </si>
  <si>
    <t>3. Profesionales de la Educación</t>
  </si>
  <si>
    <t>GASTOS GENERALES</t>
  </si>
  <si>
    <t>ALCALDÍA DE MEDELLÍN</t>
  </si>
  <si>
    <t>VALOR TOTAL</t>
  </si>
  <si>
    <t>IMPERIO PAPELERO</t>
  </si>
  <si>
    <t>PAPELERIA TENERIFE</t>
  </si>
  <si>
    <t>SURTIOFICINAS</t>
  </si>
  <si>
    <t>Inflación 2011: 3,8%</t>
  </si>
  <si>
    <t>Inflación 2011: 4%</t>
  </si>
  <si>
    <t>COMPUTRABAJO.COM</t>
  </si>
  <si>
    <t>Proyeccion 2011 al 2,7%</t>
  </si>
  <si>
    <t>Proyeccion 2011 al 3,8%</t>
  </si>
  <si>
    <t>Coordinador Area</t>
  </si>
  <si>
    <t>x</t>
  </si>
  <si>
    <t>Enfermero Profesional</t>
  </si>
  <si>
    <r>
      <t xml:space="preserve">el cual fue de </t>
    </r>
    <r>
      <rPr>
        <b/>
        <sz val="9"/>
        <color indexed="8"/>
        <rFont val="Tahoma"/>
        <family val="2"/>
      </rPr>
      <t>3,64%</t>
    </r>
  </si>
  <si>
    <r>
      <t xml:space="preserve">Para Técnicos, Tecnólogos:  aplicara un incremento del </t>
    </r>
    <r>
      <rPr>
        <b/>
        <sz val="9"/>
        <color indexed="8"/>
        <rFont val="Tahoma"/>
        <family val="2"/>
      </rPr>
      <t>3,64%</t>
    </r>
    <r>
      <rPr>
        <sz val="9"/>
        <color indexed="8"/>
        <rFont val="Tahoma"/>
        <family val="2"/>
      </rPr>
      <t xml:space="preserve">  que fue el incremento del SMLV.</t>
    </r>
  </si>
  <si>
    <r>
      <t>Para Pregrado, experiencia hasta 3 años, Bilingüe (3 primeras Categorias). Aplicara un</t>
    </r>
    <r>
      <rPr>
        <b/>
        <sz val="9"/>
        <color indexed="8"/>
        <rFont val="Tahoma"/>
        <family val="2"/>
      </rPr>
      <t xml:space="preserve"> 4,99%</t>
    </r>
  </si>
  <si>
    <r>
      <t xml:space="preserve">Para Posgrado y Maestrias (Desde la 4 Categoria hacia adelante). Aplicara un incremento de </t>
    </r>
    <r>
      <rPr>
        <b/>
        <sz val="9"/>
        <color indexed="8"/>
        <rFont val="Tahoma"/>
        <family val="2"/>
      </rPr>
      <t>3,07%</t>
    </r>
  </si>
  <si>
    <t>Concepto</t>
  </si>
  <si>
    <t>Costo Total</t>
  </si>
  <si>
    <t>Proyeccion 2011 al 3,373%</t>
  </si>
  <si>
    <t>IPC REAL</t>
  </si>
  <si>
    <t>IPC PROYECTADO</t>
  </si>
  <si>
    <t>SMMLV</t>
  </si>
  <si>
    <t>BASICO MENSUAL</t>
  </si>
  <si>
    <t>SUBSIDIO DE TRANSPORTE</t>
  </si>
  <si>
    <t>Secretaria General
 (Atención al Público)</t>
  </si>
  <si>
    <t>Secretarias administrativas y 
asistentes personales (Técnico)</t>
  </si>
  <si>
    <t>VICTOR MANUEL MONSALVE RIOS</t>
  </si>
  <si>
    <t>Secretario (e) de la Secretaria de Bienestar Social</t>
  </si>
  <si>
    <t>Secretaria de Bienestar Social</t>
  </si>
  <si>
    <t>Estudio de Costos</t>
  </si>
  <si>
    <t>TOTAL SUELDOS</t>
  </si>
  <si>
    <t>PERIODO CONTRATO</t>
  </si>
  <si>
    <t>COSTO MES</t>
  </si>
  <si>
    <t>Total periodo contractual</t>
  </si>
  <si>
    <t>Fecha:</t>
  </si>
  <si>
    <t>Totales</t>
  </si>
  <si>
    <t>Municipio de Medellín</t>
  </si>
  <si>
    <t>Resma</t>
  </si>
  <si>
    <t>Mensual</t>
  </si>
  <si>
    <t>PERIODICIDAD</t>
  </si>
  <si>
    <t xml:space="preserve">OBSERVACIONES </t>
  </si>
  <si>
    <t>CANTIDAD MES</t>
  </si>
  <si>
    <t>Bolígrafo negro</t>
  </si>
  <si>
    <t>Caja de lapiceros x 12</t>
  </si>
  <si>
    <t>Carpeta carta sencilla de yute</t>
  </si>
  <si>
    <t xml:space="preserve">Carpeta oficio colgante  de yute </t>
  </si>
  <si>
    <t>Cinta adhesiva transparente delgada</t>
  </si>
  <si>
    <t xml:space="preserve">Clip mariposa gema </t>
  </si>
  <si>
    <t>Caja por 50 unidades</t>
  </si>
  <si>
    <t>Clip pequeño</t>
  </si>
  <si>
    <t>Caja por 100 unidades</t>
  </si>
  <si>
    <t>Folder  A-Z carta</t>
  </si>
  <si>
    <t>Gancho legajador plástico</t>
  </si>
  <si>
    <t>Caja por 20 unidades</t>
  </si>
  <si>
    <t xml:space="preserve">Gancho para cosedora </t>
  </si>
  <si>
    <t>Caja por 5000 unidades</t>
  </si>
  <si>
    <t>Lápiz</t>
  </si>
  <si>
    <t>Caja de Lápices No. 2 x 12</t>
  </si>
  <si>
    <t>Corrector en barra</t>
  </si>
  <si>
    <t>Pegastic  x 20 grms</t>
  </si>
  <si>
    <t xml:space="preserve">Resaltador </t>
  </si>
  <si>
    <t>Caja de 10 unidades</t>
  </si>
  <si>
    <t xml:space="preserve">Resma tamaño carta </t>
  </si>
  <si>
    <t>Resma tamaño oficio</t>
  </si>
  <si>
    <t>PAPELERIA DOFA</t>
  </si>
  <si>
    <t>FOTOCOPIAS ATHENEA</t>
  </si>
  <si>
    <t>ARCHIVO CENTRO DE COPIADO</t>
  </si>
  <si>
    <t>Fotocopia a dos caras (carta - oficio)</t>
  </si>
  <si>
    <t>Papel Para Fax</t>
  </si>
  <si>
    <t>Sobres de Manila Carta</t>
  </si>
  <si>
    <t>Sobres de Manila Oficio</t>
  </si>
  <si>
    <t>Marcadores Borrables</t>
  </si>
  <si>
    <t>la 14</t>
  </si>
  <si>
    <t xml:space="preserve">CD  </t>
  </si>
  <si>
    <t>Caja x 4</t>
  </si>
  <si>
    <t>Cinta de Eemascarar 40m x 12mm</t>
  </si>
  <si>
    <t>PAPELERIA Y SUMINISTRO</t>
  </si>
  <si>
    <t>PAPELERIA LA COMUNA</t>
  </si>
  <si>
    <t>Tintas y Toner</t>
  </si>
  <si>
    <t>Cartucho HP 45  negro (6122) original</t>
  </si>
  <si>
    <t>Cartucho HP 78 color (6122) original</t>
  </si>
  <si>
    <t xml:space="preserve">Cartucho HP 27 negro (3745) original </t>
  </si>
  <si>
    <t>Cartucho HP 28 color (3745) original</t>
  </si>
  <si>
    <t xml:space="preserve">Toner HP Q 2612  A (1020) original </t>
  </si>
  <si>
    <t>Mercado Libre</t>
  </si>
  <si>
    <t>ALBERGUE TEMPORAL</t>
  </si>
  <si>
    <t>UNIDAD DE PROGRAMAS SOCIALES ESPECIALES</t>
  </si>
  <si>
    <t>CONTRATACION DEL SERVICIO DE SUMINISTRO PROCESAMIENTO Y DISTRIBUCION DE LA ALIMENTACION PARA CALOR DE HOGAR 1,2,3 SOCIAL</t>
  </si>
  <si>
    <t>COSTOS VIVERES POR GRUPO CONTRATACION AÑO 2009</t>
  </si>
  <si>
    <t>DESAYUNO HOMBRES Y MUJERES</t>
  </si>
  <si>
    <t>Alimento</t>
  </si>
  <si>
    <t>Precio mayorista</t>
  </si>
  <si>
    <t>Valor x porcion</t>
  </si>
  <si>
    <t>1. Bebida caliente</t>
  </si>
  <si>
    <t>Leche</t>
  </si>
  <si>
    <t>Leche líquida</t>
  </si>
  <si>
    <t>lts</t>
  </si>
  <si>
    <t>cc</t>
  </si>
  <si>
    <t>Azucar  blancoes y dulces</t>
  </si>
  <si>
    <t>Panela</t>
  </si>
  <si>
    <t>lb</t>
  </si>
  <si>
    <t>gr</t>
  </si>
  <si>
    <t>Azúcar</t>
  </si>
  <si>
    <t>Sabor</t>
  </si>
  <si>
    <t>Chocolate pastilla</t>
  </si>
  <si>
    <t>pasta</t>
  </si>
  <si>
    <t>Cocoa</t>
  </si>
  <si>
    <t>Chocolisto</t>
  </si>
  <si>
    <t xml:space="preserve">Café granulado </t>
  </si>
  <si>
    <t>2. Arepa delgada</t>
  </si>
  <si>
    <t>Arepa tela</t>
  </si>
  <si>
    <t>g</t>
  </si>
  <si>
    <t>undx60gr</t>
  </si>
  <si>
    <t xml:space="preserve">3. Acompañante o </t>
  </si>
  <si>
    <t>Galleta ducales</t>
  </si>
  <si>
    <t>taco X 40</t>
  </si>
  <si>
    <t>und</t>
  </si>
  <si>
    <t>energético</t>
  </si>
  <si>
    <t>Galleta de soda</t>
  </si>
  <si>
    <t>taco X 36</t>
  </si>
  <si>
    <t>Pan tajado</t>
  </si>
  <si>
    <t>paq x 500gr</t>
  </si>
  <si>
    <t>undx22gr</t>
  </si>
  <si>
    <t>Pan bola</t>
  </si>
  <si>
    <t>undx26gr</t>
  </si>
  <si>
    <t>Tostadas</t>
  </si>
  <si>
    <t>undx16gr</t>
  </si>
  <si>
    <t>Caladitos</t>
  </si>
  <si>
    <t>Buñuelo</t>
  </si>
  <si>
    <t>undx28gr</t>
  </si>
  <si>
    <t>X energetico desayuno</t>
  </si>
  <si>
    <t>Pandequeso</t>
  </si>
  <si>
    <t>Palito de queso</t>
  </si>
  <si>
    <t xml:space="preserve">4. Queso, quesito , </t>
  </si>
  <si>
    <t>Quesito</t>
  </si>
  <si>
    <t>undx220gr</t>
  </si>
  <si>
    <t>X queso, quesito o huevo</t>
  </si>
  <si>
    <t>huevo y otros.</t>
  </si>
  <si>
    <t>Queso</t>
  </si>
  <si>
    <t>kg</t>
  </si>
  <si>
    <t>9 días en los 20 días del ciclo</t>
  </si>
  <si>
    <t>Huevo A</t>
  </si>
  <si>
    <t>und tipo A</t>
  </si>
  <si>
    <t>4 días en los 20 días del ciclo</t>
  </si>
  <si>
    <t>morcilla</t>
  </si>
  <si>
    <t>1 dia en el ciclo</t>
  </si>
  <si>
    <t>Salchicha</t>
  </si>
  <si>
    <t xml:space="preserve"> 2 día en los 20 días del ciclo</t>
  </si>
  <si>
    <t>Mortadela</t>
  </si>
  <si>
    <t xml:space="preserve"> 1 día en los 20 días del ciclo</t>
  </si>
  <si>
    <t>5. Margarina</t>
  </si>
  <si>
    <t>Mantequilla</t>
  </si>
  <si>
    <t>Lb</t>
  </si>
  <si>
    <t>media mañana</t>
  </si>
  <si>
    <t>1. Bebida jugo de fruta natural</t>
  </si>
  <si>
    <t>Porción de 80gr neto</t>
  </si>
  <si>
    <t>Fruta</t>
  </si>
  <si>
    <t>Guayaba común</t>
  </si>
  <si>
    <t>k</t>
  </si>
  <si>
    <t>Curuba</t>
  </si>
  <si>
    <t>Mango</t>
  </si>
  <si>
    <t>Guanábana</t>
  </si>
  <si>
    <t>Lulo</t>
  </si>
  <si>
    <t>Tomate de árbol</t>
  </si>
  <si>
    <t>Mora</t>
  </si>
  <si>
    <t>Piña</t>
  </si>
  <si>
    <t>Maracuyá</t>
  </si>
  <si>
    <t xml:space="preserve">2. Acompañante o </t>
  </si>
  <si>
    <t>taco x 40</t>
  </si>
  <si>
    <r>
      <t xml:space="preserve">energético </t>
    </r>
    <r>
      <rPr>
        <sz val="9"/>
        <rFont val="Calibri"/>
        <family val="2"/>
      </rPr>
      <t>(cereales,</t>
    </r>
  </si>
  <si>
    <t>taco x 36</t>
  </si>
  <si>
    <t>plátanos y tubérculos)</t>
  </si>
  <si>
    <t>Galleta wafer</t>
  </si>
  <si>
    <t>undx25gr</t>
  </si>
  <si>
    <t>Lengua dulce</t>
  </si>
  <si>
    <t xml:space="preserve">undx30gr </t>
  </si>
  <si>
    <t>Pastel de arequipe</t>
  </si>
  <si>
    <t>Roscón</t>
  </si>
  <si>
    <t>Ponqué ramito</t>
  </si>
  <si>
    <t>Rollo dulce</t>
  </si>
  <si>
    <t>ALMUERZO HOMBRES Y MUJERES</t>
  </si>
  <si>
    <t>2. Sopa</t>
  </si>
  <si>
    <t>Cereales, plátanos y</t>
  </si>
  <si>
    <t>Arroz</t>
  </si>
  <si>
    <t>tubérculos</t>
  </si>
  <si>
    <t>Avena comercial</t>
  </si>
  <si>
    <t>Pasta fideo</t>
  </si>
  <si>
    <t>paqx250gr</t>
  </si>
  <si>
    <t>Arracacha</t>
  </si>
  <si>
    <t>Papa capira</t>
  </si>
  <si>
    <t>Papa criolla</t>
  </si>
  <si>
    <t>Papa nevada</t>
  </si>
  <si>
    <t>Yuca</t>
  </si>
  <si>
    <t>Guineo</t>
  </si>
  <si>
    <t>Plátano verde</t>
  </si>
  <si>
    <t>Harina de trigo</t>
  </si>
  <si>
    <t>10 días en los 20 días del ciclo</t>
  </si>
  <si>
    <t xml:space="preserve">X cereales, plátanos y tubérculos y leguminosas </t>
  </si>
  <si>
    <t>Leguminosas</t>
  </si>
  <si>
    <t xml:space="preserve">Frijol cargamanto </t>
  </si>
  <si>
    <t>Lentejas</t>
  </si>
  <si>
    <t>Blanquillo</t>
  </si>
  <si>
    <t>Arveja seca</t>
  </si>
  <si>
    <t>3 día en los 20 días del ciclo</t>
  </si>
  <si>
    <t>Porción de 40gr neto</t>
  </si>
  <si>
    <t>Verduras</t>
  </si>
  <si>
    <t>Cebolla de huevo</t>
  </si>
  <si>
    <t xml:space="preserve">Repollo </t>
  </si>
  <si>
    <t>Coliflor</t>
  </si>
  <si>
    <t>Ahuyama</t>
  </si>
  <si>
    <t>Espinaca</t>
  </si>
  <si>
    <t>Acelga</t>
  </si>
  <si>
    <t>victoria</t>
  </si>
  <si>
    <t>Arveja verde</t>
  </si>
  <si>
    <t>Apio</t>
  </si>
  <si>
    <t>Cidra</t>
  </si>
  <si>
    <t>Algunas opciones de</t>
  </si>
  <si>
    <t>ingredientes adicionales</t>
  </si>
  <si>
    <t xml:space="preserve">requeridos para la </t>
  </si>
  <si>
    <t>Cebolla de rama</t>
  </si>
  <si>
    <t>preparación de la sopa</t>
  </si>
  <si>
    <t>Caldo concentrado</t>
  </si>
  <si>
    <t>unidad</t>
  </si>
  <si>
    <t>Sal</t>
  </si>
  <si>
    <t>Porción de 120 gr cocido</t>
  </si>
  <si>
    <t>3. Arroz</t>
  </si>
  <si>
    <t>4. Acompañante o energético</t>
  </si>
  <si>
    <t xml:space="preserve">Cereales, plátanos y </t>
  </si>
  <si>
    <t>Pastas Conchitas</t>
  </si>
  <si>
    <t>Plátano maduro</t>
  </si>
  <si>
    <t>Arepa redonda</t>
  </si>
  <si>
    <t>undx52gr</t>
  </si>
  <si>
    <t xml:space="preserve">preparación del </t>
  </si>
  <si>
    <t>acompañante o</t>
  </si>
  <si>
    <t xml:space="preserve">Porción de 80gr </t>
  </si>
  <si>
    <t>5. Carne</t>
  </si>
  <si>
    <t>Carne de res 2da</t>
  </si>
  <si>
    <t>5 días en los 17 días del ciclo</t>
  </si>
  <si>
    <t>X carnes</t>
  </si>
  <si>
    <t>Carne de res 1ra</t>
  </si>
  <si>
    <t>3 días en los 17 días del ciclo</t>
  </si>
  <si>
    <t>Carne de cerdo</t>
  </si>
  <si>
    <t>2 días en los 17 días del ciclo</t>
  </si>
  <si>
    <t>Merluza</t>
  </si>
  <si>
    <t>Atún en aceite</t>
  </si>
  <si>
    <t>1 día en los 17 días del ciclo</t>
  </si>
  <si>
    <t>Pollo</t>
  </si>
  <si>
    <t>Tocino</t>
  </si>
  <si>
    <t>1 dia en los 17 dias del ciclo</t>
  </si>
  <si>
    <t>preparación de la carne</t>
  </si>
  <si>
    <t>6. Verduras</t>
  </si>
  <si>
    <t>Pepino</t>
  </si>
  <si>
    <t>Lechuga</t>
  </si>
  <si>
    <t>Brócoli</t>
  </si>
  <si>
    <t>7. Grasas</t>
  </si>
  <si>
    <t>Aceite</t>
  </si>
  <si>
    <t>lt</t>
  </si>
  <si>
    <t>Margarina</t>
  </si>
  <si>
    <t>Mayonesa</t>
  </si>
  <si>
    <t>8. postre</t>
  </si>
  <si>
    <t>Ponqué</t>
  </si>
  <si>
    <t>algo</t>
  </si>
  <si>
    <t xml:space="preserve">COMIDA </t>
  </si>
  <si>
    <t>panela</t>
  </si>
  <si>
    <t>Pasta Cabello de ángel</t>
  </si>
  <si>
    <t>Porción de 80 g cocido</t>
  </si>
  <si>
    <t xml:space="preserve">3arroz </t>
  </si>
  <si>
    <t>7 días en los 17 días del ciclo</t>
  </si>
  <si>
    <t>2 días en los 17días del ciclo</t>
  </si>
  <si>
    <t>6. Grasas</t>
  </si>
  <si>
    <t xml:space="preserve">MERIENDA </t>
  </si>
  <si>
    <t>CARLOS MARIO ROMERO MISAS</t>
  </si>
  <si>
    <t>HUMBERTO RAMIREZ RAMIREZ</t>
  </si>
  <si>
    <t>Nutricionista Dietista</t>
  </si>
  <si>
    <t>Lider de proyecto restaurantes escolares</t>
  </si>
  <si>
    <t>Secretaría de Bienaestar Social</t>
  </si>
  <si>
    <t>Secretaría de Bienestar Social.</t>
  </si>
  <si>
    <t xml:space="preserve">CONTRATACION DEL SERVICIO DE SUMINISTRO, PROCESAMIENTO Y DISTRIBUCION DE LA ALIMENTACION </t>
  </si>
  <si>
    <t>CALOR DE HOGAR 1,2,3 SOCIAL</t>
  </si>
  <si>
    <t>CONTRATACION AÑO 2012</t>
  </si>
  <si>
    <t>MESES DEL CONTRATO</t>
  </si>
  <si>
    <t>Desayuno hombres y mujeres</t>
  </si>
  <si>
    <t>Valor promedio usuario/día</t>
  </si>
  <si>
    <t>Valor promedio por usuario</t>
  </si>
  <si>
    <t>1 porción de 350cc</t>
  </si>
  <si>
    <t>1 porción 200cc</t>
  </si>
  <si>
    <t>Azúcares y dulces</t>
  </si>
  <si>
    <t>1 porción</t>
  </si>
  <si>
    <t>1 porción 60 gr</t>
  </si>
  <si>
    <t>3. Acompañante o energético</t>
  </si>
  <si>
    <t>1 porciones</t>
  </si>
  <si>
    <t>4. Queso, quesito o huevo</t>
  </si>
  <si>
    <t>Mediamañana  hombres y mujeres</t>
  </si>
  <si>
    <t>1. jugo de fruta natural</t>
  </si>
  <si>
    <t>1 porción de 300 cc</t>
  </si>
  <si>
    <t xml:space="preserve">fruta </t>
  </si>
  <si>
    <t>1 porción 80g</t>
  </si>
  <si>
    <t>2.Cereales</t>
  </si>
  <si>
    <t xml:space="preserve"> 1 porción</t>
  </si>
  <si>
    <t>TOTAL</t>
  </si>
  <si>
    <t>Almuerzo hombres y mujeres</t>
  </si>
  <si>
    <t>1.Bebida jugo de fruta natural</t>
  </si>
  <si>
    <t>1 porción de 200 cc</t>
  </si>
  <si>
    <t>1 porción 80gr</t>
  </si>
  <si>
    <t>Azucares y dulces</t>
  </si>
  <si>
    <t>Cereales, plátanos y tubérculos</t>
  </si>
  <si>
    <t>1.5 porciones</t>
  </si>
  <si>
    <t xml:space="preserve">Verduras </t>
  </si>
  <si>
    <t>1 porción 40gr</t>
  </si>
  <si>
    <t>Ingredientes adiciones para la preparacion</t>
  </si>
  <si>
    <t xml:space="preserve">3. Arroz </t>
  </si>
  <si>
    <t>1 porción  120gr</t>
  </si>
  <si>
    <t>Carne</t>
  </si>
  <si>
    <t>1 porción de 80gr</t>
  </si>
  <si>
    <t xml:space="preserve">6. Verdura </t>
  </si>
  <si>
    <t>2.5 porciones</t>
  </si>
  <si>
    <t>8. postres</t>
  </si>
  <si>
    <t>1 porcion</t>
  </si>
  <si>
    <t>algo hombres y mujeres</t>
  </si>
  <si>
    <t>comida hombres y mujeres</t>
  </si>
  <si>
    <t>1 porción de 300cc</t>
  </si>
  <si>
    <t>1 porción  80gr</t>
  </si>
  <si>
    <t>2,5 porciones</t>
  </si>
  <si>
    <t>Merienda</t>
  </si>
  <si>
    <t>2. Acompañante o energético</t>
  </si>
  <si>
    <r>
      <t xml:space="preserve">Valor total día de los víveres requeridos para la preparación de los </t>
    </r>
    <r>
      <rPr>
        <b/>
        <sz val="11"/>
        <rFont val="Arial"/>
        <family val="2"/>
      </rPr>
      <t>15 desayunos</t>
    </r>
    <r>
      <rPr>
        <sz val="11"/>
        <rFont val="Arial"/>
        <family val="2"/>
      </rPr>
      <t xml:space="preserve"> diarios.</t>
    </r>
  </si>
  <si>
    <r>
      <t>Valor total mes de los víveres requeridos para la preparación de los 15</t>
    </r>
    <r>
      <rPr>
        <b/>
        <sz val="11"/>
        <rFont val="Arial"/>
        <family val="2"/>
      </rPr>
      <t xml:space="preserve"> desayunos </t>
    </r>
    <r>
      <rPr>
        <sz val="11"/>
        <rFont val="Arial"/>
        <family val="2"/>
      </rPr>
      <t xml:space="preserve"> diarios (se calculó teniendo en cuenta 30 días en el mes)</t>
    </r>
  </si>
  <si>
    <r>
      <t>Valor total día de los víveres requeridos para la preparación de las 15</t>
    </r>
    <r>
      <rPr>
        <b/>
        <sz val="11"/>
        <rFont val="Arial"/>
        <family val="2"/>
      </rPr>
      <t xml:space="preserve"> mediamañanas</t>
    </r>
    <r>
      <rPr>
        <sz val="11"/>
        <rFont val="Arial"/>
        <family val="2"/>
      </rPr>
      <t xml:space="preserve"> diarias.</t>
    </r>
  </si>
  <si>
    <r>
      <t>Valor total mes de los víveres requeridos para la preparación de las 15</t>
    </r>
    <r>
      <rPr>
        <b/>
        <sz val="11"/>
        <rFont val="Arial"/>
        <family val="2"/>
      </rPr>
      <t xml:space="preserve"> mediamañanas</t>
    </r>
    <r>
      <rPr>
        <sz val="11"/>
        <rFont val="Arial"/>
        <family val="2"/>
      </rPr>
      <t xml:space="preserve"> diarias (se calculó teniendo en cuenta 30 días en el mes)</t>
    </r>
  </si>
  <si>
    <r>
      <t>Valor total día de los víveres requeridos para la preparación de los 15</t>
    </r>
    <r>
      <rPr>
        <b/>
        <sz val="11"/>
        <rFont val="Arial"/>
        <family val="2"/>
      </rPr>
      <t xml:space="preserve"> almuerzos</t>
    </r>
    <r>
      <rPr>
        <sz val="11"/>
        <rFont val="Arial"/>
        <family val="2"/>
      </rPr>
      <t xml:space="preserve">  diarios.</t>
    </r>
  </si>
  <si>
    <r>
      <t xml:space="preserve">Valor total día de los víveres requeridos para la preparación de los </t>
    </r>
    <r>
      <rPr>
        <b/>
        <sz val="11"/>
        <rFont val="Arial"/>
        <family val="2"/>
      </rPr>
      <t>15 algos</t>
    </r>
    <r>
      <rPr>
        <sz val="11"/>
        <rFont val="Arial"/>
        <family val="2"/>
      </rPr>
      <t xml:space="preserve"> diarios.</t>
    </r>
  </si>
  <si>
    <r>
      <t xml:space="preserve">Valor total mes de los víveres requeridos para la preparación de los </t>
    </r>
    <r>
      <rPr>
        <b/>
        <sz val="11"/>
        <rFont val="Arial"/>
        <family val="2"/>
      </rPr>
      <t>15 algos</t>
    </r>
    <r>
      <rPr>
        <sz val="11"/>
        <rFont val="Arial"/>
        <family val="2"/>
      </rPr>
      <t xml:space="preserve"> diarios (se calculó teniendo en cuenta 30 días en el mes)</t>
    </r>
  </si>
  <si>
    <r>
      <t>Valor total día de los víveres requeridos para la preparación de las 15</t>
    </r>
    <r>
      <rPr>
        <b/>
        <sz val="11"/>
        <rFont val="Arial"/>
        <family val="2"/>
      </rPr>
      <t xml:space="preserve"> comidas</t>
    </r>
    <r>
      <rPr>
        <sz val="11"/>
        <rFont val="Arial"/>
        <family val="2"/>
      </rPr>
      <t xml:space="preserve"> diarias.</t>
    </r>
  </si>
  <si>
    <r>
      <t xml:space="preserve">Valor total mes de los víveres requeridos para la preparación de las </t>
    </r>
    <r>
      <rPr>
        <b/>
        <sz val="11"/>
        <rFont val="Arial"/>
        <family val="2"/>
      </rPr>
      <t>15 comidas</t>
    </r>
    <r>
      <rPr>
        <sz val="11"/>
        <rFont val="Arial"/>
        <family val="2"/>
      </rPr>
      <t xml:space="preserve"> diarias  (se calculó teniendo en cuenta 30 días en el mes)</t>
    </r>
  </si>
  <si>
    <r>
      <t xml:space="preserve">Valor total día de los víveres requeridos para la preparación de las </t>
    </r>
    <r>
      <rPr>
        <b/>
        <sz val="11"/>
        <rFont val="Arial"/>
        <family val="2"/>
      </rPr>
      <t>15 meriendas</t>
    </r>
    <r>
      <rPr>
        <sz val="11"/>
        <rFont val="Arial"/>
        <family val="2"/>
      </rPr>
      <t xml:space="preserve"> diarias.</t>
    </r>
  </si>
  <si>
    <r>
      <t>Valor total mes de los víveres requeridos para la preparación de las15</t>
    </r>
    <r>
      <rPr>
        <b/>
        <sz val="11"/>
        <rFont val="Arial"/>
        <family val="2"/>
      </rPr>
      <t xml:space="preserve"> meriendas</t>
    </r>
    <r>
      <rPr>
        <sz val="11"/>
        <rFont val="Arial"/>
        <family val="2"/>
      </rPr>
      <t xml:space="preserve"> diarias (se calculó teniendo en cuenta 30 días en el mes)</t>
    </r>
  </si>
  <si>
    <t>Valor total día de los víveres requeridos para la alimentación de la población atendida en CALOR DE HOGAR 1,2,3 SOCIAL</t>
  </si>
  <si>
    <t>Valor total mes de los víveres requeridos para la alimentación de la población atendida en CALOR DE HOGAR 1,2,3 SOCIAL</t>
  </si>
  <si>
    <t>TOTAL ALIMENTACION CONTRATO</t>
  </si>
  <si>
    <t>S1</t>
  </si>
  <si>
    <t>S2</t>
  </si>
  <si>
    <t>S3</t>
  </si>
  <si>
    <t>S4</t>
  </si>
  <si>
    <t>S5</t>
  </si>
  <si>
    <t>MEDIDA</t>
  </si>
  <si>
    <t>Precio Promedio</t>
  </si>
  <si>
    <t>PRECIO PROMEDIO GLOBAL</t>
  </si>
  <si>
    <t>PRECIO PROM UNID MEDIDA</t>
  </si>
  <si>
    <t>Kilogramo</t>
  </si>
  <si>
    <t>RESUMEN ESTUDIO DE PRECIOS</t>
  </si>
  <si>
    <t>Duración en Dias</t>
  </si>
  <si>
    <r>
      <t xml:space="preserve">Valor total mes de los víveres requeridos para la preparación de los </t>
    </r>
    <r>
      <rPr>
        <b/>
        <sz val="11"/>
        <rFont val="Arial"/>
        <family val="2"/>
      </rPr>
      <t>15 almuerzos</t>
    </r>
    <r>
      <rPr>
        <sz val="11"/>
        <rFont val="Arial"/>
        <family val="2"/>
      </rPr>
      <t xml:space="preserve"> diarios (se calculó teniendo en cuenta 30 días en el mes)</t>
    </r>
  </si>
  <si>
    <t>Aporte Municipio</t>
  </si>
  <si>
    <t>Cooperante</t>
  </si>
  <si>
    <t>Promedio</t>
  </si>
  <si>
    <t>Municipio de Medellin</t>
  </si>
  <si>
    <t>SECRETARIA DE INCLUSION SOCIAL Y FAMILIA</t>
  </si>
  <si>
    <t>CONSOLIDADO - ESTUDIO DE COSTOS</t>
  </si>
  <si>
    <t>DURACION EN MESES</t>
  </si>
  <si>
    <t>N° CUPOS</t>
  </si>
  <si>
    <t>VALOR CUPO MES</t>
  </si>
  <si>
    <t xml:space="preserve">COSTO TOTAL </t>
  </si>
  <si>
    <t>COSTOS DIRECTOS</t>
  </si>
  <si>
    <t>COSTOS GENERALES</t>
  </si>
  <si>
    <t>TOTAL COSTOS GENERALES</t>
  </si>
  <si>
    <t>TOTAL  COSTOS DIRECTOS (RECURSO HUMANO + COSTOS GENERALES)</t>
  </si>
  <si>
    <t>Costos Indirectos</t>
  </si>
  <si>
    <t>Honorarios por Servicios</t>
  </si>
  <si>
    <t>TOTAL ESTUDIO DE COSTOS</t>
  </si>
  <si>
    <t>DESAGREGACION DEL IVA</t>
  </si>
  <si>
    <t>BASE DE IVA</t>
  </si>
  <si>
    <r>
      <t xml:space="preserve">EXCLUIDOS O EXENTOS
</t>
    </r>
    <r>
      <rPr>
        <sz val="11"/>
        <rFont val="Calibri"/>
        <family val="2"/>
      </rPr>
      <t>(Ayuda alimentaria población vulnerable)</t>
    </r>
  </si>
  <si>
    <t>TOTAL IVA INCLUIDO</t>
  </si>
  <si>
    <t>PRESUPUESTO OFICIAL</t>
  </si>
  <si>
    <t>DIFERENCIA FRENTE AL ESTUDIO DE COSTOS</t>
  </si>
  <si>
    <t>OBSERVACIONES</t>
  </si>
  <si>
    <t>El artículo 92 de la ley 30 de 1992 y el artículo 476 númeral 6 del Estatuto Tributario establecen que las instituciones de educacion superior, los colegios de bachillerato y las instituciones de educacion no formal, no son responsables del IVA.</t>
  </si>
  <si>
    <t xml:space="preserve">El Estudio de Costos cobra validez (todos sus componentes y detalles) solo a través de la aprobación por medio del Acta del Comité Interno de Contratación. </t>
  </si>
  <si>
    <t>DURACION EN DIAS CALENDARIO</t>
  </si>
  <si>
    <t>DECRETO 734</t>
  </si>
  <si>
    <t>ART. 5.1.7.</t>
  </si>
  <si>
    <t>no inferior al 5%</t>
  </si>
  <si>
    <t>no inferior al 10%</t>
  </si>
  <si>
    <t>100% del valor del monto del anticipo</t>
  </si>
  <si>
    <t>POLIZA COMERCIAL DE MANEJO</t>
  </si>
  <si>
    <t>DIVIDIDO 12 MESES</t>
  </si>
  <si>
    <t>CUATRO MESES</t>
  </si>
  <si>
    <t>MAS IVA</t>
  </si>
  <si>
    <t>SERIEDAD DE LA OFERTA</t>
  </si>
  <si>
    <t>PRESUPUESTO</t>
  </si>
  <si>
    <t>DE LA PRESENTACION DE LA OFERTA HASTA LA APROBACION DE GARANTIAS DEL CONTRATO</t>
  </si>
  <si>
    <t>Total Recurso Humano + Generales</t>
  </si>
  <si>
    <t>Porcentaje de Participación</t>
  </si>
  <si>
    <t>Costo</t>
  </si>
  <si>
    <t>TOTAL SUELDO MENSUAL</t>
  </si>
  <si>
    <t>Secretaria de Inclusion Social y Familia</t>
  </si>
  <si>
    <t>Unidad de Seguridad Alimentaria</t>
  </si>
  <si>
    <t>Unidad de Medida</t>
  </si>
  <si>
    <t>TRANSPORTE</t>
  </si>
  <si>
    <t>Semanas</t>
  </si>
  <si>
    <t>Meses</t>
  </si>
  <si>
    <t>Transporte Camión</t>
  </si>
  <si>
    <t>Observaciones</t>
  </si>
  <si>
    <t>Costo Promedio (por dìa)</t>
  </si>
  <si>
    <t>Costo por mes</t>
  </si>
  <si>
    <t xml:space="preserve">CAMIÓN </t>
  </si>
  <si>
    <r>
      <t xml:space="preserve"> </t>
    </r>
    <r>
      <rPr>
        <b/>
        <sz val="10"/>
        <color indexed="8"/>
        <rFont val="Calibri"/>
        <family val="2"/>
      </rPr>
      <t>De 2 Tonelada</t>
    </r>
    <r>
      <rPr>
        <sz val="10"/>
        <color indexed="8"/>
        <rFont val="Calibri"/>
        <family val="2"/>
      </rPr>
      <t xml:space="preserve"> para el transporte de alimentos.
</t>
    </r>
  </si>
  <si>
    <t>Transporte</t>
  </si>
  <si>
    <t>Unidad De Seguridad Alimentaria</t>
  </si>
  <si>
    <t>Secretaria de Inclusion y Social y Familia</t>
  </si>
  <si>
    <t>Director  Unidad de Seguridad Alimentaria</t>
  </si>
  <si>
    <t>Secrteraia de Inclusion Social y Familia</t>
  </si>
  <si>
    <t xml:space="preserve">CANTIDAD </t>
  </si>
  <si>
    <t xml:space="preserve">UNIDAD DE SEGURIDAD ALIMENTARIA </t>
  </si>
  <si>
    <t>CURSO DE MANIPUALACION DE ALIMENTOS</t>
  </si>
  <si>
    <t>Presupuesto Oficial</t>
  </si>
  <si>
    <t>Diferencia</t>
  </si>
  <si>
    <t>COMPOTA</t>
  </si>
  <si>
    <t>UNIDAD DE SEGURIDAD ALIMENTARIA</t>
  </si>
  <si>
    <t>RUBROS</t>
  </si>
  <si>
    <t>Alcaldia</t>
  </si>
  <si>
    <t>FUBAM</t>
  </si>
  <si>
    <t>%  ALCALDIA</t>
  </si>
  <si>
    <t>% FUBAM</t>
  </si>
  <si>
    <t>% TOTAL</t>
  </si>
  <si>
    <t>TOTAL CONTRATO</t>
  </si>
  <si>
    <t>Tiempo</t>
  </si>
  <si>
    <t>Secretaria deIncluson Social y Familia</t>
  </si>
  <si>
    <t>Area Financiera</t>
  </si>
  <si>
    <t>ALQUILER DE ACTIVOS</t>
  </si>
  <si>
    <t>ELEMENTOS</t>
  </si>
  <si>
    <t>ESPECIFICACIONES</t>
  </si>
  <si>
    <t>Òscar Ochoa</t>
  </si>
  <si>
    <t>TOTAL COSTO MES</t>
  </si>
  <si>
    <t xml:space="preserve">TOTAL COSTO </t>
  </si>
  <si>
    <t>COMPUTADORES</t>
  </si>
  <si>
    <t>Equipos de mesa con procesador CORE i3, CON 4GB de RAM, Disco duro de 500GB,  Tarjeta de red integrada. Puerto de Video y sonido de alta definición HDMI, Puertos USB. Tarjeta de Red inalámbrica PCI. Pantalla LCD 21" Teclado Mouse óptico.</t>
  </si>
  <si>
    <t>Impresora multifuncional (3 en 1)</t>
  </si>
  <si>
    <t xml:space="preserve">Alquiler, Imprime-fotocopia y escanea, monocromática, tarjeta de red, Láser jet, 27 ppm, ciclo de trabajo hasta 15.000 mes.
</t>
  </si>
  <si>
    <t>Total</t>
  </si>
  <si>
    <t>COMPUTADOR</t>
  </si>
  <si>
    <t>Coordinador General</t>
  </si>
  <si>
    <t>Coordinadora Auxiliar Administrativo y Financiera</t>
  </si>
  <si>
    <t>Coordinadora Auxiliar Operativo</t>
  </si>
  <si>
    <t xml:space="preserve">Profesional Asistente Administrativo </t>
  </si>
  <si>
    <t>Profesional Asistente Contable</t>
  </si>
  <si>
    <t>Auxiliar procesos internos</t>
  </si>
  <si>
    <t>Auxiliar de enlace Medellín Solidaria - Secretaría de Bienestar Social</t>
  </si>
  <si>
    <t>Profesional Especializado</t>
  </si>
  <si>
    <t>Profesional Promoción Social</t>
  </si>
  <si>
    <t>Secretaria</t>
  </si>
  <si>
    <t>Coordinadores Locales</t>
  </si>
  <si>
    <t>Profesionales de familias en acción</t>
  </si>
  <si>
    <t>Profesionales de familias en acción - Atención. grupal</t>
  </si>
  <si>
    <t>Profesionales Promoción Social de Familias en Acción</t>
  </si>
  <si>
    <t>Cogestores</t>
  </si>
  <si>
    <t>Auxiliares Administrativos</t>
  </si>
  <si>
    <t>Coordinador  en Sistemas</t>
  </si>
  <si>
    <t>Apoyo informatico y digitación</t>
  </si>
  <si>
    <t>Tecnólogo en Administración de documentos</t>
  </si>
  <si>
    <t>Oficios varios</t>
  </si>
  <si>
    <t>Alquiler de Activos</t>
  </si>
  <si>
    <t>Kit Escolar</t>
  </si>
  <si>
    <t>Numero de Kit</t>
  </si>
  <si>
    <t>Cuadernos rayados</t>
  </si>
  <si>
    <t>Cuadernos cuadriculados</t>
  </si>
  <si>
    <t>Lápices</t>
  </si>
  <si>
    <t>Lapiceros</t>
  </si>
  <si>
    <t>Borrador</t>
  </si>
  <si>
    <t>Sacapuntas</t>
  </si>
  <si>
    <t>Cartuchera</t>
  </si>
  <si>
    <t>Bolsa</t>
  </si>
  <si>
    <t>100 Hojas</t>
  </si>
  <si>
    <t>Distripel</t>
  </si>
  <si>
    <t>Papeleria Cucuta</t>
  </si>
  <si>
    <t>Panafargo</t>
  </si>
  <si>
    <t xml:space="preserve">Gastos de desplazamiento para profesionales </t>
  </si>
  <si>
    <t>PAPELERÍA</t>
  </si>
  <si>
    <t>Implementos</t>
  </si>
  <si>
    <t>Cucuta</t>
  </si>
  <si>
    <t>AZ</t>
  </si>
  <si>
    <t>Unidad Oficio</t>
  </si>
  <si>
    <t>CD</t>
  </si>
  <si>
    <t>x 100 Unds Reescribible</t>
  </si>
  <si>
    <t>Estuche para CD</t>
  </si>
  <si>
    <t>x 100 Unds</t>
  </si>
  <si>
    <t>Post It Guia</t>
  </si>
  <si>
    <t>Papel Bond Carta</t>
  </si>
  <si>
    <t>Resma carta</t>
  </si>
  <si>
    <t>Papel Bond Oficio</t>
  </si>
  <si>
    <t>Resma Oficio</t>
  </si>
  <si>
    <t xml:space="preserve">Tóner </t>
  </si>
  <si>
    <t xml:space="preserve">Boligrafo Negro </t>
  </si>
  <si>
    <t>Caja x 12 Unds</t>
  </si>
  <si>
    <t>Borrador  tablero seco</t>
  </si>
  <si>
    <t>Ganchos Cosedora</t>
  </si>
  <si>
    <t>caja</t>
  </si>
  <si>
    <t>Clip Pequeño</t>
  </si>
  <si>
    <t>Clip Mariposa</t>
  </si>
  <si>
    <t>Ganchos legajador</t>
  </si>
  <si>
    <t>Resaltadores</t>
  </si>
  <si>
    <t>Sobre manila carta</t>
  </si>
  <si>
    <t>Unidades</t>
  </si>
  <si>
    <t>Sobre manila oficio</t>
  </si>
  <si>
    <t>Unidades x 100</t>
  </si>
  <si>
    <t>Pegante Colbon</t>
  </si>
  <si>
    <t>Unidad x 225 Grs</t>
  </si>
  <si>
    <t>Tijera</t>
  </si>
  <si>
    <t>Carpeta Plastica</t>
  </si>
  <si>
    <t>Marcador Permanente</t>
  </si>
  <si>
    <t>Marcador Borrable</t>
  </si>
  <si>
    <t>Grapadora</t>
  </si>
  <si>
    <t>Sacagrapa</t>
  </si>
  <si>
    <t>Cartulina legajadora para Archivar</t>
  </si>
  <si>
    <t>Pquetes de 50 Unidades tamaño Oficio</t>
  </si>
  <si>
    <t xml:space="preserve">Perforadora </t>
  </si>
  <si>
    <t>DVD</t>
  </si>
  <si>
    <t>Marcadores para CD</t>
  </si>
  <si>
    <t>Corrector</t>
  </si>
  <si>
    <t>Cuaderno 50 hojas</t>
  </si>
  <si>
    <t>Tinta para sellos colores variados</t>
  </si>
  <si>
    <t>Borrador de Nata</t>
  </si>
  <si>
    <t>Materiales de Oficina</t>
  </si>
  <si>
    <t>Carpetas de Carton</t>
  </si>
  <si>
    <t>Cinta de Embalaje</t>
  </si>
  <si>
    <t>Fotocopias – Formatos</t>
  </si>
  <si>
    <t>Papeleria</t>
  </si>
  <si>
    <t>Supercompota Rica en Proteína, Vitaminas y Minerales, para niños con edad de 7 meses a 1 año.</t>
  </si>
  <si>
    <t>Presentacion</t>
  </si>
  <si>
    <t>120 Gramos</t>
  </si>
  <si>
    <t>50 Gramos</t>
  </si>
  <si>
    <t>Harina de soya, pasta de maní, aceitede canola, avena, maltodextrina,mono y diglicéridos, vitaminas yminerales, cebada malteada, gomacarragena y sucralosa (se anexa ficha nutricional)</t>
  </si>
  <si>
    <t>Caracteristicas</t>
  </si>
  <si>
    <t>Producto</t>
  </si>
  <si>
    <t>Vitanut</t>
  </si>
  <si>
    <t>Itakate</t>
  </si>
  <si>
    <t>Promedio Incluido Iva</t>
  </si>
  <si>
    <t>Alquiler de Oficina y Bodega</t>
  </si>
  <si>
    <t>Complemento Alimentario</t>
  </si>
  <si>
    <t>Alquiler de Oficina</t>
  </si>
  <si>
    <t>Alquiler de Oficina , con Espacio para 15 puestos de Trabajo</t>
  </si>
  <si>
    <t>Finca Raiz</t>
  </si>
  <si>
    <t>Santa Fe</t>
  </si>
  <si>
    <t>Bodega con capacidad de aproximadamente de 500 mtr2.</t>
  </si>
  <si>
    <t>Servicios Publicos</t>
  </si>
  <si>
    <t>Bodegas y Locales</t>
  </si>
  <si>
    <t>Coltebienes</t>
  </si>
  <si>
    <t>Bemsa</t>
  </si>
  <si>
    <t>Dias</t>
  </si>
  <si>
    <t>Profesional Universitario</t>
  </si>
  <si>
    <t>FUNDACION BANCO ARQUIDIOCESANO DE ALIMENTOS DE MEDELLIN</t>
  </si>
  <si>
    <t>ALCALDIA DE MEDELLIN - SECRETARIA DE INCLUSION SOCIAL Y FAMILIA</t>
  </si>
  <si>
    <t>PRESUPUESTO GENERAL PROYECTO FORTALECIMIENTO INSTITUCIONAL VITANUT 2013</t>
  </si>
  <si>
    <t>Complemento Nutricional - Vitanut</t>
  </si>
  <si>
    <t>Complemento Nutricional Tipo Compota</t>
  </si>
  <si>
    <t>Gestion Humana</t>
  </si>
  <si>
    <t>Costos Generales</t>
  </si>
  <si>
    <t>Costos Indirectos - Gastos Legales</t>
  </si>
  <si>
    <t>La Rebaja</t>
  </si>
  <si>
    <t>Copitos</t>
  </si>
  <si>
    <t>Jabon de Baño</t>
  </si>
  <si>
    <t>Crema Antipañalitis (12 Grs)</t>
  </si>
  <si>
    <t>Boom</t>
  </si>
  <si>
    <t>Fabian Rodriguez Garro</t>
  </si>
  <si>
    <t xml:space="preserve"> Olimpico</t>
  </si>
  <si>
    <t>Euro</t>
  </si>
  <si>
    <t>Atun Aceite</t>
  </si>
  <si>
    <t>Avena Molida</t>
  </si>
  <si>
    <t>Bebida Achocolatada</t>
  </si>
  <si>
    <t>Fríjol cargamanto</t>
  </si>
  <si>
    <t>Espaguetis</t>
  </si>
  <si>
    <t>Huevo (unidad x 50grs)</t>
  </si>
  <si>
    <t>Leche en polvo _P</t>
  </si>
  <si>
    <t>Lenteja</t>
  </si>
  <si>
    <t>Pastas</t>
  </si>
  <si>
    <t>Sardina en Salsa</t>
  </si>
  <si>
    <t>Verdura en Lata</t>
  </si>
  <si>
    <t>N°</t>
  </si>
  <si>
    <t>GRUPO DE ALIMENTOS</t>
  </si>
  <si>
    <t>ALIMENTOS</t>
  </si>
  <si>
    <t>AZUCARES Y DULCES</t>
  </si>
  <si>
    <t>Libras</t>
  </si>
  <si>
    <t>BEBIDAS</t>
  </si>
  <si>
    <t>Bolsa de 200 gramos</t>
  </si>
  <si>
    <t>CARNES Y HUEVOS</t>
  </si>
  <si>
    <t>Latas de 170 gramos</t>
  </si>
  <si>
    <t>Lata de 425 gramos</t>
  </si>
  <si>
    <t>Unidad tipo A</t>
  </si>
  <si>
    <t>CEREALES</t>
  </si>
  <si>
    <t>Harina para arepas</t>
  </si>
  <si>
    <t>Paquete 250 gramos</t>
  </si>
  <si>
    <t>Paquete de 250 gramos</t>
  </si>
  <si>
    <t>ACEITES Y GRASAS</t>
  </si>
  <si>
    <t>Litro</t>
  </si>
  <si>
    <t>LECHES Y LÁCTEOS</t>
  </si>
  <si>
    <t>Bolsa de 380 gramos</t>
  </si>
  <si>
    <t>LEGUMINOSAS</t>
  </si>
  <si>
    <t>OTROS</t>
  </si>
  <si>
    <t xml:space="preserve">Lata por 300 gr </t>
  </si>
  <si>
    <t>Total Paquete</t>
  </si>
  <si>
    <t>Numero de Paquetes</t>
  </si>
  <si>
    <t>Paquete</t>
  </si>
  <si>
    <t>Scaner</t>
  </si>
  <si>
    <t>Con conversor a pdf</t>
  </si>
  <si>
    <t>OXL</t>
  </si>
  <si>
    <t>Tramitar</t>
  </si>
  <si>
    <t>GRC</t>
  </si>
  <si>
    <t>GR LOGISTICA</t>
  </si>
  <si>
    <t>Empaque</t>
  </si>
  <si>
    <t>Bodega</t>
  </si>
  <si>
    <t>Promedio Mes</t>
  </si>
  <si>
    <t>Oficina</t>
  </si>
  <si>
    <t>Puestos de Trabajo</t>
  </si>
  <si>
    <t>Internet</t>
  </si>
  <si>
    <t>Une</t>
  </si>
  <si>
    <t>Tigo</t>
  </si>
  <si>
    <t>Telefonia Fija</t>
  </si>
  <si>
    <t>Claro</t>
  </si>
  <si>
    <t>Movistar</t>
  </si>
  <si>
    <t>Bodega de 500 Mts</t>
  </si>
  <si>
    <t>Oscar Ochoa</t>
  </si>
  <si>
    <t>Smart Plus</t>
  </si>
  <si>
    <t>Papeleria Marion</t>
  </si>
  <si>
    <t>Papeleria Marin</t>
  </si>
  <si>
    <t>Papeleria Colombia</t>
  </si>
  <si>
    <t>Macador Borrable</t>
  </si>
  <si>
    <t>IEO</t>
  </si>
  <si>
    <t>SBS Colombia</t>
  </si>
  <si>
    <t>Parquesoft</t>
  </si>
  <si>
    <t>PC Madrigal</t>
  </si>
  <si>
    <t>Tóner Negro Impresora 1120</t>
  </si>
  <si>
    <t>Mi Tula</t>
  </si>
  <si>
    <t>Mezcla de Lentejas y Verduras Deshidratadas</t>
  </si>
  <si>
    <t>Complemento nutricional a base de vegetales; Proteina vegetal texturizada y aislada, arroz y lentejas</t>
  </si>
  <si>
    <t>Konfyt</t>
  </si>
  <si>
    <t>Doña Paula</t>
  </si>
  <si>
    <t>Nebraska</t>
  </si>
  <si>
    <t xml:space="preserve">Promedio </t>
  </si>
  <si>
    <t>500 Gramos</t>
  </si>
  <si>
    <t>Compota</t>
  </si>
  <si>
    <t>Presupuesto</t>
  </si>
  <si>
    <t>% Part.</t>
  </si>
  <si>
    <t>Paquetes</t>
  </si>
  <si>
    <t>Total Presupuesto</t>
  </si>
  <si>
    <t>Trasporte</t>
  </si>
  <si>
    <t>R. Humano</t>
  </si>
  <si>
    <t>Logistica</t>
  </si>
  <si>
    <t>Bodega y Servicios</t>
  </si>
  <si>
    <t>Dotacion</t>
  </si>
  <si>
    <t>Impresos</t>
  </si>
  <si>
    <t>Indirectos</t>
  </si>
  <si>
    <t>Total Estudio</t>
  </si>
  <si>
    <t>Consolidado</t>
  </si>
  <si>
    <t>% Participacion</t>
  </si>
  <si>
    <t>Costo Unitario</t>
  </si>
  <si>
    <t>Participacion</t>
  </si>
  <si>
    <t>Aporte Muncipio</t>
  </si>
  <si>
    <t>Mezcla</t>
  </si>
  <si>
    <t>Jugo de Naranja</t>
  </si>
  <si>
    <t>400 Grs</t>
  </si>
  <si>
    <t>Aporte Fubam</t>
  </si>
  <si>
    <t>El Estudio de Costos se realiza de acuerdo a la metodología de costeo establecida por el Municipio de Medellín y a las Especificaciones Técnicas remitidas por la Subsecretaria de Grupos Poblacionles</t>
  </si>
  <si>
    <t>Marta Gomez Piza</t>
  </si>
  <si>
    <t>Lider de Programa - E</t>
  </si>
  <si>
    <t>Los vehículos se requieren por ocho (8) horas semanales al mes</t>
  </si>
  <si>
    <t>Planes de Celular ( 2.100 Minutos Promedio)</t>
  </si>
  <si>
    <t>Ramon H</t>
  </si>
  <si>
    <t>Jhony valbuena</t>
  </si>
  <si>
    <t>Wilmar Molina</t>
  </si>
  <si>
    <t>Papeleria Panamericana</t>
  </si>
  <si>
    <t>Sal con yodo y flour</t>
  </si>
  <si>
    <t>Familias Vulnerables</t>
  </si>
  <si>
    <t>Gestantes y Lactantes</t>
  </si>
  <si>
    <t>Peso x Paquete</t>
  </si>
  <si>
    <t>Mujer Gestante</t>
  </si>
  <si>
    <t>No Paquetes</t>
  </si>
  <si>
    <r>
      <rPr>
        <b/>
        <sz val="11"/>
        <color indexed="8"/>
        <rFont val="Calibri"/>
        <family val="2"/>
      </rPr>
      <t>Objeto:</t>
    </r>
    <r>
      <rPr>
        <sz val="10"/>
        <color indexed="8"/>
        <rFont val="Calibri"/>
        <family val="2"/>
      </rPr>
      <t xml:space="preserve"> Convenio de Asociación para la prevencion de la desnutricion de las mujeres gestantes y lactantes, escolares y familias con vulnerabilidad alimenentaria, favoreciendo los niveles de inseguridad alimentaria</t>
    </r>
  </si>
  <si>
    <t>Esteban Gallego Restrepo</t>
  </si>
  <si>
    <t>para 6 meses</t>
  </si>
  <si>
    <t>Inflacion</t>
  </si>
  <si>
    <t>Complementos</t>
  </si>
  <si>
    <t>P F Vulne</t>
  </si>
  <si>
    <t>Paquet Victimas</t>
  </si>
  <si>
    <t>Peso Unitariio</t>
  </si>
  <si>
    <t>Sub - Total</t>
  </si>
  <si>
    <t>ARTICULO</t>
  </si>
  <si>
    <t>Napsa</t>
  </si>
  <si>
    <t>PRECIO PROMEDIO</t>
  </si>
  <si>
    <t>Camisetas</t>
  </si>
  <si>
    <t>Gorras</t>
  </si>
  <si>
    <t xml:space="preserve">Chalecos </t>
  </si>
  <si>
    <t>Burgos Dotaciones</t>
  </si>
  <si>
    <t>DESCRIPCIÓN</t>
  </si>
  <si>
    <t>TIEMPO</t>
  </si>
  <si>
    <t>VALOR T</t>
  </si>
  <si>
    <t>TOTAL ALQUILER DE EQUIPOS DE COMPUTO</t>
  </si>
  <si>
    <t>Cotización 2</t>
  </si>
  <si>
    <t>Cotización 3</t>
  </si>
  <si>
    <t>PROYECCION PROMEDIO ENCUENTROS EDUCATIVOS</t>
  </si>
  <si>
    <t>Participantes mes</t>
  </si>
  <si>
    <t xml:space="preserve">Aprox. </t>
  </si>
  <si>
    <t>Tamaño promedio de grupos*encuentro</t>
  </si>
  <si>
    <t>Encuentros promedio mes</t>
  </si>
  <si>
    <t>Tiempo total para realizar los encuentros</t>
  </si>
  <si>
    <t>Número aproximado de encuentros a realizar en total</t>
  </si>
  <si>
    <t>7 meses</t>
  </si>
  <si>
    <t>Auxiliar Administrativo</t>
  </si>
  <si>
    <t>INSUMOS DE COCINA</t>
  </si>
  <si>
    <t>PRODUCTOS</t>
  </si>
  <si>
    <t>PRESENTACION</t>
  </si>
  <si>
    <t>DETALLES</t>
  </si>
  <si>
    <t>makro</t>
  </si>
  <si>
    <t>Supermercados Olimpico</t>
  </si>
  <si>
    <t>Homcenter</t>
  </si>
  <si>
    <t>Supermercado Boom</t>
  </si>
  <si>
    <t>Merkepaisa</t>
  </si>
  <si>
    <t>Cepillos para uñas</t>
  </si>
  <si>
    <t xml:space="preserve">Esponjilla </t>
  </si>
  <si>
    <t>de malla y espuma</t>
  </si>
  <si>
    <t>Esponjilla brillo</t>
  </si>
  <si>
    <t>De brillo</t>
  </si>
  <si>
    <t>Pilas AA</t>
  </si>
  <si>
    <t>Pares</t>
  </si>
  <si>
    <t>Doble AA</t>
  </si>
  <si>
    <t>Desengrasante liquido</t>
  </si>
  <si>
    <t>frasco x  500 cc</t>
  </si>
  <si>
    <t>liquido frasco</t>
  </si>
  <si>
    <t>Bolsa resellables</t>
  </si>
  <si>
    <t>Tamaño mediano</t>
  </si>
  <si>
    <t>Bolsa resellable</t>
  </si>
  <si>
    <t>Tamaño pequeño</t>
  </si>
  <si>
    <t>Tamaño grande</t>
  </si>
  <si>
    <t>farmalisto</t>
  </si>
  <si>
    <t>Guantes quirúrgicos</t>
  </si>
  <si>
    <t>Tamaño pequeño S</t>
  </si>
  <si>
    <t>Tamaño grade L</t>
  </si>
  <si>
    <t>Tamaño grade M</t>
  </si>
  <si>
    <t>Bolsa negra de basura</t>
  </si>
  <si>
    <t>unidades</t>
  </si>
  <si>
    <t>Tamaño mediano (60x80)</t>
  </si>
  <si>
    <t>Delantales Plasticos</t>
  </si>
  <si>
    <t>5000 unidades desechables</t>
  </si>
  <si>
    <t>Gorro desechable plastico</t>
  </si>
  <si>
    <t xml:space="preserve"> 5000 unidades desechables</t>
  </si>
  <si>
    <t>Gel antibacterial</t>
  </si>
  <si>
    <t>Tarros x litro</t>
  </si>
  <si>
    <t>frascos de litro gel</t>
  </si>
  <si>
    <t>Full Mineria</t>
  </si>
  <si>
    <t>Tapabocas</t>
  </si>
  <si>
    <t>desechables</t>
  </si>
  <si>
    <t>Trapeadora</t>
  </si>
  <si>
    <t>palo de madera</t>
  </si>
  <si>
    <t>Escoba</t>
  </si>
  <si>
    <t xml:space="preserve">Cuchillos </t>
  </si>
  <si>
    <r>
      <t>Cacha de plastico (tramontina)</t>
    </r>
    <r>
      <rPr>
        <b/>
        <sz val="10"/>
        <color indexed="8"/>
        <rFont val="Calibri"/>
        <family val="2"/>
      </rPr>
      <t xml:space="preserve"> no </t>
    </r>
    <r>
      <rPr>
        <sz val="10"/>
        <color indexed="8"/>
        <rFont val="Calibri"/>
        <family val="2"/>
      </rPr>
      <t xml:space="preserve">de nomadera </t>
    </r>
    <r>
      <rPr>
        <b/>
        <sz val="10"/>
        <color indexed="8"/>
        <rFont val="Calibri"/>
        <family val="2"/>
      </rPr>
      <t>no</t>
    </r>
    <r>
      <rPr>
        <sz val="10"/>
        <color indexed="8"/>
        <rFont val="Calibri"/>
        <family val="2"/>
      </rPr>
      <t xml:space="preserve"> metalico</t>
    </r>
  </si>
  <si>
    <t>Cotizacion 1</t>
  </si>
  <si>
    <t>Cotizacion 2</t>
  </si>
  <si>
    <t>Cotizacion 3</t>
  </si>
  <si>
    <t>Cotizacion 4</t>
  </si>
  <si>
    <t>Cotizacion 5</t>
  </si>
  <si>
    <t>Platos pequeños</t>
  </si>
  <si>
    <t>paquete x 100</t>
  </si>
  <si>
    <t>paquete de 100 unidades</t>
  </si>
  <si>
    <t>Cucharas desechables</t>
  </si>
  <si>
    <t>Cucharas postreras desechables</t>
  </si>
  <si>
    <t>cuchillos desechables</t>
  </si>
  <si>
    <t>Paquetes de 2 unidades</t>
  </si>
  <si>
    <t>De malla y espuma</t>
  </si>
  <si>
    <t>Guantes plásticos</t>
  </si>
  <si>
    <t>Caja x 200 unidades</t>
  </si>
  <si>
    <t>Paquetes de 100 unidades</t>
  </si>
  <si>
    <t>Delantales plásticos</t>
  </si>
  <si>
    <t>1.000 unidades desechables</t>
  </si>
  <si>
    <t>Gorro desechable plástico</t>
  </si>
  <si>
    <t xml:space="preserve">Caja x 100 unidades </t>
  </si>
  <si>
    <t>Desechables</t>
  </si>
  <si>
    <t>Platos medianos desechables #23</t>
  </si>
  <si>
    <t>1.000 total</t>
  </si>
  <si>
    <t>Cucharas soperas desechables</t>
  </si>
  <si>
    <t>Tenedores desechables</t>
  </si>
  <si>
    <t>Cuchillos desechables</t>
  </si>
  <si>
    <t>Insumo Para Talleres</t>
  </si>
  <si>
    <t>CANTIDADES</t>
  </si>
  <si>
    <t>Chaleco</t>
  </si>
  <si>
    <t>Gorra</t>
  </si>
  <si>
    <t>VALOR TOTAL DOTACIÓN</t>
  </si>
  <si>
    <t>CANTIDAD DE VEHICULOS</t>
  </si>
  <si>
    <t>Cotización 1</t>
  </si>
  <si>
    <t>Cotización 4</t>
  </si>
  <si>
    <t>Cotización 5</t>
  </si>
  <si>
    <t xml:space="preserve">PROMEDIO VALOR HORA </t>
  </si>
  <si>
    <t>TOTAL MESES</t>
  </si>
  <si>
    <t>ojo se cmabiaron cantidades de transporte para incrementar el valor</t>
  </si>
  <si>
    <t xml:space="preserve">dato real en la descripcion </t>
  </si>
  <si>
    <t>ZONA</t>
  </si>
  <si>
    <t>22- 25 PASAJEROS</t>
  </si>
  <si>
    <t>40 PASAJEROS</t>
  </si>
  <si>
    <t>URBANA</t>
  </si>
  <si>
    <t>SANTA ELENA</t>
  </si>
  <si>
    <t>PALMITAS</t>
  </si>
  <si>
    <t>SAN CRISTOBAL</t>
  </si>
  <si>
    <t>SAN ANTONIO</t>
  </si>
  <si>
    <t>ALTAVISTA</t>
  </si>
  <si>
    <t>Computador de escritorio core i5, Mínimo 4GB de memoria RAM, disco mínimo de 500 gb, puerto de red, DVD, conexión inalámbrica, puertos USB, puerto VGA, puerto HDMI, Licencia Windows original, Licencia Office original</t>
  </si>
  <si>
    <t>GESTION DOCUMENTAL</t>
  </si>
  <si>
    <t>Valor unidad</t>
  </si>
  <si>
    <t>Valor total</t>
  </si>
  <si>
    <t>Gestión Documental</t>
  </si>
  <si>
    <t>Refrigerios e hidratación</t>
  </si>
  <si>
    <t xml:space="preserve">Video Beam </t>
  </si>
  <si>
    <t>TIPO DE APORTE ASOCIADO</t>
  </si>
  <si>
    <t>Dinero</t>
  </si>
  <si>
    <t>Especie</t>
  </si>
  <si>
    <t>FORMATO PARA PRESENTACION DE OFERTA</t>
  </si>
  <si>
    <t>SECRETARIA DE GOBIERNO</t>
  </si>
  <si>
    <t>MAKRO</t>
  </si>
  <si>
    <t>PANAMERICANA</t>
  </si>
  <si>
    <t>VALOR MENSUAL</t>
  </si>
  <si>
    <t>INCLUYE COMBUSTIBLE Y CONDUCTOR</t>
  </si>
  <si>
    <t>CANTIDAD DE MESES</t>
  </si>
  <si>
    <t>VALOR TOTAL  POR MES</t>
  </si>
  <si>
    <t>DOTACION-INCLUYE IMPUESTOS</t>
  </si>
  <si>
    <t>HOME CENTER</t>
  </si>
  <si>
    <t>MERCADO LIBRE</t>
  </si>
  <si>
    <t>ALQUILES Y PC</t>
  </si>
  <si>
    <t>TECCOMPUTO</t>
  </si>
  <si>
    <t>OLIMPICA</t>
  </si>
  <si>
    <t>MEGATIENDAS</t>
  </si>
  <si>
    <t xml:space="preserve">Componente </t>
  </si>
  <si>
    <t>TOTAL VALOR</t>
  </si>
  <si>
    <t>TIEMP0</t>
  </si>
  <si>
    <t>COSTOS</t>
  </si>
  <si>
    <t>Auxliares</t>
  </si>
  <si>
    <t>Coordinador General-Area Administrativa o Social</t>
  </si>
  <si>
    <t>Profesionales del área de Trabajo Social</t>
  </si>
  <si>
    <t>PORTATIL  ICORE 3
Computador Portatil core i3, Minimo  4GB de memoria RAM, disco minimo de 500 gb, puerto de red, DVD, conexión inalambrica, puertos USB, puerto VGA, puerto HDMI, Licencia Windows original, Licencia Office original</t>
  </si>
  <si>
    <t>VALOR DEL PROPONENTE ESAL</t>
  </si>
  <si>
    <t>Proceso de digitalización de acuerdo a los lineamientos de la ESAL</t>
  </si>
  <si>
    <t>VALOR UNITARIO DEL PROPONENTE ESAL</t>
  </si>
  <si>
    <t>VALOR TOTAL  DEL PROPONENTE ESAL</t>
  </si>
  <si>
    <t>Publicidad y Medios de Comunicación</t>
  </si>
  <si>
    <t>Valor Unitario del Proponente ESAL</t>
  </si>
  <si>
    <t>Valor total del Proponente ESAL</t>
  </si>
  <si>
    <t>TOTAL  COSTOS DIRECTOS (RECURSO HUMANO + COSTOS GENERALES + Publicidad Medios de Comunicación y Dinero en Efectivo )</t>
  </si>
  <si>
    <t xml:space="preserve">Valores en Dinero </t>
  </si>
  <si>
    <t>Alquiler Equipos y Oficina</t>
  </si>
  <si>
    <t>VALOR UNITARIO  DEL PROPONENTE ESAL</t>
  </si>
  <si>
    <t>MUNICIPIO DE TURBANA BOLIVAR</t>
  </si>
  <si>
    <t>Camioneta Doble Cabina 4X4 con volco recorrido área Urbana y Rural del Municipio de TURBANA</t>
  </si>
  <si>
    <t>ACTIVIDAD</t>
  </si>
  <si>
    <t>CANT</t>
  </si>
  <si>
    <t xml:space="preserve">Valor Unitario de la Actividad </t>
  </si>
  <si>
    <t xml:space="preserve">Valor Total de las Actividades </t>
  </si>
  <si>
    <t>SEPTIEMBRE DE 2019</t>
  </si>
  <si>
    <t>Profesionales del Ambiental</t>
  </si>
  <si>
    <t>ALQUILER EQUIPOS DE COMPUTO POR 30 DIAS</t>
  </si>
  <si>
    <t>Actividades</t>
  </si>
  <si>
    <t>COMPONENTE SOCIAL</t>
  </si>
  <si>
    <t>Talleres con la comunidad para Generar un cambio positivo en los hábitos de consumo, procurando la reducción y reutilización en los residuos generados</t>
  </si>
  <si>
    <t>TOTAL ACTIVIDADES</t>
  </si>
  <si>
    <t>ESAL-007-2019</t>
  </si>
  <si>
    <t>AUNAR ESFUERZOS ADMINISTRATIVOS, TÉCNICOS Y FINANCIEROS PARA EL ACOMPAÑAMIENTO DEL MANEJO DE RESIDUOS SOLIDOS CON LA COMUNIDAD  EN GENERAL  DEL MUNICIPIO DE TURBANA</t>
  </si>
  <si>
    <t>Guantes</t>
  </si>
  <si>
    <t>Bolsas de Basura</t>
  </si>
  <si>
    <t>Palas</t>
  </si>
  <si>
    <t>Rastrillos</t>
  </si>
  <si>
    <t>Carretillas</t>
  </si>
  <si>
    <t>Charlas de trabajo en equipo con los comunidad para el acompañamiento de residuos solidos por los diferentes puntos criticos del municipio</t>
  </si>
  <si>
    <t>sensibilización a comunidades dirigidos a la comunidad educativa y campesinos, sobre temas de conservación, biodiversidad y métodos de recoleccion de residuos solidos</t>
  </si>
  <si>
    <t>Socialización de las normas de código de policía sobre delitos ambientales</t>
  </si>
  <si>
    <t>Limpieza y recoleccion de franjas lateral sobre las orillas en diferentes barrios del municipio de Turbana</t>
  </si>
  <si>
    <t>Actividades con la comunidad para el almacenamiento transitorio y/o acondicionamiento de residuos para su transporte</t>
  </si>
  <si>
    <t>Actividades con la comunidad para Tratamiento: comprende el conjunto de operaciones tendientes al acondicionamiento y valorización de los residuos. Se entiende por acondicionamiento a las operaciones realizadas a fin de adecuar los residuos para su valorización o disposición final. Se entiende por valorización a todo procedimiento que permita el aprovechamiento de los recursos contenidos en los residuos, mediante el reciclaje en sus formas físicos, químicos, mecánicos o biológicos, y la reutilización</t>
  </si>
  <si>
    <t>Retiro y disposición final l: comprende al conjunto de operaciones destinadas a lograr el depósito permanente de los residuos domiciliarios, así como de las fracciones de rechazo inevitables resultantes de los métodos de tratamiento adoptados. Asimismo, quedan comprendidas en esta etapa las actividades propias de la clausura y postclausura de los centros de disposición fin para una cantidad de 200 metros cubicos</t>
  </si>
  <si>
    <t>transporte y recoleccion , Vehiculo de 12 Metros cubicos en el área Urbana y Rural del Municipio de TURBANA</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</si>
</sst>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164" formatCode="_-&quot;$&quot;\ * #,##0_-;\-&quot;$&quot;\ * #,##0_-;_-&quot;$&quot;\ * &quot;-&quot;_-;_-@_-"/>
    <numFmt numFmtId="165" formatCode="_-* #,##0_-;\-* #,##0_-;_-* &quot;-&quot;_-;_-@_-"/>
    <numFmt numFmtId="166" formatCode="_-* #,##0.00_-;\-* #,##0.00_-;_-*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quot;$&quot;* #,##0_-;\-&quot;$&quot;* #,##0_-;_-&quot;$&quot;* &quot;-&quot;_-;_-@_-"/>
    <numFmt numFmtId="172" formatCode="_-&quot;$&quot;* #,##0.00_-;\-&quot;$&quot;* #,##0.00_-;_-&quot;$&quot;* &quot;-&quot;??_-;_-@_-"/>
    <numFmt numFmtId="173" formatCode="_(* #,##0_);_(* \(#,##0\);_(* &quot;-&quot;??_);_(@_)"/>
    <numFmt numFmtId="174" formatCode="&quot;$&quot;\ #,##0"/>
    <numFmt numFmtId="175" formatCode="&quot;$&quot;#,##0"/>
    <numFmt numFmtId="176" formatCode="0.000%"/>
    <numFmt numFmtId="177" formatCode="_ &quot;$&quot;\ * #,##0_ ;_ &quot;$&quot;\ * \-#,##0_ ;_ &quot;$&quot;\ * &quot;-&quot;??_ ;_ @_ "/>
    <numFmt numFmtId="178" formatCode="#,##0.0000"/>
    <numFmt numFmtId="179" formatCode="0.0000%"/>
    <numFmt numFmtId="180" formatCode="#,##0.0"/>
    <numFmt numFmtId="181" formatCode="_-[$€-2]* #,##0.00_-;\-[$€-2]* #,##0.00_-;_-[$€-2]* &quot;-&quot;??_-"/>
    <numFmt numFmtId="182" formatCode="&quot;Sí&quot;;&quot;Sí&quot;;&quot;No&quot;"/>
    <numFmt numFmtId="183" formatCode="_(&quot;$&quot;\ * #,##0_);_(&quot;$&quot;\ * \(#,##0\);_(&quot;$&quot;\ * &quot;-&quot;??_);_(@_)"/>
    <numFmt numFmtId="184" formatCode="0.00000%"/>
    <numFmt numFmtId="185" formatCode="0.0"/>
    <numFmt numFmtId="186" formatCode="_-* #,##0_-;\-* #,##0_-;_-* &quot;-&quot;??_-;_-@_-"/>
    <numFmt numFmtId="187" formatCode="0.0000"/>
    <numFmt numFmtId="188" formatCode="_-* #,##0\ _p_t_a_-;\-* #,##0\ _p_t_a_-;_-* &quot;-&quot;\ _p_t_a_-;_-@_-"/>
    <numFmt numFmtId="189" formatCode="_-* #,##0.0000_-;\-* #,##0.0000_-;_-* &quot;-&quot;??_-;_-@_-"/>
    <numFmt numFmtId="190" formatCode="&quot;$&quot;\ #,##0.00;[Red]&quot;$&quot;\ \-#,##0.00"/>
    <numFmt numFmtId="191" formatCode="_ * #,##0_ ;_ * \-#,##0_ ;_ * &quot;-&quot;??_ ;_ @_ "/>
    <numFmt numFmtId="192" formatCode="&quot;$ &quot;#,##0_);[Red]&quot;($ &quot;#,##0\)"/>
    <numFmt numFmtId="193" formatCode="#,##0;[Red]#,##0"/>
    <numFmt numFmtId="194" formatCode="_(&quot;$&quot;\ * #,##0.0_);_(&quot;$&quot;\ * \(#,##0.0\);_(&quot;$&quot;\ * &quot;-&quot;??_);_(@_)"/>
    <numFmt numFmtId="195" formatCode="#\ ?/10"/>
    <numFmt numFmtId="196" formatCode="#,##0.0_ ;\-#,##0.0\ "/>
    <numFmt numFmtId="197" formatCode="[$-240A]d&quot; de &quot;mmmm&quot; de &quot;yyyy;@"/>
    <numFmt numFmtId="198" formatCode="_ * #,##0_ ;_ * \-#,##0_ ;_ * &quot;-&quot;_ ;_ @_ "/>
    <numFmt numFmtId="199" formatCode="_(&quot;$&quot;* #,##0.00_);_(&quot;$&quot;* \(#,##0.00\);_(&quot;$&quot;* &quot;-&quot;??_);_(@_)"/>
    <numFmt numFmtId="200" formatCode="0.0%"/>
    <numFmt numFmtId="201" formatCode="[$-C0A]d\-mmm\-yyyy;@"/>
    <numFmt numFmtId="202" formatCode="_(* #,##0.000_);_(* \(#,##0.000\);_(* &quot;-&quot;??_);_(@_)"/>
    <numFmt numFmtId="203" formatCode="&quot;$ &quot;#,##0.00_);[Red]&quot;($ &quot;#,##0.00\)"/>
    <numFmt numFmtId="204" formatCode="&quot;$&quot;\ #,##0.0"/>
    <numFmt numFmtId="205" formatCode="_-&quot;$&quot;* #,##0.00_-;\-&quot;$&quot;* #,##0.00_-;_-&quot;$&quot;* &quot;-&quot;_-;_-@_-"/>
  </numFmts>
  <fonts count="126" x14ac:knownFonts="1">
    <font>
      <sz val="11"/>
      <color theme="1"/>
      <name val="Calibri"/>
      <family val="2"/>
      <scheme val="minor"/>
    </font>
    <font>
      <sz val="11"/>
      <color indexed="8"/>
      <name val="Calibri"/>
      <family val="2"/>
    </font>
    <font>
      <sz val="11"/>
      <color indexed="8"/>
      <name val="Calibri"/>
      <family val="2"/>
    </font>
    <font>
      <sz val="11"/>
      <color indexed="8"/>
      <name val="Calibri"/>
      <family val="2"/>
    </font>
    <font>
      <sz val="10"/>
      <name val="Arial"/>
      <family val="2"/>
    </font>
    <font>
      <b/>
      <sz val="12"/>
      <color indexed="8"/>
      <name val="Tahoma"/>
      <family val="2"/>
    </font>
    <font>
      <sz val="12"/>
      <color indexed="8"/>
      <name val="Tahoma"/>
      <family val="2"/>
    </font>
    <font>
      <b/>
      <sz val="11"/>
      <color indexed="8"/>
      <name val="Calibri"/>
      <family val="2"/>
    </font>
    <font>
      <sz val="8"/>
      <name val="Arial"/>
      <family val="2"/>
    </font>
    <font>
      <sz val="11"/>
      <name val="Arial"/>
      <family val="2"/>
    </font>
    <font>
      <b/>
      <sz val="11"/>
      <name val="Arial"/>
      <family val="2"/>
    </font>
    <font>
      <sz val="14"/>
      <name val="Tahoma"/>
      <family val="2"/>
    </font>
    <font>
      <b/>
      <sz val="13"/>
      <name val="Tahoma"/>
      <family val="2"/>
    </font>
    <font>
      <sz val="13"/>
      <name val="Tahoma"/>
      <family val="2"/>
    </font>
    <font>
      <sz val="14"/>
      <color indexed="10"/>
      <name val="Tahoma"/>
      <family val="2"/>
    </font>
    <font>
      <b/>
      <sz val="8"/>
      <name val="Arial"/>
      <family val="2"/>
    </font>
    <font>
      <sz val="10"/>
      <name val="Arial"/>
      <family val="2"/>
    </font>
    <font>
      <b/>
      <sz val="11"/>
      <name val="Calibri"/>
      <family val="2"/>
    </font>
    <font>
      <b/>
      <sz val="9"/>
      <color indexed="8"/>
      <name val="Tahoma"/>
      <family val="2"/>
    </font>
    <font>
      <sz val="9"/>
      <color indexed="8"/>
      <name val="Tahoma"/>
      <family val="2"/>
    </font>
    <font>
      <b/>
      <sz val="9"/>
      <name val="Arial"/>
      <family val="2"/>
    </font>
    <font>
      <b/>
      <sz val="12"/>
      <name val="Arial"/>
      <family val="2"/>
    </font>
    <font>
      <b/>
      <sz val="11"/>
      <name val="Verdana"/>
      <family val="2"/>
    </font>
    <font>
      <b/>
      <sz val="12"/>
      <name val="Verdana"/>
      <family val="2"/>
    </font>
    <font>
      <b/>
      <sz val="10"/>
      <name val="Verdana"/>
      <family val="2"/>
    </font>
    <font>
      <sz val="10"/>
      <name val="Verdana"/>
      <family val="2"/>
    </font>
    <font>
      <b/>
      <sz val="8"/>
      <color indexed="81"/>
      <name val="Tahoma"/>
      <family val="2"/>
    </font>
    <font>
      <sz val="8"/>
      <color indexed="81"/>
      <name val="Tahoma"/>
      <family val="2"/>
    </font>
    <font>
      <sz val="10"/>
      <color indexed="8"/>
      <name val="Verdana"/>
      <family val="2"/>
    </font>
    <font>
      <b/>
      <sz val="10"/>
      <color indexed="8"/>
      <name val="Verdana"/>
      <family val="2"/>
    </font>
    <font>
      <sz val="9"/>
      <color indexed="81"/>
      <name val="Tahoma"/>
      <family val="2"/>
    </font>
    <font>
      <b/>
      <sz val="9"/>
      <color indexed="81"/>
      <name val="Tahoma"/>
      <family val="2"/>
    </font>
    <font>
      <sz val="9"/>
      <name val="Calibri"/>
      <family val="2"/>
    </font>
    <font>
      <sz val="10"/>
      <color indexed="8"/>
      <name val="Calibri"/>
      <family val="2"/>
    </font>
    <font>
      <sz val="11"/>
      <color indexed="10"/>
      <name val="Arial"/>
      <family val="2"/>
    </font>
    <font>
      <b/>
      <sz val="11"/>
      <color indexed="10"/>
      <name val="Arial"/>
      <family val="2"/>
    </font>
    <font>
      <b/>
      <sz val="14"/>
      <color indexed="8"/>
      <name val="Calibri"/>
      <family val="2"/>
    </font>
    <font>
      <sz val="10"/>
      <color indexed="8"/>
      <name val="MS Sans Serif"/>
      <family val="2"/>
    </font>
    <font>
      <sz val="11"/>
      <name val="Calibri"/>
      <family val="2"/>
    </font>
    <font>
      <b/>
      <sz val="10"/>
      <color indexed="8"/>
      <name val="Calibri"/>
      <family val="2"/>
    </font>
    <font>
      <sz val="10"/>
      <name val="Arial"/>
      <family val="2"/>
    </font>
    <font>
      <sz val="10"/>
      <name val="Arial"/>
      <family val="2"/>
    </font>
    <font>
      <sz val="11"/>
      <color theme="1"/>
      <name val="Calibri"/>
      <family val="2"/>
      <scheme val="minor"/>
    </font>
    <font>
      <sz val="11"/>
      <color theme="0"/>
      <name val="Calibri"/>
      <family val="2"/>
      <scheme val="minor"/>
    </font>
    <font>
      <b/>
      <sz val="11"/>
      <color theme="3"/>
      <name val="Calibri"/>
      <family val="2"/>
      <scheme val="minor"/>
    </font>
    <font>
      <u/>
      <sz val="11"/>
      <color theme="10"/>
      <name val="Calibri"/>
      <family val="2"/>
    </font>
    <font>
      <sz val="12"/>
      <color theme="1"/>
      <name val="Arial"/>
      <family val="2"/>
    </font>
    <font>
      <sz val="11"/>
      <color rgb="FFFF0000"/>
      <name val="Calibri"/>
      <family val="2"/>
      <scheme val="minor"/>
    </font>
    <font>
      <b/>
      <sz val="15"/>
      <color theme="3"/>
      <name val="Calibri"/>
      <family val="2"/>
      <scheme val="minor"/>
    </font>
    <font>
      <b/>
      <sz val="11"/>
      <color theme="1"/>
      <name val="Calibri"/>
      <family val="2"/>
      <scheme val="minor"/>
    </font>
    <font>
      <sz val="14"/>
      <color theme="1"/>
      <name val="Tahoma"/>
      <family val="2"/>
    </font>
    <font>
      <sz val="12"/>
      <color theme="1"/>
      <name val="Tahoma"/>
      <family val="2"/>
    </font>
    <font>
      <sz val="13"/>
      <color theme="1"/>
      <name val="Tahoma"/>
      <family val="2"/>
    </font>
    <font>
      <sz val="13"/>
      <color rgb="FFFF0000"/>
      <name val="Tahoma"/>
      <family val="2"/>
    </font>
    <font>
      <b/>
      <u/>
      <sz val="13"/>
      <color theme="1"/>
      <name val="Tahoma"/>
      <family val="2"/>
    </font>
    <font>
      <b/>
      <sz val="13"/>
      <color theme="1"/>
      <name val="Tahoma"/>
      <family val="2"/>
    </font>
    <font>
      <b/>
      <sz val="14"/>
      <color theme="1"/>
      <name val="Tahoma"/>
      <family val="2"/>
    </font>
    <font>
      <sz val="13"/>
      <color theme="1"/>
      <name val="Calibri"/>
      <family val="2"/>
      <scheme val="minor"/>
    </font>
    <font>
      <sz val="11"/>
      <color theme="1"/>
      <name val="Tahoma"/>
      <family val="2"/>
    </font>
    <font>
      <sz val="16"/>
      <color theme="1"/>
      <name val="Tahoma"/>
      <family val="2"/>
    </font>
    <font>
      <sz val="11"/>
      <color theme="1"/>
      <name val="Arial"/>
      <family val="2"/>
    </font>
    <font>
      <b/>
      <sz val="11"/>
      <color theme="1"/>
      <name val="Arial"/>
      <family val="2"/>
    </font>
    <font>
      <b/>
      <sz val="9"/>
      <color rgb="FF000000"/>
      <name val="Tahoma"/>
      <family val="2"/>
    </font>
    <font>
      <sz val="9"/>
      <color rgb="FF000000"/>
      <name val="Tahoma"/>
      <family val="2"/>
    </font>
    <font>
      <sz val="9"/>
      <color rgb="FF000000"/>
      <name val="Calibri"/>
      <family val="2"/>
    </font>
    <font>
      <b/>
      <sz val="9"/>
      <color rgb="FF000000"/>
      <name val="Calibri"/>
      <family val="2"/>
    </font>
    <font>
      <b/>
      <sz val="7"/>
      <color theme="1"/>
      <name val="Arial"/>
      <family val="2"/>
    </font>
    <font>
      <b/>
      <sz val="20"/>
      <color theme="1"/>
      <name val="Arial"/>
      <family val="2"/>
    </font>
    <font>
      <sz val="20"/>
      <color theme="1"/>
      <name val="Arial"/>
      <family val="2"/>
    </font>
    <font>
      <b/>
      <sz val="10"/>
      <color theme="3"/>
      <name val="Arial"/>
      <family val="2"/>
    </font>
    <font>
      <sz val="11"/>
      <color theme="1"/>
      <name val="Verdana"/>
      <family val="2"/>
    </font>
    <font>
      <sz val="10"/>
      <color theme="1"/>
      <name val="Verdana"/>
      <family val="2"/>
    </font>
    <font>
      <sz val="9"/>
      <name val="Calibri"/>
      <family val="2"/>
      <scheme val="minor"/>
    </font>
    <font>
      <sz val="9"/>
      <color theme="1"/>
      <name val="Calibri"/>
      <family val="2"/>
      <scheme val="minor"/>
    </font>
    <font>
      <b/>
      <sz val="9"/>
      <name val="Calibri"/>
      <family val="2"/>
      <scheme val="minor"/>
    </font>
    <font>
      <sz val="9"/>
      <color indexed="10"/>
      <name val="Calibri"/>
      <family val="2"/>
      <scheme val="minor"/>
    </font>
    <font>
      <b/>
      <sz val="9"/>
      <color indexed="10"/>
      <name val="Calibri"/>
      <family val="2"/>
      <scheme val="minor"/>
    </font>
    <font>
      <sz val="9"/>
      <color indexed="8"/>
      <name val="Calibri"/>
      <family val="2"/>
      <scheme val="minor"/>
    </font>
    <font>
      <b/>
      <sz val="9"/>
      <color indexed="8"/>
      <name val="Calibri"/>
      <family val="2"/>
      <scheme val="minor"/>
    </font>
    <font>
      <b/>
      <sz val="9"/>
      <color rgb="FFFF0000"/>
      <name val="Calibri"/>
      <family val="2"/>
      <scheme val="minor"/>
    </font>
    <font>
      <sz val="10"/>
      <color indexed="8"/>
      <name val="Calibri"/>
      <family val="2"/>
      <scheme val="minor"/>
    </font>
    <font>
      <sz val="10"/>
      <color theme="1"/>
      <name val="Calibri"/>
      <family val="2"/>
      <scheme val="minor"/>
    </font>
    <font>
      <b/>
      <sz val="10"/>
      <name val="Calibri"/>
      <family val="2"/>
      <scheme val="minor"/>
    </font>
    <font>
      <b/>
      <sz val="10"/>
      <color rgb="FF000000"/>
      <name val="Calibri"/>
      <family val="2"/>
      <scheme val="minor"/>
    </font>
    <font>
      <b/>
      <sz val="10"/>
      <color theme="1"/>
      <name val="Calibri"/>
      <family val="2"/>
      <scheme val="minor"/>
    </font>
    <font>
      <b/>
      <sz val="10"/>
      <color theme="3"/>
      <name val="Calibri"/>
      <family val="2"/>
      <scheme val="minor"/>
    </font>
    <font>
      <sz val="10"/>
      <name val="Calibri"/>
      <family val="2"/>
      <scheme val="minor"/>
    </font>
    <font>
      <b/>
      <sz val="11"/>
      <name val="Calibri"/>
      <family val="2"/>
      <scheme val="minor"/>
    </font>
    <font>
      <sz val="11"/>
      <color indexed="8"/>
      <name val="Calibri"/>
      <family val="2"/>
      <scheme val="minor"/>
    </font>
    <font>
      <b/>
      <sz val="11"/>
      <color indexed="8"/>
      <name val="Calibri"/>
      <family val="2"/>
      <scheme val="minor"/>
    </font>
    <font>
      <sz val="11"/>
      <color rgb="FF000000"/>
      <name val="Calibri"/>
      <family val="2"/>
      <scheme val="minor"/>
    </font>
    <font>
      <b/>
      <sz val="12"/>
      <color theme="1"/>
      <name val="Arial"/>
      <family val="2"/>
    </font>
    <font>
      <sz val="12"/>
      <color theme="1"/>
      <name val="Calibri"/>
      <family val="2"/>
      <scheme val="minor"/>
    </font>
    <font>
      <b/>
      <sz val="12"/>
      <color theme="1"/>
      <name val="Calibri"/>
      <family val="2"/>
      <scheme val="minor"/>
    </font>
    <font>
      <sz val="11"/>
      <name val="Calibri"/>
      <family val="2"/>
      <scheme val="minor"/>
    </font>
    <font>
      <b/>
      <sz val="10"/>
      <color indexed="8"/>
      <name val="Calibri"/>
      <family val="2"/>
      <scheme val="minor"/>
    </font>
    <font>
      <b/>
      <u val="singleAccounting"/>
      <sz val="10"/>
      <name val="Calibri"/>
      <family val="2"/>
      <scheme val="minor"/>
    </font>
    <font>
      <b/>
      <sz val="10"/>
      <color theme="0" tint="-4.9989318521683403E-2"/>
      <name val="Calibri"/>
      <family val="2"/>
      <scheme val="minor"/>
    </font>
    <font>
      <sz val="10"/>
      <color rgb="FF000000"/>
      <name val="Calibri"/>
      <family val="2"/>
      <scheme val="minor"/>
    </font>
    <font>
      <sz val="10"/>
      <color theme="0"/>
      <name val="Calibri"/>
      <family val="2"/>
      <scheme val="minor"/>
    </font>
    <font>
      <b/>
      <sz val="10"/>
      <color theme="0"/>
      <name val="Calibri"/>
      <family val="2"/>
      <scheme val="minor"/>
    </font>
    <font>
      <sz val="9"/>
      <color theme="1"/>
      <name val="Arial"/>
      <family val="2"/>
    </font>
    <font>
      <sz val="12"/>
      <color rgb="FF000000"/>
      <name val="Calibri"/>
      <family val="2"/>
      <scheme val="minor"/>
    </font>
    <font>
      <sz val="10"/>
      <color theme="1"/>
      <name val="Arial"/>
      <family val="2"/>
    </font>
    <font>
      <b/>
      <sz val="7"/>
      <name val="Calibri"/>
      <family val="2"/>
      <scheme val="minor"/>
    </font>
    <font>
      <b/>
      <sz val="12"/>
      <color rgb="FF000000"/>
      <name val="Calibri"/>
      <family val="2"/>
      <scheme val="minor"/>
    </font>
    <font>
      <b/>
      <sz val="12"/>
      <name val="Calibri"/>
      <family val="2"/>
      <scheme val="minor"/>
    </font>
    <font>
      <sz val="12"/>
      <name val="Calibri"/>
      <family val="2"/>
      <scheme val="minor"/>
    </font>
    <font>
      <b/>
      <u/>
      <sz val="11"/>
      <color theme="4"/>
      <name val="Calibri"/>
      <family val="2"/>
      <scheme val="minor"/>
    </font>
    <font>
      <b/>
      <sz val="11"/>
      <color rgb="FF000000"/>
      <name val="Arial"/>
      <family val="2"/>
    </font>
    <font>
      <sz val="11"/>
      <color rgb="FF000000"/>
      <name val="Arial"/>
      <family val="2"/>
    </font>
    <font>
      <sz val="10"/>
      <color rgb="FF333333"/>
      <name val="Calibri"/>
      <family val="2"/>
      <scheme val="minor"/>
    </font>
    <font>
      <b/>
      <sz val="11"/>
      <color theme="3" tint="-0.499984740745262"/>
      <name val="Calibri"/>
      <family val="2"/>
      <scheme val="minor"/>
    </font>
    <font>
      <sz val="20"/>
      <color theme="1"/>
      <name val="Calibri"/>
      <family val="2"/>
      <scheme val="minor"/>
    </font>
    <font>
      <b/>
      <sz val="12"/>
      <color theme="1"/>
      <name val="Tahoma"/>
      <family val="2"/>
    </font>
    <font>
      <sz val="14"/>
      <color rgb="FFFF0000"/>
      <name val="Tahoma"/>
      <family val="2"/>
    </font>
    <font>
      <b/>
      <sz val="16"/>
      <color theme="1"/>
      <name val="Tahoma"/>
      <family val="2"/>
    </font>
    <font>
      <sz val="10"/>
      <color rgb="FF000000"/>
      <name val="Arial"/>
      <family val="2"/>
    </font>
    <font>
      <b/>
      <sz val="10"/>
      <color theme="3" tint="-0.499984740745262"/>
      <name val="Calibri"/>
      <family val="2"/>
      <scheme val="minor"/>
    </font>
    <font>
      <b/>
      <sz val="11"/>
      <color theme="3" tint="-0.499984740745262"/>
      <name val="Verdana"/>
      <family val="2"/>
    </font>
    <font>
      <b/>
      <sz val="11"/>
      <color rgb="FFFFFFFF"/>
      <name val="Arial"/>
      <family val="2"/>
    </font>
    <font>
      <b/>
      <sz val="14"/>
      <color theme="1"/>
      <name val="Calibri"/>
      <family val="2"/>
      <scheme val="minor"/>
    </font>
    <font>
      <b/>
      <sz val="14"/>
      <color indexed="8"/>
      <name val="Calibri"/>
      <family val="2"/>
      <scheme val="minor"/>
    </font>
    <font>
      <b/>
      <sz val="12"/>
      <color indexed="8"/>
      <name val="Calibri"/>
      <family val="2"/>
      <scheme val="minor"/>
    </font>
    <font>
      <sz val="12"/>
      <color rgb="FF2A2A2A"/>
      <name val="Arial"/>
      <family val="2"/>
    </font>
    <font>
      <b/>
      <sz val="16"/>
      <color theme="1"/>
      <name val="Calibri"/>
      <family val="2"/>
      <scheme val="minor"/>
    </font>
  </fonts>
  <fills count="46">
    <fill>
      <patternFill patternType="none"/>
    </fill>
    <fill>
      <patternFill patternType="gray125"/>
    </fill>
    <fill>
      <patternFill patternType="solid">
        <fgColor indexed="22"/>
        <bgColor indexed="64"/>
      </patternFill>
    </fill>
    <fill>
      <patternFill patternType="solid">
        <fgColor indexed="27"/>
        <bgColor indexed="64"/>
      </patternFill>
    </fill>
    <fill>
      <patternFill patternType="solid">
        <fgColor indexed="40"/>
        <bgColor indexed="64"/>
      </patternFill>
    </fill>
    <fill>
      <patternFill patternType="solid">
        <fgColor indexed="9"/>
        <bgColor indexed="64"/>
      </patternFill>
    </fill>
    <fill>
      <patternFill patternType="solid">
        <fgColor indexed="43"/>
        <bgColor indexed="64"/>
      </patternFill>
    </fill>
    <fill>
      <patternFill patternType="solid">
        <fgColor indexed="42"/>
        <bgColor indexed="64"/>
      </patternFill>
    </fill>
    <fill>
      <patternFill patternType="solid">
        <fgColor indexed="45"/>
        <bgColor indexed="64"/>
      </patternFill>
    </fill>
    <fill>
      <patternFill patternType="solid">
        <fgColor indexed="44"/>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46"/>
        <bgColor indexed="64"/>
      </patternFill>
    </fill>
    <fill>
      <patternFill patternType="solid">
        <fgColor indexed="47"/>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00B0F0"/>
        <bgColor indexed="64"/>
      </patternFill>
    </fill>
    <fill>
      <patternFill patternType="solid">
        <fgColor rgb="FFFFFFFF"/>
        <bgColor rgb="FF000000"/>
      </patternFill>
    </fill>
    <fill>
      <patternFill patternType="solid">
        <fgColor rgb="FFFFFFCC"/>
        <bgColor rgb="FF000000"/>
      </patternFill>
    </fill>
    <fill>
      <patternFill patternType="solid">
        <fgColor theme="3" tint="-0.499984740745262"/>
        <bgColor indexed="64"/>
      </patternFill>
    </fill>
    <fill>
      <patternFill patternType="solid">
        <fgColor theme="0"/>
        <bgColor indexed="64"/>
      </patternFill>
    </fill>
    <fill>
      <patternFill patternType="solid">
        <fgColor theme="5" tint="0.399975585192419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FFFF"/>
        <bgColor indexed="64"/>
      </patternFill>
    </fill>
    <fill>
      <patternFill patternType="solid">
        <fgColor rgb="FFBFBFBF"/>
        <bgColor indexed="64"/>
      </patternFill>
    </fill>
    <fill>
      <patternFill patternType="solid">
        <fgColor theme="3" tint="0.59999389629810485"/>
        <bgColor indexed="64"/>
      </patternFill>
    </fill>
    <fill>
      <patternFill patternType="solid">
        <fgColor theme="1" tint="0.249977111117893"/>
        <bgColor indexed="64"/>
      </patternFill>
    </fill>
    <fill>
      <patternFill patternType="solid">
        <fgColor rgb="FFFF0000"/>
        <bgColor indexed="64"/>
      </patternFill>
    </fill>
    <fill>
      <patternFill patternType="solid">
        <fgColor rgb="FF4BACC6"/>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92D05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8"/>
        <bgColor indexed="64"/>
      </patternFill>
    </fill>
    <fill>
      <patternFill patternType="solid">
        <fgColor theme="7" tint="0.39997558519241921"/>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8"/>
      </top>
      <bottom style="thin">
        <color indexed="8"/>
      </bottom>
      <diagonal/>
    </border>
    <border>
      <left/>
      <right/>
      <top/>
      <bottom style="thin">
        <color indexed="8"/>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thick">
        <color theme="4"/>
      </bottom>
      <diagonal/>
    </border>
    <border>
      <left/>
      <right style="medium">
        <color rgb="FF000000"/>
      </right>
      <top/>
      <bottom/>
      <diagonal/>
    </border>
    <border>
      <left style="medium">
        <color rgb="FF4BACC6"/>
      </left>
      <right/>
      <top style="medium">
        <color rgb="FF4BACC6"/>
      </top>
      <bottom/>
      <diagonal/>
    </border>
    <border>
      <left style="medium">
        <color rgb="FF4BACC6"/>
      </left>
      <right/>
      <top/>
      <bottom style="medium">
        <color rgb="FF4BACC6"/>
      </bottom>
      <diagonal/>
    </border>
    <border>
      <left/>
      <right/>
      <top/>
      <bottom style="medium">
        <color rgb="FF4BACC6"/>
      </bottom>
      <diagonal/>
    </border>
    <border>
      <left/>
      <right style="medium">
        <color rgb="FF4BACC6"/>
      </right>
      <top/>
      <bottom style="medium">
        <color rgb="FF4BACC6"/>
      </bottom>
      <diagonal/>
    </border>
    <border>
      <left/>
      <right/>
      <top style="medium">
        <color rgb="FF4BACC6"/>
      </top>
      <bottom/>
      <diagonal/>
    </border>
    <border>
      <left/>
      <right style="medium">
        <color rgb="FF4BACC6"/>
      </right>
      <top style="medium">
        <color rgb="FF4BACC6"/>
      </top>
      <bottom/>
      <diagonal/>
    </border>
    <border>
      <left style="medium">
        <color rgb="FF4BACC6"/>
      </left>
      <right/>
      <top style="medium">
        <color rgb="FF4BACC6"/>
      </top>
      <bottom style="medium">
        <color rgb="FF4BACC6"/>
      </bottom>
      <diagonal/>
    </border>
    <border>
      <left/>
      <right/>
      <top style="medium">
        <color rgb="FF4BACC6"/>
      </top>
      <bottom style="medium">
        <color rgb="FF4BACC6"/>
      </bottom>
      <diagonal/>
    </border>
    <border>
      <left/>
      <right style="medium">
        <color rgb="FF4BACC6"/>
      </right>
      <top style="medium">
        <color rgb="FF4BACC6"/>
      </top>
      <bottom style="medium">
        <color rgb="FF4BACC6"/>
      </bottom>
      <diagonal/>
    </border>
    <border>
      <left style="medium">
        <color rgb="FF4BACC6"/>
      </left>
      <right/>
      <top/>
      <bottom/>
      <diagonal/>
    </border>
    <border>
      <left/>
      <right style="medium">
        <color rgb="FF4BACC6"/>
      </right>
      <top/>
      <bottom/>
      <diagonal/>
    </border>
    <border>
      <left/>
      <right style="medium">
        <color rgb="FF000000"/>
      </right>
      <top style="medium">
        <color indexed="64"/>
      </top>
      <bottom/>
      <diagonal/>
    </border>
    <border>
      <left/>
      <right style="medium">
        <color rgb="FF000000"/>
      </right>
      <top/>
      <bottom style="medium">
        <color indexed="64"/>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s>
  <cellStyleXfs count="187">
    <xf numFmtId="0" fontId="0" fillId="0" borderId="0"/>
    <xf numFmtId="181" fontId="4" fillId="0" borderId="0" applyFont="0" applyFill="0" applyBorder="0" applyAlignment="0" applyProtection="0"/>
    <xf numFmtId="182" fontId="4" fillId="0" borderId="0" applyFont="0" applyFill="0" applyBorder="0" applyAlignment="0" applyProtection="0"/>
    <xf numFmtId="0" fontId="2" fillId="0" borderId="0"/>
    <xf numFmtId="0" fontId="1" fillId="0" borderId="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170" fontId="3" fillId="0" borderId="0" applyFont="0" applyFill="0" applyBorder="0" applyAlignment="0" applyProtection="0"/>
    <xf numFmtId="168" fontId="42" fillId="0" borderId="0" applyFont="0" applyFill="0" applyBorder="0" applyAlignment="0" applyProtection="0"/>
    <xf numFmtId="178" fontId="4" fillId="0" borderId="0" applyFont="0" applyFill="0" applyBorder="0" applyAlignment="0" applyProtection="0"/>
    <xf numFmtId="198" fontId="4" fillId="0" borderId="0" applyFont="0" applyFill="0" applyBorder="0" applyAlignment="0" applyProtection="0"/>
    <xf numFmtId="188"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65"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2" fillId="0" borderId="0" applyFont="0" applyFill="0" applyBorder="0" applyAlignment="0" applyProtection="0"/>
    <xf numFmtId="176" fontId="4" fillId="0" borderId="0" applyFont="0" applyFill="0" applyBorder="0" applyAlignment="0" applyProtection="0"/>
    <xf numFmtId="187"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7"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190"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66" fontId="42"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66" fontId="42"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70" fontId="42" fillId="0" borderId="0" applyFont="0" applyFill="0" applyBorder="0" applyAlignment="0" applyProtection="0"/>
    <xf numFmtId="166" fontId="42" fillId="0" borderId="0" applyFont="0" applyFill="0" applyBorder="0" applyAlignment="0" applyProtection="0"/>
    <xf numFmtId="169" fontId="42" fillId="0" borderId="0" applyFont="0" applyFill="0" applyBorder="0" applyAlignment="0" applyProtection="0"/>
    <xf numFmtId="167" fontId="42" fillId="0" borderId="0" applyFont="0" applyFill="0" applyBorder="0" applyAlignment="0" applyProtection="0"/>
    <xf numFmtId="164" fontId="42"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69" fontId="2" fillId="0" borderId="0" applyFont="0" applyFill="0" applyBorder="0" applyAlignment="0" applyProtection="0"/>
    <xf numFmtId="169" fontId="1" fillId="0" borderId="0" applyFont="0" applyFill="0" applyBorder="0" applyAlignment="0" applyProtection="0"/>
    <xf numFmtId="199" fontId="42" fillId="0" borderId="0" applyFont="0" applyFill="0" applyBorder="0" applyAlignment="0" applyProtection="0"/>
    <xf numFmtId="172" fontId="42" fillId="0" borderId="0" applyFont="0" applyFill="0" applyBorder="0" applyAlignment="0" applyProtection="0"/>
    <xf numFmtId="169" fontId="42" fillId="0" borderId="0" applyFont="0" applyFill="0" applyBorder="0" applyAlignment="0" applyProtection="0"/>
    <xf numFmtId="0" fontId="4" fillId="0" borderId="0" applyFont="0" applyFill="0" applyBorder="0" applyAlignment="0" applyProtection="0"/>
    <xf numFmtId="169" fontId="42"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2" fillId="0" borderId="0" applyFont="0" applyFill="0" applyBorder="0" applyAlignment="0" applyProtection="0"/>
    <xf numFmtId="186" fontId="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186" fontId="2" fillId="0" borderId="0" applyFont="0" applyFill="0" applyBorder="0" applyAlignment="0" applyProtection="0"/>
    <xf numFmtId="186" fontId="1" fillId="0" borderId="0" applyFont="0" applyFill="0" applyBorder="0" applyAlignment="0" applyProtection="0"/>
    <xf numFmtId="0" fontId="42" fillId="0" borderId="0"/>
    <xf numFmtId="0" fontId="37" fillId="0" borderId="0" applyNumberFormat="0" applyFont="0" applyFill="0" applyBorder="0" applyAlignment="0" applyProtection="0"/>
    <xf numFmtId="0" fontId="42" fillId="0" borderId="0"/>
    <xf numFmtId="0" fontId="37" fillId="0" borderId="0" applyNumberFormat="0" applyFont="0" applyFill="0" applyBorder="0" applyAlignment="0" applyProtection="0"/>
    <xf numFmtId="0" fontId="42" fillId="0" borderId="0"/>
    <xf numFmtId="0" fontId="37" fillId="0" borderId="0" applyNumberFormat="0" applyFont="0" applyFill="0" applyBorder="0" applyAlignment="0" applyProtection="0"/>
    <xf numFmtId="0" fontId="42" fillId="0" borderId="0"/>
    <xf numFmtId="0" fontId="42" fillId="0" borderId="0"/>
    <xf numFmtId="0" fontId="40" fillId="0" borderId="0"/>
    <xf numFmtId="0" fontId="4" fillId="0" borderId="0"/>
    <xf numFmtId="0" fontId="42" fillId="0" borderId="0"/>
    <xf numFmtId="0" fontId="41" fillId="0" borderId="0"/>
    <xf numFmtId="0" fontId="4" fillId="0" borderId="0"/>
    <xf numFmtId="0" fontId="42" fillId="0" borderId="0"/>
    <xf numFmtId="0" fontId="42" fillId="0" borderId="0"/>
    <xf numFmtId="0" fontId="42" fillId="0" borderId="0"/>
    <xf numFmtId="0" fontId="4" fillId="0" borderId="0"/>
    <xf numFmtId="0" fontId="4" fillId="0" borderId="0"/>
    <xf numFmtId="0" fontId="4" fillId="0" borderId="0"/>
    <xf numFmtId="0" fontId="4" fillId="0" borderId="0"/>
    <xf numFmtId="0" fontId="4" fillId="0" borderId="0"/>
    <xf numFmtId="0" fontId="37" fillId="0" borderId="0" applyNumberFormat="0" applyFont="0" applyFill="0" applyBorder="0" applyAlignment="0" applyProtection="0"/>
    <xf numFmtId="0" fontId="42" fillId="0" borderId="0"/>
    <xf numFmtId="0" fontId="42" fillId="0" borderId="0"/>
    <xf numFmtId="0" fontId="42" fillId="0" borderId="0"/>
    <xf numFmtId="0" fontId="4" fillId="0" borderId="0"/>
    <xf numFmtId="0" fontId="4" fillId="0" borderId="0"/>
    <xf numFmtId="0" fontId="4" fillId="0" borderId="0"/>
    <xf numFmtId="0" fontId="4" fillId="0" borderId="0"/>
    <xf numFmtId="0" fontId="42" fillId="0" borderId="0"/>
    <xf numFmtId="0" fontId="4" fillId="0" borderId="0"/>
    <xf numFmtId="0" fontId="4" fillId="0" borderId="0"/>
    <xf numFmtId="0" fontId="42" fillId="0" borderId="0"/>
    <xf numFmtId="0" fontId="37" fillId="0" borderId="0" applyNumberFormat="0" applyFont="0" applyFill="0" applyBorder="0" applyAlignment="0" applyProtection="0"/>
    <xf numFmtId="0" fontId="1" fillId="0" borderId="0"/>
    <xf numFmtId="0" fontId="4" fillId="0" borderId="0"/>
    <xf numFmtId="0" fontId="4" fillId="0" borderId="0"/>
    <xf numFmtId="0" fontId="42" fillId="0" borderId="0"/>
    <xf numFmtId="0" fontId="37" fillId="0" borderId="0" applyNumberFormat="0" applyFont="0" applyFill="0" applyBorder="0" applyAlignment="0" applyProtection="0"/>
    <xf numFmtId="0" fontId="4" fillId="0" borderId="0"/>
    <xf numFmtId="0" fontId="42" fillId="0" borderId="0"/>
    <xf numFmtId="0" fontId="42" fillId="0" borderId="0"/>
    <xf numFmtId="0" fontId="42" fillId="0" borderId="0"/>
    <xf numFmtId="0" fontId="4" fillId="0" borderId="0"/>
    <xf numFmtId="0" fontId="4" fillId="0" borderId="0"/>
    <xf numFmtId="0" fontId="46" fillId="0" borderId="0"/>
    <xf numFmtId="0" fontId="16" fillId="0" borderId="0"/>
    <xf numFmtId="0" fontId="37" fillId="0" borderId="0" applyNumberFormat="0" applyFont="0" applyFill="0" applyBorder="0" applyAlignment="0" applyProtection="0"/>
    <xf numFmtId="0" fontId="4" fillId="0" borderId="0"/>
    <xf numFmtId="0" fontId="4" fillId="0" borderId="0"/>
    <xf numFmtId="0" fontId="42" fillId="0" borderId="0"/>
    <xf numFmtId="0" fontId="4" fillId="0" borderId="0"/>
    <xf numFmtId="9" fontId="42" fillId="0" borderId="0" applyFont="0" applyFill="0" applyBorder="0" applyAlignment="0" applyProtection="0"/>
    <xf numFmtId="9" fontId="4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46" fillId="0" borderId="0" applyFont="0" applyFill="0" applyBorder="0" applyAlignment="0" applyProtection="0"/>
    <xf numFmtId="0" fontId="48" fillId="0" borderId="74" applyNumberFormat="0" applyFill="0" applyAlignment="0" applyProtection="0"/>
  </cellStyleXfs>
  <cellXfs count="1680">
    <xf numFmtId="0" fontId="0" fillId="0" borderId="0" xfId="0"/>
    <xf numFmtId="0" fontId="0" fillId="0" borderId="1" xfId="0" applyBorder="1"/>
    <xf numFmtId="0" fontId="0" fillId="0" borderId="0" xfId="0" applyBorder="1"/>
    <xf numFmtId="0" fontId="50" fillId="0" borderId="0" xfId="0" applyFont="1"/>
    <xf numFmtId="0" fontId="0" fillId="0" borderId="1" xfId="0" applyBorder="1" applyAlignment="1">
      <alignment horizontal="center"/>
    </xf>
    <xf numFmtId="0" fontId="51" fillId="0" borderId="0" xfId="0" applyFont="1"/>
    <xf numFmtId="0" fontId="51" fillId="0" borderId="0" xfId="0" applyFont="1" applyBorder="1"/>
    <xf numFmtId="0" fontId="51" fillId="0" borderId="1" xfId="0" applyFont="1" applyBorder="1" applyAlignment="1">
      <alignment wrapText="1"/>
    </xf>
    <xf numFmtId="0" fontId="51" fillId="0" borderId="1" xfId="0" applyFont="1" applyBorder="1"/>
    <xf numFmtId="174" fontId="51" fillId="0" borderId="1" xfId="0" applyNumberFormat="1" applyFont="1" applyFill="1" applyBorder="1"/>
    <xf numFmtId="0" fontId="51" fillId="0" borderId="1" xfId="0" applyFont="1" applyFill="1" applyBorder="1" applyAlignment="1">
      <alignment wrapText="1"/>
    </xf>
    <xf numFmtId="0" fontId="6"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51" fillId="0" borderId="1" xfId="0" applyFont="1" applyBorder="1" applyAlignment="1">
      <alignment horizontal="center"/>
    </xf>
    <xf numFmtId="0" fontId="51" fillId="0" borderId="1" xfId="0" applyFont="1" applyFill="1" applyBorder="1" applyAlignment="1">
      <alignment horizontal="center"/>
    </xf>
    <xf numFmtId="174" fontId="51" fillId="0" borderId="1" xfId="0" applyNumberFormat="1" applyFont="1" applyBorder="1" applyAlignment="1">
      <alignment horizontal="center"/>
    </xf>
    <xf numFmtId="174" fontId="51" fillId="0" borderId="1" xfId="0" applyNumberFormat="1" applyFont="1" applyFill="1" applyBorder="1" applyAlignment="1">
      <alignment horizontal="center"/>
    </xf>
    <xf numFmtId="0" fontId="51" fillId="0" borderId="0" xfId="0" applyFont="1" applyBorder="1" applyAlignment="1">
      <alignment wrapText="1"/>
    </xf>
    <xf numFmtId="0" fontId="5" fillId="16" borderId="2" xfId="0" applyFont="1" applyFill="1" applyBorder="1" applyAlignment="1">
      <alignment vertical="center" wrapText="1"/>
    </xf>
    <xf numFmtId="0" fontId="51" fillId="0" borderId="0" xfId="0" applyFont="1" applyFill="1" applyBorder="1" applyAlignment="1">
      <alignment horizontal="center"/>
    </xf>
    <xf numFmtId="174" fontId="51" fillId="0" borderId="1" xfId="7" applyNumberFormat="1" applyFont="1" applyBorder="1" applyAlignment="1">
      <alignment horizontal="center"/>
    </xf>
    <xf numFmtId="0" fontId="5" fillId="16" borderId="1" xfId="0" applyFont="1" applyFill="1" applyBorder="1" applyAlignment="1">
      <alignment vertical="center" wrapText="1"/>
    </xf>
    <xf numFmtId="0" fontId="6" fillId="0" borderId="1" xfId="0" applyFont="1" applyFill="1" applyBorder="1" applyAlignment="1">
      <alignment horizontal="left" wrapText="1"/>
    </xf>
    <xf numFmtId="0" fontId="13" fillId="0" borderId="0" xfId="0" applyFont="1"/>
    <xf numFmtId="0" fontId="52" fillId="0" borderId="0" xfId="0" applyFont="1"/>
    <xf numFmtId="0" fontId="52" fillId="0" borderId="0" xfId="0" applyFont="1" applyBorder="1"/>
    <xf numFmtId="0" fontId="53" fillId="0" borderId="0" xfId="0" applyFont="1"/>
    <xf numFmtId="174" fontId="13" fillId="0" borderId="1" xfId="0" applyNumberFormat="1" applyFont="1" applyFill="1" applyBorder="1" applyAlignment="1">
      <alignment horizontal="center"/>
    </xf>
    <xf numFmtId="0" fontId="13" fillId="0" borderId="1" xfId="0" applyFont="1" applyFill="1" applyBorder="1" applyAlignment="1">
      <alignment horizontal="center"/>
    </xf>
    <xf numFmtId="0" fontId="13" fillId="0" borderId="0" xfId="0" applyFont="1" applyFill="1"/>
    <xf numFmtId="0" fontId="54" fillId="0" borderId="0" xfId="0" applyFont="1" applyAlignment="1"/>
    <xf numFmtId="174" fontId="13" fillId="0" borderId="0" xfId="0" applyNumberFormat="1" applyFont="1"/>
    <xf numFmtId="14" fontId="0" fillId="0" borderId="0" xfId="0" applyNumberFormat="1" applyBorder="1" applyAlignment="1">
      <alignment horizontal="center"/>
    </xf>
    <xf numFmtId="0" fontId="55" fillId="0" borderId="0" xfId="0" applyFont="1" applyBorder="1" applyAlignment="1">
      <alignment horizontal="center"/>
    </xf>
    <xf numFmtId="174" fontId="56" fillId="0" borderId="0" xfId="0" applyNumberFormat="1" applyFont="1" applyAlignment="1">
      <alignment horizontal="center"/>
    </xf>
    <xf numFmtId="0" fontId="13" fillId="0" borderId="3" xfId="0" applyFont="1" applyFill="1" applyBorder="1" applyAlignment="1">
      <alignment horizontal="center" vertical="center"/>
    </xf>
    <xf numFmtId="0" fontId="13" fillId="0" borderId="3" xfId="0" applyFont="1" applyBorder="1" applyAlignment="1">
      <alignment horizontal="center" vertical="center"/>
    </xf>
    <xf numFmtId="0" fontId="55" fillId="17" borderId="4" xfId="0" applyFont="1" applyFill="1" applyBorder="1" applyAlignment="1">
      <alignment vertical="center" wrapText="1"/>
    </xf>
    <xf numFmtId="0" fontId="13" fillId="0" borderId="4" xfId="0" applyFont="1" applyFill="1" applyBorder="1" applyAlignment="1">
      <alignment vertical="center" wrapText="1"/>
    </xf>
    <xf numFmtId="0" fontId="12" fillId="17" borderId="4" xfId="0" applyFont="1" applyFill="1" applyBorder="1" applyAlignment="1">
      <alignment horizontal="left" vertical="center" wrapText="1"/>
    </xf>
    <xf numFmtId="0" fontId="13" fillId="0" borderId="4" xfId="0" applyFont="1" applyBorder="1" applyAlignment="1"/>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174" fontId="13" fillId="0" borderId="3" xfId="0" applyNumberFormat="1" applyFont="1" applyBorder="1" applyAlignment="1">
      <alignment horizontal="center"/>
    </xf>
    <xf numFmtId="0" fontId="13" fillId="0" borderId="4" xfId="0" applyFont="1" applyFill="1" applyBorder="1" applyAlignment="1">
      <alignment horizontal="center" vertical="center"/>
    </xf>
    <xf numFmtId="0" fontId="13" fillId="0" borderId="4" xfId="0" applyFont="1" applyBorder="1" applyAlignment="1">
      <alignment horizontal="center" vertical="center"/>
    </xf>
    <xf numFmtId="0" fontId="12" fillId="0" borderId="4" xfId="0" applyFont="1" applyFill="1" applyBorder="1" applyAlignment="1">
      <alignment horizontal="center" vertical="center" wrapText="1"/>
    </xf>
    <xf numFmtId="0" fontId="13" fillId="0" borderId="6" xfId="0" applyFont="1" applyFill="1" applyBorder="1" applyAlignment="1">
      <alignment horizontal="center" vertical="center"/>
    </xf>
    <xf numFmtId="0" fontId="13" fillId="0" borderId="6" xfId="0" applyFont="1" applyBorder="1" applyAlignment="1">
      <alignment horizontal="center" vertical="center"/>
    </xf>
    <xf numFmtId="174" fontId="13" fillId="0" borderId="4" xfId="0" applyNumberFormat="1" applyFont="1" applyFill="1" applyBorder="1" applyAlignment="1">
      <alignment horizontal="center"/>
    </xf>
    <xf numFmtId="174" fontId="13" fillId="0" borderId="5" xfId="0" applyNumberFormat="1" applyFont="1" applyFill="1" applyBorder="1" applyAlignment="1">
      <alignment horizontal="center"/>
    </xf>
    <xf numFmtId="0" fontId="13" fillId="0" borderId="4" xfId="0" applyFont="1" applyFill="1" applyBorder="1" applyAlignment="1">
      <alignment horizontal="center"/>
    </xf>
    <xf numFmtId="0" fontId="13" fillId="0" borderId="5" xfId="0" applyFont="1" applyFill="1" applyBorder="1" applyAlignment="1">
      <alignment horizontal="center"/>
    </xf>
    <xf numFmtId="174" fontId="13" fillId="0" borderId="4" xfId="0" applyNumberFormat="1" applyFont="1" applyFill="1" applyBorder="1" applyAlignment="1">
      <alignment horizontal="right"/>
    </xf>
    <xf numFmtId="174" fontId="13" fillId="0" borderId="7" xfId="0" applyNumberFormat="1" applyFont="1" applyFill="1" applyBorder="1" applyAlignment="1">
      <alignment horizontal="right"/>
    </xf>
    <xf numFmtId="174" fontId="13" fillId="0" borderId="8" xfId="0" applyNumberFormat="1" applyFont="1" applyFill="1" applyBorder="1" applyAlignment="1">
      <alignment horizontal="right"/>
    </xf>
    <xf numFmtId="0" fontId="55" fillId="0" borderId="9" xfId="0" applyFont="1" applyFill="1" applyBorder="1" applyAlignment="1">
      <alignment horizontal="center" vertical="center" wrapText="1"/>
    </xf>
    <xf numFmtId="174" fontId="13" fillId="0" borderId="4" xfId="0" applyNumberFormat="1" applyFont="1" applyBorder="1" applyAlignment="1">
      <alignment horizontal="right"/>
    </xf>
    <xf numFmtId="0" fontId="12" fillId="0" borderId="4" xfId="0" applyFont="1" applyFill="1" applyBorder="1" applyAlignment="1">
      <alignment horizontal="right"/>
    </xf>
    <xf numFmtId="174" fontId="13" fillId="0" borderId="5" xfId="0" applyNumberFormat="1" applyFont="1" applyBorder="1" applyAlignment="1">
      <alignment horizontal="right"/>
    </xf>
    <xf numFmtId="0" fontId="55" fillId="17" borderId="10" xfId="0" applyFont="1" applyFill="1" applyBorder="1" applyAlignment="1">
      <alignment vertical="center" wrapText="1"/>
    </xf>
    <xf numFmtId="0" fontId="55" fillId="0" borderId="10" xfId="0" applyFont="1" applyFill="1" applyBorder="1" applyAlignment="1">
      <alignment horizontal="center" vertical="center" wrapText="1"/>
    </xf>
    <xf numFmtId="0" fontId="55" fillId="17" borderId="11" xfId="0" applyFont="1" applyFill="1" applyBorder="1" applyAlignment="1">
      <alignment horizontal="center" vertical="center" wrapText="1"/>
    </xf>
    <xf numFmtId="174" fontId="0" fillId="0" borderId="0" xfId="0" applyNumberFormat="1"/>
    <xf numFmtId="174" fontId="52" fillId="0" borderId="0" xfId="0" applyNumberFormat="1" applyFont="1" applyAlignment="1">
      <alignment horizontal="center"/>
    </xf>
    <xf numFmtId="174" fontId="57" fillId="0" borderId="0" xfId="0" applyNumberFormat="1" applyFont="1"/>
    <xf numFmtId="0" fontId="55" fillId="17" borderId="12" xfId="0" applyFont="1" applyFill="1" applyBorder="1" applyAlignment="1">
      <alignment horizontal="center" vertical="center" wrapText="1"/>
    </xf>
    <xf numFmtId="0" fontId="55" fillId="17" borderId="13" xfId="0" applyFont="1" applyFill="1" applyBorder="1" applyAlignment="1">
      <alignment horizontal="center" vertical="center" wrapText="1"/>
    </xf>
    <xf numFmtId="0" fontId="55" fillId="17" borderId="14" xfId="0" applyFont="1" applyFill="1" applyBorder="1" applyAlignment="1">
      <alignment horizontal="center" vertical="center" wrapText="1"/>
    </xf>
    <xf numFmtId="0" fontId="55" fillId="17" borderId="15" xfId="0" applyFont="1" applyFill="1" applyBorder="1" applyAlignment="1">
      <alignment horizontal="center" vertical="center" wrapText="1"/>
    </xf>
    <xf numFmtId="174" fontId="50" fillId="0" borderId="0" xfId="0" applyNumberFormat="1" applyFont="1" applyBorder="1" applyAlignment="1">
      <alignment horizontal="center"/>
    </xf>
    <xf numFmtId="0" fontId="13" fillId="0" borderId="4" xfId="0" applyFont="1" applyFill="1" applyBorder="1" applyAlignment="1"/>
    <xf numFmtId="0" fontId="55" fillId="17" borderId="14" xfId="0" applyFont="1" applyFill="1" applyBorder="1" applyAlignment="1">
      <alignment vertical="center" wrapText="1"/>
    </xf>
    <xf numFmtId="0" fontId="55" fillId="0" borderId="16" xfId="0" applyFont="1" applyFill="1" applyBorder="1" applyAlignment="1">
      <alignment horizontal="center"/>
    </xf>
    <xf numFmtId="174" fontId="13" fillId="0" borderId="6" xfId="0" applyNumberFormat="1" applyFont="1" applyFill="1" applyBorder="1" applyAlignment="1">
      <alignment horizontal="center"/>
    </xf>
    <xf numFmtId="174" fontId="13" fillId="17" borderId="4" xfId="0" applyNumberFormat="1" applyFont="1" applyFill="1" applyBorder="1" applyAlignment="1">
      <alignment horizontal="center"/>
    </xf>
    <xf numFmtId="174" fontId="13" fillId="0" borderId="3" xfId="0" applyNumberFormat="1" applyFont="1" applyFill="1" applyBorder="1" applyAlignment="1">
      <alignment horizontal="center"/>
    </xf>
    <xf numFmtId="174" fontId="53" fillId="0" borderId="4" xfId="0" applyNumberFormat="1" applyFont="1" applyFill="1" applyBorder="1" applyAlignment="1">
      <alignment horizontal="right"/>
    </xf>
    <xf numFmtId="0" fontId="12" fillId="0" borderId="4" xfId="0" applyFont="1" applyFill="1" applyBorder="1" applyAlignment="1">
      <alignment horizontal="center" vertical="center"/>
    </xf>
    <xf numFmtId="0" fontId="13" fillId="0" borderId="4" xfId="0" applyFont="1" applyFill="1" applyBorder="1" applyAlignment="1">
      <alignment horizontal="center" vertical="center" wrapText="1"/>
    </xf>
    <xf numFmtId="174" fontId="13" fillId="0" borderId="7" xfId="0" applyNumberFormat="1" applyFont="1" applyFill="1" applyBorder="1" applyAlignment="1">
      <alignment horizontal="center"/>
    </xf>
    <xf numFmtId="0" fontId="55" fillId="17" borderId="11" xfId="0" applyFont="1" applyFill="1" applyBorder="1" applyAlignment="1">
      <alignment vertical="center" wrapText="1"/>
    </xf>
    <xf numFmtId="0" fontId="13" fillId="0" borderId="17" xfId="0" applyFont="1" applyBorder="1" applyAlignment="1">
      <alignment horizontal="center" vertical="center"/>
    </xf>
    <xf numFmtId="0" fontId="13" fillId="0" borderId="18" xfId="0" applyFont="1" applyBorder="1" applyAlignment="1">
      <alignment horizontal="center" vertical="center"/>
    </xf>
    <xf numFmtId="14" fontId="0" fillId="0" borderId="0" xfId="0" applyNumberFormat="1" applyAlignment="1">
      <alignment horizontal="left"/>
    </xf>
    <xf numFmtId="174" fontId="13" fillId="0" borderId="19" xfId="0" applyNumberFormat="1" applyFont="1" applyFill="1" applyBorder="1" applyAlignment="1">
      <alignment horizontal="center"/>
    </xf>
    <xf numFmtId="174" fontId="13" fillId="0" borderId="20" xfId="0" applyNumberFormat="1" applyFont="1" applyFill="1" applyBorder="1" applyAlignment="1">
      <alignment horizontal="center"/>
    </xf>
    <xf numFmtId="174" fontId="13" fillId="0" borderId="2" xfId="0" applyNumberFormat="1" applyFont="1" applyFill="1" applyBorder="1" applyAlignment="1">
      <alignment horizontal="center"/>
    </xf>
    <xf numFmtId="174" fontId="13" fillId="0" borderId="21" xfId="0" applyNumberFormat="1" applyFont="1" applyFill="1" applyBorder="1" applyAlignment="1">
      <alignment horizontal="center"/>
    </xf>
    <xf numFmtId="0" fontId="13" fillId="0" borderId="19" xfId="0" applyFont="1" applyBorder="1" applyAlignment="1">
      <alignment horizontal="center" vertical="center"/>
    </xf>
    <xf numFmtId="174" fontId="55" fillId="0" borderId="11" xfId="0" applyNumberFormat="1" applyFont="1" applyBorder="1"/>
    <xf numFmtId="0" fontId="55" fillId="17" borderId="14" xfId="0" applyFont="1" applyFill="1" applyBorder="1" applyAlignment="1">
      <alignment horizontal="center"/>
    </xf>
    <xf numFmtId="0" fontId="55" fillId="0" borderId="11" xfId="0" applyFont="1" applyBorder="1" applyAlignment="1">
      <alignment horizontal="right"/>
    </xf>
    <xf numFmtId="174" fontId="55" fillId="0" borderId="11" xfId="0" applyNumberFormat="1" applyFont="1" applyBorder="1" applyAlignment="1">
      <alignment horizontal="right"/>
    </xf>
    <xf numFmtId="0" fontId="55" fillId="0" borderId="0" xfId="0" applyFont="1" applyFill="1" applyBorder="1" applyAlignment="1"/>
    <xf numFmtId="174" fontId="55" fillId="0" borderId="22" xfId="0" applyNumberFormat="1" applyFont="1" applyBorder="1"/>
    <xf numFmtId="174" fontId="52" fillId="0" borderId="23" xfId="0" applyNumberFormat="1" applyFont="1" applyBorder="1" applyAlignment="1">
      <alignment horizontal="right"/>
    </xf>
    <xf numFmtId="174" fontId="13" fillId="0" borderId="24" xfId="0" applyNumberFormat="1" applyFont="1" applyBorder="1" applyAlignment="1">
      <alignment horizontal="right"/>
    </xf>
    <xf numFmtId="0" fontId="13" fillId="0" borderId="9" xfId="0" applyFont="1" applyFill="1" applyBorder="1" applyAlignment="1"/>
    <xf numFmtId="0" fontId="13" fillId="0" borderId="5" xfId="0" applyFont="1" applyFill="1" applyBorder="1" applyAlignment="1"/>
    <xf numFmtId="0" fontId="58" fillId="0" borderId="9" xfId="0" applyFont="1" applyBorder="1" applyAlignment="1">
      <alignment horizontal="center"/>
    </xf>
    <xf numFmtId="0" fontId="58" fillId="0" borderId="4" xfId="0" applyFont="1" applyBorder="1" applyAlignment="1">
      <alignment horizontal="center"/>
    </xf>
    <xf numFmtId="0" fontId="58" fillId="0" borderId="5" xfId="0" applyFont="1" applyBorder="1" applyAlignment="1">
      <alignment horizontal="center"/>
    </xf>
    <xf numFmtId="0" fontId="0" fillId="0" borderId="9" xfId="0" applyFill="1" applyBorder="1"/>
    <xf numFmtId="0" fontId="53" fillId="0" borderId="5" xfId="0" applyFont="1" applyFill="1" applyBorder="1" applyAlignment="1">
      <alignment horizontal="center"/>
    </xf>
    <xf numFmtId="174" fontId="13" fillId="17" borderId="9" xfId="0" applyNumberFormat="1" applyFont="1" applyFill="1" applyBorder="1" applyAlignment="1">
      <alignment horizontal="center"/>
    </xf>
    <xf numFmtId="0" fontId="0" fillId="0" borderId="4" xfId="0" applyFill="1" applyBorder="1"/>
    <xf numFmtId="0" fontId="0" fillId="0" borderId="5" xfId="0" applyFill="1" applyBorder="1"/>
    <xf numFmtId="0" fontId="13" fillId="0" borderId="16" xfId="0" applyFont="1" applyFill="1" applyBorder="1"/>
    <xf numFmtId="174" fontId="13" fillId="17" borderId="7" xfId="0" applyNumberFormat="1" applyFont="1" applyFill="1" applyBorder="1" applyAlignment="1">
      <alignment horizontal="center"/>
    </xf>
    <xf numFmtId="0" fontId="53" fillId="0" borderId="25" xfId="0" applyFont="1" applyFill="1" applyBorder="1" applyAlignment="1">
      <alignment horizontal="center"/>
    </xf>
    <xf numFmtId="0" fontId="13" fillId="0" borderId="9" xfId="0" applyFont="1" applyFill="1" applyBorder="1"/>
    <xf numFmtId="0" fontId="52" fillId="0" borderId="4" xfId="0" applyFont="1" applyFill="1" applyBorder="1" applyAlignment="1">
      <alignment horizontal="center"/>
    </xf>
    <xf numFmtId="0" fontId="52" fillId="0" borderId="5" xfId="0" applyFont="1" applyFill="1" applyBorder="1" applyAlignment="1">
      <alignment horizontal="center"/>
    </xf>
    <xf numFmtId="0" fontId="0" fillId="0" borderId="16" xfId="0" applyFill="1" applyBorder="1"/>
    <xf numFmtId="0" fontId="0" fillId="0" borderId="7" xfId="0" applyFill="1" applyBorder="1"/>
    <xf numFmtId="0" fontId="0" fillId="0" borderId="25" xfId="0" applyFill="1" applyBorder="1"/>
    <xf numFmtId="174" fontId="13" fillId="17" borderId="5" xfId="0" applyNumberFormat="1" applyFont="1" applyFill="1" applyBorder="1" applyAlignment="1">
      <alignment horizontal="center"/>
    </xf>
    <xf numFmtId="174" fontId="13" fillId="17" borderId="25" xfId="0" applyNumberFormat="1" applyFont="1" applyFill="1" applyBorder="1" applyAlignment="1">
      <alignment horizontal="center"/>
    </xf>
    <xf numFmtId="174" fontId="52" fillId="0" borderId="26" xfId="0" applyNumberFormat="1" applyFont="1" applyBorder="1" applyAlignment="1">
      <alignment horizontal="right"/>
    </xf>
    <xf numFmtId="0" fontId="55" fillId="17" borderId="27" xfId="0" applyFont="1" applyFill="1" applyBorder="1" applyAlignment="1">
      <alignment horizontal="center" vertical="center" wrapText="1"/>
    </xf>
    <xf numFmtId="0" fontId="55" fillId="17" borderId="28" xfId="0" applyFont="1" applyFill="1" applyBorder="1" applyAlignment="1">
      <alignment horizontal="center" vertical="center" wrapText="1"/>
    </xf>
    <xf numFmtId="0" fontId="55" fillId="17" borderId="1" xfId="0" applyFont="1" applyFill="1" applyBorder="1" applyAlignment="1">
      <alignment horizontal="center" vertical="center" wrapText="1"/>
    </xf>
    <xf numFmtId="174" fontId="13" fillId="0" borderId="29" xfId="0" applyNumberFormat="1" applyFont="1" applyFill="1" applyBorder="1" applyAlignment="1">
      <alignment horizontal="right"/>
    </xf>
    <xf numFmtId="174" fontId="13" fillId="0" borderId="30" xfId="0" applyNumberFormat="1" applyFont="1" applyFill="1" applyBorder="1" applyAlignment="1">
      <alignment horizontal="right"/>
    </xf>
    <xf numFmtId="0" fontId="52" fillId="0" borderId="9" xfId="0" applyFont="1" applyBorder="1"/>
    <xf numFmtId="0" fontId="52" fillId="0" borderId="5" xfId="0" applyFont="1" applyBorder="1"/>
    <xf numFmtId="0" fontId="55" fillId="17" borderId="11" xfId="0" applyFont="1" applyFill="1" applyBorder="1" applyAlignment="1">
      <alignment horizontal="left" vertical="center" wrapText="1"/>
    </xf>
    <xf numFmtId="174" fontId="13" fillId="0" borderId="13" xfId="0" applyNumberFormat="1" applyFont="1" applyFill="1" applyBorder="1" applyAlignment="1">
      <alignment horizontal="right"/>
    </xf>
    <xf numFmtId="0" fontId="52" fillId="0" borderId="11" xfId="0" applyFont="1" applyBorder="1"/>
    <xf numFmtId="0" fontId="55" fillId="17" borderId="31" xfId="0" applyFont="1" applyFill="1" applyBorder="1" applyAlignment="1">
      <alignment horizontal="left" vertical="center" wrapText="1"/>
    </xf>
    <xf numFmtId="174" fontId="13" fillId="0" borderId="32" xfId="0" applyNumberFormat="1" applyFont="1" applyFill="1" applyBorder="1" applyAlignment="1">
      <alignment horizontal="right"/>
    </xf>
    <xf numFmtId="0" fontId="52" fillId="0" borderId="31" xfId="0" applyFont="1" applyBorder="1"/>
    <xf numFmtId="0" fontId="55" fillId="17" borderId="22" xfId="0" applyFont="1" applyFill="1" applyBorder="1" applyAlignment="1">
      <alignment horizontal="left" vertical="center" wrapText="1"/>
    </xf>
    <xf numFmtId="174" fontId="13" fillId="0" borderId="33" xfId="0" applyNumberFormat="1" applyFont="1" applyFill="1" applyBorder="1" applyAlignment="1">
      <alignment horizontal="right"/>
    </xf>
    <xf numFmtId="0" fontId="52" fillId="0" borderId="22" xfId="0" applyFont="1" applyBorder="1"/>
    <xf numFmtId="0" fontId="52" fillId="0" borderId="13" xfId="0" applyFont="1" applyBorder="1" applyAlignment="1">
      <alignment horizontal="center"/>
    </xf>
    <xf numFmtId="0" fontId="52" fillId="0" borderId="32" xfId="0" applyFont="1" applyBorder="1" applyAlignment="1">
      <alignment horizontal="center"/>
    </xf>
    <xf numFmtId="0" fontId="52" fillId="0" borderId="29" xfId="0" applyFont="1" applyBorder="1" applyAlignment="1">
      <alignment horizontal="center"/>
    </xf>
    <xf numFmtId="0" fontId="52" fillId="0" borderId="30" xfId="0" applyFont="1" applyBorder="1" applyAlignment="1">
      <alignment horizontal="center"/>
    </xf>
    <xf numFmtId="0" fontId="52" fillId="0" borderId="33" xfId="0" applyFont="1" applyBorder="1" applyAlignment="1">
      <alignment horizontal="center"/>
    </xf>
    <xf numFmtId="0" fontId="55" fillId="17" borderId="11" xfId="0" applyFont="1" applyFill="1" applyBorder="1" applyAlignment="1">
      <alignment horizontal="center"/>
    </xf>
    <xf numFmtId="174" fontId="13" fillId="17" borderId="1" xfId="0" applyNumberFormat="1" applyFont="1" applyFill="1" applyBorder="1" applyAlignment="1">
      <alignment horizontal="center"/>
    </xf>
    <xf numFmtId="0" fontId="13" fillId="0" borderId="1" xfId="0" applyFont="1" applyBorder="1" applyAlignment="1"/>
    <xf numFmtId="0" fontId="58" fillId="0" borderId="1" xfId="0" applyFont="1" applyBorder="1"/>
    <xf numFmtId="0" fontId="58" fillId="0" borderId="1" xfId="0" applyFont="1" applyBorder="1" applyAlignment="1">
      <alignment horizontal="center"/>
    </xf>
    <xf numFmtId="0" fontId="55" fillId="0" borderId="0" xfId="0" applyFont="1" applyFill="1" applyBorder="1" applyAlignment="1">
      <alignment horizontal="center"/>
    </xf>
    <xf numFmtId="3" fontId="13" fillId="0" borderId="4" xfId="0" applyNumberFormat="1" applyFont="1" applyFill="1" applyBorder="1" applyAlignment="1">
      <alignment horizontal="center"/>
    </xf>
    <xf numFmtId="174" fontId="52" fillId="17" borderId="4" xfId="0" applyNumberFormat="1" applyFont="1" applyFill="1" applyBorder="1" applyAlignment="1">
      <alignment horizontal="center" vertical="center" wrapText="1"/>
    </xf>
    <xf numFmtId="174" fontId="52" fillId="0" borderId="4" xfId="0" applyNumberFormat="1" applyFont="1" applyFill="1" applyBorder="1" applyAlignment="1">
      <alignment horizontal="center" vertical="center" wrapText="1"/>
    </xf>
    <xf numFmtId="0" fontId="13" fillId="0" borderId="4" xfId="0" applyFont="1" applyBorder="1" applyAlignment="1">
      <alignment horizontal="center"/>
    </xf>
    <xf numFmtId="174" fontId="52" fillId="0" borderId="4" xfId="0" applyNumberFormat="1" applyFont="1" applyBorder="1"/>
    <xf numFmtId="174" fontId="52" fillId="17" borderId="4" xfId="0" applyNumberFormat="1" applyFont="1" applyFill="1" applyBorder="1"/>
    <xf numFmtId="174" fontId="13" fillId="17" borderId="10" xfId="0" applyNumberFormat="1" applyFont="1" applyFill="1" applyBorder="1" applyAlignment="1">
      <alignment horizontal="center"/>
    </xf>
    <xf numFmtId="174" fontId="13" fillId="0" borderId="10" xfId="0" applyNumberFormat="1" applyFont="1" applyFill="1" applyBorder="1" applyAlignment="1">
      <alignment horizontal="center"/>
    </xf>
    <xf numFmtId="3" fontId="13" fillId="0" borderId="10" xfId="0" applyNumberFormat="1" applyFont="1" applyFill="1" applyBorder="1" applyAlignment="1">
      <alignment horizontal="center"/>
    </xf>
    <xf numFmtId="174" fontId="52" fillId="17" borderId="10" xfId="0" applyNumberFormat="1" applyFont="1" applyFill="1" applyBorder="1" applyAlignment="1">
      <alignment horizontal="center" vertical="center" wrapText="1"/>
    </xf>
    <xf numFmtId="0" fontId="13" fillId="0" borderId="10" xfId="0" applyFont="1" applyBorder="1" applyAlignment="1">
      <alignment horizontal="center"/>
    </xf>
    <xf numFmtId="174" fontId="52" fillId="0" borderId="10" xfId="0" applyNumberFormat="1" applyFont="1" applyBorder="1"/>
    <xf numFmtId="174" fontId="52" fillId="0" borderId="4" xfId="0" applyNumberFormat="1" applyFont="1" applyFill="1" applyBorder="1"/>
    <xf numFmtId="0" fontId="50" fillId="0" borderId="4" xfId="0" applyFont="1" applyFill="1" applyBorder="1" applyAlignment="1">
      <alignment horizontal="center"/>
    </xf>
    <xf numFmtId="0" fontId="50" fillId="0" borderId="5" xfId="0" applyFont="1" applyFill="1" applyBorder="1" applyAlignment="1">
      <alignment horizontal="center"/>
    </xf>
    <xf numFmtId="174" fontId="50" fillId="0" borderId="4" xfId="0" applyNumberFormat="1" applyFont="1" applyBorder="1" applyAlignment="1">
      <alignment horizontal="center"/>
    </xf>
    <xf numFmtId="174" fontId="50" fillId="0" borderId="5" xfId="0" applyNumberFormat="1" applyFont="1" applyBorder="1" applyAlignment="1">
      <alignment horizontal="center"/>
    </xf>
    <xf numFmtId="0" fontId="50" fillId="0" borderId="10" xfId="0" applyFont="1" applyFill="1" applyBorder="1" applyAlignment="1">
      <alignment horizontal="center"/>
    </xf>
    <xf numFmtId="0" fontId="0" fillId="0" borderId="0" xfId="0" applyAlignment="1">
      <alignment horizontal="left"/>
    </xf>
    <xf numFmtId="0" fontId="50" fillId="0" borderId="0" xfId="0" applyFont="1" applyAlignment="1"/>
    <xf numFmtId="0" fontId="0" fillId="0" borderId="0" xfId="0" applyAlignment="1"/>
    <xf numFmtId="174" fontId="50" fillId="17" borderId="4" xfId="0" applyNumberFormat="1" applyFont="1" applyFill="1" applyBorder="1" applyAlignment="1">
      <alignment horizontal="center"/>
    </xf>
    <xf numFmtId="174" fontId="11" fillId="17" borderId="4" xfId="0" applyNumberFormat="1" applyFont="1" applyFill="1" applyBorder="1" applyAlignment="1">
      <alignment horizontal="center"/>
    </xf>
    <xf numFmtId="174" fontId="11" fillId="17" borderId="5" xfId="0" applyNumberFormat="1" applyFont="1" applyFill="1" applyBorder="1" applyAlignment="1">
      <alignment horizontal="center"/>
    </xf>
    <xf numFmtId="174" fontId="50" fillId="0" borderId="4" xfId="0" applyNumberFormat="1" applyFont="1" applyFill="1" applyBorder="1" applyAlignment="1">
      <alignment horizontal="center"/>
    </xf>
    <xf numFmtId="174" fontId="11" fillId="0" borderId="4" xfId="0" applyNumberFormat="1" applyFont="1" applyFill="1" applyBorder="1" applyAlignment="1">
      <alignment horizontal="center"/>
    </xf>
    <xf numFmtId="0" fontId="50" fillId="0" borderId="4" xfId="0" applyFont="1" applyFill="1" applyBorder="1"/>
    <xf numFmtId="174" fontId="11" fillId="0" borderId="5" xfId="0" applyNumberFormat="1" applyFont="1" applyFill="1" applyBorder="1" applyAlignment="1">
      <alignment horizontal="center"/>
    </xf>
    <xf numFmtId="174" fontId="50" fillId="17" borderId="10" xfId="0" applyNumberFormat="1" applyFont="1" applyFill="1" applyBorder="1" applyAlignment="1">
      <alignment horizontal="center"/>
    </xf>
    <xf numFmtId="174" fontId="50" fillId="17" borderId="5" xfId="0" applyNumberFormat="1" applyFont="1" applyFill="1" applyBorder="1" applyAlignment="1">
      <alignment horizontal="center"/>
    </xf>
    <xf numFmtId="0" fontId="50" fillId="0" borderId="10" xfId="0" applyFont="1" applyBorder="1" applyAlignment="1">
      <alignment horizontal="center"/>
    </xf>
    <xf numFmtId="0" fontId="50" fillId="0" borderId="4" xfId="0" applyFont="1" applyBorder="1" applyAlignment="1">
      <alignment horizontal="center"/>
    </xf>
    <xf numFmtId="0" fontId="50" fillId="0" borderId="5" xfId="0" applyFont="1" applyBorder="1" applyAlignment="1">
      <alignment horizontal="center"/>
    </xf>
    <xf numFmtId="174" fontId="55" fillId="0" borderId="0" xfId="0" applyNumberFormat="1" applyFont="1" applyBorder="1"/>
    <xf numFmtId="0" fontId="59" fillId="0" borderId="0" xfId="0" applyFont="1" applyAlignment="1">
      <alignment horizontal="center"/>
    </xf>
    <xf numFmtId="174" fontId="55" fillId="0" borderId="0" xfId="0" applyNumberFormat="1" applyFont="1" applyFill="1" applyBorder="1"/>
    <xf numFmtId="3" fontId="55" fillId="0" borderId="0" xfId="0" applyNumberFormat="1" applyFont="1" applyFill="1" applyBorder="1"/>
    <xf numFmtId="0" fontId="55" fillId="0" borderId="0" xfId="0" applyFont="1" applyFill="1" applyBorder="1" applyAlignment="1">
      <alignment horizontal="center"/>
    </xf>
    <xf numFmtId="0" fontId="56" fillId="0" borderId="0" xfId="0" applyFont="1" applyFill="1" applyBorder="1" applyAlignment="1">
      <alignment horizontal="center" vertical="center" wrapText="1"/>
    </xf>
    <xf numFmtId="174" fontId="50" fillId="0" borderId="0" xfId="0" applyNumberFormat="1" applyFont="1" applyFill="1" applyBorder="1" applyAlignment="1">
      <alignment horizontal="center"/>
    </xf>
    <xf numFmtId="0" fontId="53" fillId="0" borderId="4" xfId="0" applyFont="1" applyFill="1" applyBorder="1" applyAlignment="1">
      <alignment horizontal="center"/>
    </xf>
    <xf numFmtId="174" fontId="53" fillId="17" borderId="4" xfId="0" applyNumberFormat="1" applyFont="1" applyFill="1" applyBorder="1" applyAlignment="1">
      <alignment horizontal="center"/>
    </xf>
    <xf numFmtId="174" fontId="53" fillId="0" borderId="4" xfId="0" applyNumberFormat="1" applyFont="1" applyFill="1" applyBorder="1" applyAlignment="1">
      <alignment horizontal="center"/>
    </xf>
    <xf numFmtId="174" fontId="53" fillId="17" borderId="4" xfId="0" applyNumberFormat="1" applyFont="1" applyFill="1" applyBorder="1" applyAlignment="1">
      <alignment horizontal="center" vertical="center" wrapText="1"/>
    </xf>
    <xf numFmtId="0" fontId="53" fillId="0" borderId="4" xfId="0" applyFont="1" applyBorder="1" applyAlignment="1">
      <alignment horizontal="center"/>
    </xf>
    <xf numFmtId="174" fontId="53" fillId="0" borderId="4" xfId="0" applyNumberFormat="1" applyFont="1" applyBorder="1"/>
    <xf numFmtId="0" fontId="47" fillId="0" borderId="0" xfId="0" applyFont="1"/>
    <xf numFmtId="174" fontId="53" fillId="0" borderId="4" xfId="0" applyNumberFormat="1" applyFont="1" applyFill="1" applyBorder="1" applyAlignment="1">
      <alignment horizontal="center" vertical="center" wrapText="1"/>
    </xf>
    <xf numFmtId="174" fontId="53" fillId="17" borderId="5" xfId="0" applyNumberFormat="1" applyFont="1" applyFill="1" applyBorder="1" applyAlignment="1">
      <alignment horizontal="center"/>
    </xf>
    <xf numFmtId="174" fontId="53" fillId="0" borderId="5" xfId="0" applyNumberFormat="1" applyFont="1" applyFill="1" applyBorder="1" applyAlignment="1">
      <alignment horizontal="center"/>
    </xf>
    <xf numFmtId="174" fontId="53" fillId="17" borderId="5" xfId="0" applyNumberFormat="1" applyFont="1" applyFill="1" applyBorder="1" applyAlignment="1">
      <alignment horizontal="center" vertical="center" wrapText="1"/>
    </xf>
    <xf numFmtId="0" fontId="53" fillId="0" borderId="5" xfId="0" applyFont="1" applyBorder="1" applyAlignment="1">
      <alignment horizontal="center"/>
    </xf>
    <xf numFmtId="174" fontId="53" fillId="0" borderId="5" xfId="0" applyNumberFormat="1" applyFont="1" applyBorder="1"/>
    <xf numFmtId="0" fontId="8" fillId="0" borderId="0" xfId="0" applyFont="1"/>
    <xf numFmtId="4" fontId="15" fillId="0" borderId="0" xfId="0" applyNumberFormat="1" applyFont="1" applyAlignment="1">
      <alignment horizontal="center"/>
    </xf>
    <xf numFmtId="0" fontId="15" fillId="0" borderId="0" xfId="0" applyFont="1"/>
    <xf numFmtId="0" fontId="8" fillId="0" borderId="0" xfId="0" applyFont="1" applyAlignment="1">
      <alignment horizontal="center"/>
    </xf>
    <xf numFmtId="4" fontId="8" fillId="0" borderId="0" xfId="0" applyNumberFormat="1" applyFont="1" applyAlignment="1">
      <alignment horizontal="center"/>
    </xf>
    <xf numFmtId="9" fontId="8" fillId="0" borderId="0" xfId="0" applyNumberFormat="1" applyFont="1" applyAlignment="1">
      <alignment horizontal="center"/>
    </xf>
    <xf numFmtId="10" fontId="8" fillId="0" borderId="0" xfId="0" applyNumberFormat="1" applyFont="1" applyAlignment="1">
      <alignment horizontal="center"/>
    </xf>
    <xf numFmtId="3" fontId="8" fillId="0" borderId="0" xfId="0" applyNumberFormat="1" applyFont="1" applyAlignment="1">
      <alignment horizontal="center"/>
    </xf>
    <xf numFmtId="4" fontId="8" fillId="0" borderId="0" xfId="0" applyNumberFormat="1" applyFont="1"/>
    <xf numFmtId="177" fontId="17" fillId="0" borderId="18" xfId="5" applyNumberFormat="1" applyFont="1" applyBorder="1" applyAlignment="1" applyProtection="1">
      <alignment horizontal="center" vertical="center" wrapText="1"/>
    </xf>
    <xf numFmtId="177" fontId="17" fillId="0" borderId="34" xfId="5" applyNumberFormat="1" applyFont="1" applyBorder="1" applyAlignment="1" applyProtection="1">
      <alignment horizontal="center" vertical="center" wrapText="1"/>
    </xf>
    <xf numFmtId="4" fontId="9" fillId="0" borderId="1" xfId="5" applyNumberFormat="1" applyFont="1" applyBorder="1" applyAlignment="1" applyProtection="1">
      <alignment horizontal="center" vertical="center" wrapText="1"/>
    </xf>
    <xf numFmtId="0" fontId="15" fillId="0" borderId="0" xfId="0" applyFont="1" applyAlignment="1">
      <alignment horizontal="center"/>
    </xf>
    <xf numFmtId="0" fontId="60" fillId="0" borderId="0" xfId="175" applyFont="1"/>
    <xf numFmtId="0" fontId="42" fillId="0" borderId="0" xfId="175"/>
    <xf numFmtId="0" fontId="60" fillId="0" borderId="0" xfId="175" applyFont="1" applyAlignment="1">
      <alignment horizontal="center"/>
    </xf>
    <xf numFmtId="177" fontId="60" fillId="0" borderId="0" xfId="112" applyNumberFormat="1" applyFont="1"/>
    <xf numFmtId="184" fontId="61" fillId="0" borderId="0" xfId="175" applyNumberFormat="1" applyFont="1"/>
    <xf numFmtId="177" fontId="10" fillId="3" borderId="35" xfId="112" applyNumberFormat="1" applyFont="1" applyFill="1" applyBorder="1" applyAlignment="1">
      <alignment horizontal="centerContinuous" vertical="center" wrapText="1"/>
    </xf>
    <xf numFmtId="177" fontId="10" fillId="3" borderId="36" xfId="112" applyNumberFormat="1" applyFont="1" applyFill="1" applyBorder="1" applyAlignment="1">
      <alignment horizontal="centerContinuous" vertical="center" wrapText="1"/>
    </xf>
    <xf numFmtId="0" fontId="10" fillId="0" borderId="37" xfId="175" applyFont="1" applyBorder="1" applyAlignment="1">
      <alignment horizontal="center" vertical="center" wrapText="1"/>
    </xf>
    <xf numFmtId="0" fontId="10" fillId="0" borderId="37" xfId="175" applyFont="1" applyFill="1" applyBorder="1" applyAlignment="1">
      <alignment horizontal="center" vertical="center" wrapText="1"/>
    </xf>
    <xf numFmtId="177" fontId="10" fillId="0" borderId="37" xfId="112" applyNumberFormat="1" applyFont="1" applyBorder="1" applyAlignment="1">
      <alignment horizontal="center" vertical="center" wrapText="1"/>
    </xf>
    <xf numFmtId="177" fontId="10" fillId="0" borderId="18" xfId="112" applyNumberFormat="1" applyFont="1" applyBorder="1" applyAlignment="1">
      <alignment horizontal="center" vertical="center" wrapText="1"/>
    </xf>
    <xf numFmtId="177" fontId="10" fillId="18" borderId="1" xfId="112" applyNumberFormat="1" applyFont="1" applyFill="1" applyBorder="1" applyAlignment="1">
      <alignment horizontal="center" vertical="center" wrapText="1"/>
    </xf>
    <xf numFmtId="0" fontId="10" fillId="0" borderId="36" xfId="175" applyFont="1" applyBorder="1" applyAlignment="1">
      <alignment horizontal="left" vertical="center"/>
    </xf>
    <xf numFmtId="0" fontId="10" fillId="0" borderId="34" xfId="175" applyFont="1" applyBorder="1" applyAlignment="1">
      <alignment horizontal="center" vertical="center" wrapText="1"/>
    </xf>
    <xf numFmtId="0" fontId="10" fillId="0" borderId="34" xfId="175" applyFont="1" applyFill="1" applyBorder="1" applyAlignment="1">
      <alignment horizontal="center" vertical="center" wrapText="1"/>
    </xf>
    <xf numFmtId="177" fontId="10" fillId="0" borderId="34" xfId="112" applyNumberFormat="1" applyFont="1" applyBorder="1" applyAlignment="1">
      <alignment horizontal="center" vertical="center" wrapText="1"/>
    </xf>
    <xf numFmtId="177" fontId="10" fillId="0" borderId="38" xfId="112" applyNumberFormat="1" applyFont="1" applyBorder="1" applyAlignment="1">
      <alignment horizontal="center" vertical="center" wrapText="1"/>
    </xf>
    <xf numFmtId="0" fontId="42" fillId="0" borderId="1" xfId="175" applyBorder="1"/>
    <xf numFmtId="0" fontId="60" fillId="0" borderId="39" xfId="175" applyFont="1" applyFill="1" applyBorder="1" applyAlignment="1">
      <alignment horizontal="left"/>
    </xf>
    <xf numFmtId="0" fontId="9" fillId="0" borderId="1" xfId="175" applyFont="1" applyBorder="1" applyAlignment="1">
      <alignment horizontal="center" vertical="center" wrapText="1"/>
    </xf>
    <xf numFmtId="0" fontId="9" fillId="0" borderId="1" xfId="175" applyFont="1" applyFill="1" applyBorder="1" applyAlignment="1">
      <alignment horizontal="center" vertical="center" wrapText="1"/>
    </xf>
    <xf numFmtId="177" fontId="9" fillId="0" borderId="1" xfId="112" applyNumberFormat="1" applyFont="1" applyBorder="1" applyAlignment="1">
      <alignment horizontal="center" vertical="center" wrapText="1"/>
    </xf>
    <xf numFmtId="177" fontId="10" fillId="0" borderId="1" xfId="112" applyNumberFormat="1" applyFont="1" applyBorder="1" applyAlignment="1">
      <alignment horizontal="center" vertical="center" wrapText="1"/>
    </xf>
    <xf numFmtId="0" fontId="9" fillId="0" borderId="1" xfId="175" applyFont="1" applyFill="1" applyBorder="1" applyAlignment="1">
      <alignment horizontal="center" wrapText="1"/>
    </xf>
    <xf numFmtId="0" fontId="9" fillId="0" borderId="1" xfId="175" applyFont="1" applyFill="1" applyBorder="1" applyAlignment="1">
      <alignment horizontal="center"/>
    </xf>
    <xf numFmtId="4" fontId="9" fillId="0" borderId="1" xfId="112" applyNumberFormat="1" applyFont="1" applyFill="1" applyBorder="1" applyAlignment="1">
      <alignment horizontal="center"/>
    </xf>
    <xf numFmtId="0" fontId="60" fillId="0" borderId="1" xfId="175" applyFont="1" applyFill="1" applyBorder="1" applyAlignment="1">
      <alignment horizontal="left"/>
    </xf>
    <xf numFmtId="0" fontId="9" fillId="0" borderId="1" xfId="175" applyFont="1" applyFill="1" applyBorder="1" applyAlignment="1">
      <alignment horizontal="left"/>
    </xf>
    <xf numFmtId="0" fontId="10" fillId="0" borderId="6" xfId="175" applyFont="1" applyFill="1" applyBorder="1" applyAlignment="1">
      <alignment horizontal="left"/>
    </xf>
    <xf numFmtId="0" fontId="9" fillId="0" borderId="7" xfId="175" applyFont="1" applyFill="1" applyBorder="1" applyAlignment="1">
      <alignment horizontal="center" wrapText="1"/>
    </xf>
    <xf numFmtId="0" fontId="9" fillId="0" borderId="7" xfId="175" applyFont="1" applyFill="1" applyBorder="1" applyAlignment="1">
      <alignment horizontal="center"/>
    </xf>
    <xf numFmtId="4" fontId="9" fillId="0" borderId="7" xfId="112" applyNumberFormat="1" applyFont="1" applyFill="1" applyBorder="1" applyAlignment="1">
      <alignment horizontal="center"/>
    </xf>
    <xf numFmtId="4" fontId="9" fillId="0" borderId="6" xfId="112" applyNumberFormat="1" applyFont="1" applyFill="1" applyBorder="1" applyAlignment="1">
      <alignment horizontal="center"/>
    </xf>
    <xf numFmtId="4" fontId="9" fillId="0" borderId="40" xfId="112" applyNumberFormat="1" applyFont="1" applyFill="1" applyBorder="1" applyAlignment="1">
      <alignment horizontal="center"/>
    </xf>
    <xf numFmtId="0" fontId="60" fillId="0" borderId="1" xfId="175" applyFont="1" applyFill="1" applyBorder="1" applyAlignment="1">
      <alignment horizontal="center"/>
    </xf>
    <xf numFmtId="3" fontId="9" fillId="0" borderId="1" xfId="112" applyNumberFormat="1" applyFont="1" applyFill="1" applyBorder="1" applyAlignment="1">
      <alignment horizontal="center"/>
    </xf>
    <xf numFmtId="0" fontId="9" fillId="0" borderId="1" xfId="175" applyFont="1" applyFill="1" applyBorder="1"/>
    <xf numFmtId="0" fontId="61" fillId="0" borderId="6" xfId="175" applyFont="1" applyFill="1" applyBorder="1" applyAlignment="1">
      <alignment horizontal="left"/>
    </xf>
    <xf numFmtId="0" fontId="60" fillId="0" borderId="1" xfId="175" applyFont="1" applyFill="1" applyBorder="1"/>
    <xf numFmtId="0" fontId="60" fillId="0" borderId="7" xfId="175" applyFont="1" applyFill="1" applyBorder="1" applyAlignment="1">
      <alignment horizontal="center"/>
    </xf>
    <xf numFmtId="0" fontId="9" fillId="19" borderId="1" xfId="175" applyFont="1" applyFill="1" applyBorder="1" applyAlignment="1">
      <alignment horizontal="left"/>
    </xf>
    <xf numFmtId="0" fontId="62" fillId="20" borderId="41" xfId="175" applyFont="1" applyFill="1" applyBorder="1"/>
    <xf numFmtId="0" fontId="62" fillId="20" borderId="42" xfId="175" applyFont="1" applyFill="1" applyBorder="1" applyAlignment="1">
      <alignment horizontal="center"/>
    </xf>
    <xf numFmtId="0" fontId="63" fillId="20" borderId="43" xfId="175" applyFont="1" applyFill="1" applyBorder="1" applyAlignment="1">
      <alignment horizontal="center"/>
    </xf>
    <xf numFmtId="0" fontId="64" fillId="20" borderId="0" xfId="175" applyFont="1" applyFill="1" applyAlignment="1">
      <alignment horizontal="center"/>
    </xf>
    <xf numFmtId="0" fontId="64" fillId="20" borderId="0" xfId="175" applyFont="1" applyFill="1"/>
    <xf numFmtId="0" fontId="64" fillId="21" borderId="0" xfId="175" applyFont="1" applyFill="1"/>
    <xf numFmtId="0" fontId="63" fillId="20" borderId="32" xfId="175" applyFont="1" applyFill="1" applyBorder="1"/>
    <xf numFmtId="0" fontId="63" fillId="20" borderId="0" xfId="175" applyFont="1" applyFill="1" applyAlignment="1">
      <alignment horizontal="center"/>
    </xf>
    <xf numFmtId="0" fontId="63" fillId="20" borderId="44" xfId="175" applyFont="1" applyFill="1" applyBorder="1" applyAlignment="1">
      <alignment horizontal="center"/>
    </xf>
    <xf numFmtId="3" fontId="64" fillId="20" borderId="0" xfId="175" applyNumberFormat="1" applyFont="1" applyFill="1" applyAlignment="1">
      <alignment horizontal="center"/>
    </xf>
    <xf numFmtId="0" fontId="64" fillId="20" borderId="45" xfId="175" applyFont="1" applyFill="1" applyBorder="1"/>
    <xf numFmtId="0" fontId="64" fillId="21" borderId="45" xfId="175" applyFont="1" applyFill="1" applyBorder="1"/>
    <xf numFmtId="0" fontId="63" fillId="20" borderId="75" xfId="175" applyFont="1" applyFill="1" applyBorder="1" applyAlignment="1">
      <alignment horizontal="center"/>
    </xf>
    <xf numFmtId="0" fontId="65" fillId="20" borderId="32" xfId="175" applyFont="1" applyFill="1" applyBorder="1"/>
    <xf numFmtId="0" fontId="65" fillId="20" borderId="0" xfId="175" applyFont="1" applyFill="1" applyBorder="1"/>
    <xf numFmtId="0" fontId="64" fillId="20" borderId="44" xfId="175" applyFont="1" applyFill="1" applyBorder="1"/>
    <xf numFmtId="0" fontId="64" fillId="20" borderId="41" xfId="175" applyFont="1" applyFill="1" applyBorder="1"/>
    <xf numFmtId="0" fontId="64" fillId="20" borderId="0" xfId="175" applyFont="1" applyFill="1" applyBorder="1"/>
    <xf numFmtId="0" fontId="64" fillId="20" borderId="43" xfId="175" applyFont="1" applyFill="1" applyBorder="1"/>
    <xf numFmtId="0" fontId="62" fillId="20" borderId="32" xfId="175" applyFont="1" applyFill="1" applyBorder="1"/>
    <xf numFmtId="0" fontId="62" fillId="20" borderId="0" xfId="175" applyFont="1" applyFill="1" applyAlignment="1">
      <alignment horizontal="center"/>
    </xf>
    <xf numFmtId="0" fontId="64" fillId="20" borderId="32" xfId="175" applyFont="1" applyFill="1" applyBorder="1"/>
    <xf numFmtId="0" fontId="64" fillId="21" borderId="32" xfId="175" applyFont="1" applyFill="1" applyBorder="1"/>
    <xf numFmtId="0" fontId="64" fillId="21" borderId="0" xfId="175" applyFont="1" applyFill="1" applyBorder="1"/>
    <xf numFmtId="0" fontId="63" fillId="20" borderId="33" xfId="175" applyFont="1" applyFill="1" applyBorder="1"/>
    <xf numFmtId="0" fontId="63" fillId="20" borderId="45" xfId="175" applyFont="1" applyFill="1" applyBorder="1" applyAlignment="1">
      <alignment horizontal="center"/>
    </xf>
    <xf numFmtId="0" fontId="42" fillId="0" borderId="0" xfId="175" applyAlignment="1">
      <alignment horizontal="center"/>
    </xf>
    <xf numFmtId="0" fontId="44" fillId="0" borderId="74" xfId="186" applyFont="1"/>
    <xf numFmtId="0" fontId="60" fillId="0" borderId="0" xfId="175" applyFont="1" applyAlignment="1">
      <alignment horizontal="center" vertical="center" wrapText="1"/>
    </xf>
    <xf numFmtId="173" fontId="42" fillId="0" borderId="0" xfId="15" applyNumberFormat="1"/>
    <xf numFmtId="173" fontId="43" fillId="22" borderId="0" xfId="15" applyNumberFormat="1" applyFont="1" applyFill="1"/>
    <xf numFmtId="173" fontId="10" fillId="18" borderId="1" xfId="15" applyNumberFormat="1" applyFont="1" applyFill="1" applyBorder="1" applyAlignment="1">
      <alignment horizontal="center" vertical="center" wrapText="1"/>
    </xf>
    <xf numFmtId="173" fontId="42" fillId="0" borderId="1" xfId="15" applyNumberFormat="1" applyBorder="1"/>
    <xf numFmtId="173" fontId="60" fillId="0" borderId="1" xfId="67" applyNumberFormat="1" applyFont="1" applyFill="1" applyBorder="1" applyAlignment="1">
      <alignment horizontal="center" vertical="center" wrapText="1"/>
    </xf>
    <xf numFmtId="173" fontId="60" fillId="0" borderId="3" xfId="67" applyNumberFormat="1" applyFont="1" applyFill="1" applyBorder="1" applyAlignment="1">
      <alignment horizontal="center" vertical="center" wrapText="1"/>
    </xf>
    <xf numFmtId="173" fontId="60" fillId="0" borderId="39" xfId="67" applyNumberFormat="1" applyFont="1" applyFill="1" applyBorder="1" applyAlignment="1">
      <alignment horizontal="center" vertical="center" wrapText="1"/>
    </xf>
    <xf numFmtId="173" fontId="64" fillId="20" borderId="0" xfId="15" applyNumberFormat="1" applyFont="1" applyFill="1" applyAlignment="1">
      <alignment horizontal="center"/>
    </xf>
    <xf numFmtId="173" fontId="64" fillId="20" borderId="0" xfId="15" applyNumberFormat="1" applyFont="1" applyFill="1"/>
    <xf numFmtId="173" fontId="64" fillId="20" borderId="32" xfId="15" applyNumberFormat="1" applyFont="1" applyFill="1" applyBorder="1"/>
    <xf numFmtId="0" fontId="10" fillId="23" borderId="0" xfId="175" applyFont="1" applyFill="1" applyAlignment="1">
      <alignment horizontal="center" vertical="center" wrapText="1"/>
    </xf>
    <xf numFmtId="0" fontId="60" fillId="23" borderId="0" xfId="175" applyFont="1" applyFill="1" applyAlignment="1">
      <alignment horizontal="center" vertical="center" wrapText="1"/>
    </xf>
    <xf numFmtId="0" fontId="60" fillId="23" borderId="0" xfId="175" applyFont="1" applyFill="1" applyAlignment="1">
      <alignment horizontal="center"/>
    </xf>
    <xf numFmtId="0" fontId="66" fillId="23" borderId="0" xfId="175" applyFont="1" applyFill="1" applyAlignment="1">
      <alignment horizontal="center" vertical="center" wrapText="1"/>
    </xf>
    <xf numFmtId="177" fontId="61" fillId="23" borderId="45" xfId="112" applyNumberFormat="1" applyFont="1" applyFill="1" applyBorder="1" applyAlignment="1">
      <alignment horizontal="left" vertical="center" wrapText="1"/>
    </xf>
    <xf numFmtId="0" fontId="10" fillId="6" borderId="46" xfId="175" applyFont="1" applyFill="1" applyBorder="1" applyAlignment="1">
      <alignment horizontal="center" vertical="center"/>
    </xf>
    <xf numFmtId="0" fontId="10" fillId="7" borderId="1" xfId="175" applyFont="1" applyFill="1" applyBorder="1" applyAlignment="1">
      <alignment horizontal="center" vertical="center"/>
    </xf>
    <xf numFmtId="0" fontId="20" fillId="0" borderId="37" xfId="175" applyFont="1" applyBorder="1" applyAlignment="1">
      <alignment horizontal="center" vertical="center" wrapText="1"/>
    </xf>
    <xf numFmtId="0" fontId="20" fillId="0" borderId="47" xfId="175" applyFont="1" applyBorder="1" applyAlignment="1">
      <alignment horizontal="center" vertical="center" wrapText="1"/>
    </xf>
    <xf numFmtId="0" fontId="20" fillId="0" borderId="47" xfId="175" applyFont="1" applyFill="1" applyBorder="1" applyAlignment="1">
      <alignment horizontal="center" vertical="center" wrapText="1"/>
    </xf>
    <xf numFmtId="177" fontId="20" fillId="0" borderId="47" xfId="112" applyNumberFormat="1" applyFont="1" applyBorder="1" applyAlignment="1">
      <alignment horizontal="center" vertical="center" wrapText="1"/>
    </xf>
    <xf numFmtId="177" fontId="20" fillId="0" borderId="48" xfId="112" applyNumberFormat="1" applyFont="1" applyBorder="1" applyAlignment="1">
      <alignment horizontal="center" vertical="center" wrapText="1"/>
    </xf>
    <xf numFmtId="177" fontId="15" fillId="0" borderId="48" xfId="112" applyNumberFormat="1" applyFont="1" applyBorder="1" applyAlignment="1">
      <alignment horizontal="center" vertical="center" wrapText="1"/>
    </xf>
    <xf numFmtId="177" fontId="15" fillId="0" borderId="49" xfId="112" applyNumberFormat="1" applyFont="1" applyBorder="1" applyAlignment="1">
      <alignment horizontal="center" vertical="center" wrapText="1"/>
    </xf>
    <xf numFmtId="174" fontId="10" fillId="0" borderId="34" xfId="112" applyNumberFormat="1" applyFont="1" applyBorder="1" applyAlignment="1">
      <alignment horizontal="center" vertical="center" wrapText="1"/>
    </xf>
    <xf numFmtId="174" fontId="10" fillId="0" borderId="38" xfId="112" applyNumberFormat="1" applyFont="1" applyBorder="1" applyAlignment="1">
      <alignment horizontal="center" vertical="center" wrapText="1"/>
    </xf>
    <xf numFmtId="174" fontId="9" fillId="0" borderId="1" xfId="112" applyNumberFormat="1" applyFont="1" applyBorder="1" applyAlignment="1">
      <alignment horizontal="center" vertical="center" wrapText="1"/>
    </xf>
    <xf numFmtId="174" fontId="9" fillId="0" borderId="1" xfId="112" applyNumberFormat="1" applyFont="1" applyFill="1" applyBorder="1" applyAlignment="1">
      <alignment horizontal="center"/>
    </xf>
    <xf numFmtId="174" fontId="60" fillId="0" borderId="39" xfId="67" applyNumberFormat="1" applyFont="1" applyFill="1" applyBorder="1" applyAlignment="1">
      <alignment horizontal="center" vertical="center" wrapText="1"/>
    </xf>
    <xf numFmtId="173" fontId="42" fillId="0" borderId="0" xfId="175" applyNumberFormat="1"/>
    <xf numFmtId="174" fontId="9" fillId="0" borderId="7" xfId="112" applyNumberFormat="1" applyFont="1" applyFill="1" applyBorder="1" applyAlignment="1">
      <alignment horizontal="center"/>
    </xf>
    <xf numFmtId="174" fontId="9" fillId="0" borderId="7" xfId="112" applyNumberFormat="1" applyFont="1" applyBorder="1" applyAlignment="1">
      <alignment horizontal="center" vertical="center" wrapText="1"/>
    </xf>
    <xf numFmtId="174" fontId="60" fillId="0" borderId="7" xfId="67" applyNumberFormat="1" applyFont="1" applyFill="1" applyBorder="1" applyAlignment="1">
      <alignment horizontal="center" vertical="center" wrapText="1"/>
    </xf>
    <xf numFmtId="174" fontId="9" fillId="0" borderId="3" xfId="112" applyNumberFormat="1" applyFont="1" applyBorder="1" applyAlignment="1">
      <alignment horizontal="center" vertical="center" wrapText="1"/>
    </xf>
    <xf numFmtId="174" fontId="9" fillId="0" borderId="40" xfId="112" applyNumberFormat="1" applyFont="1" applyFill="1" applyBorder="1" applyAlignment="1">
      <alignment horizontal="center"/>
    </xf>
    <xf numFmtId="0" fontId="60" fillId="0" borderId="1" xfId="175" applyFont="1" applyFill="1" applyBorder="1" applyAlignment="1">
      <alignment horizontal="left" wrapText="1"/>
    </xf>
    <xf numFmtId="0" fontId="67" fillId="0" borderId="0" xfId="0" applyFont="1" applyAlignment="1">
      <alignment vertical="center"/>
    </xf>
    <xf numFmtId="0" fontId="68" fillId="0" borderId="0" xfId="0" applyFont="1" applyAlignment="1">
      <alignment vertical="center"/>
    </xf>
    <xf numFmtId="0" fontId="45" fillId="0" borderId="0" xfId="5" applyAlignment="1" applyProtection="1"/>
    <xf numFmtId="0" fontId="69" fillId="0" borderId="74" xfId="186" applyFont="1" applyAlignment="1">
      <alignment horizontal="left"/>
    </xf>
    <xf numFmtId="15" fontId="44" fillId="0" borderId="74" xfId="186" applyNumberFormat="1" applyFont="1"/>
    <xf numFmtId="0" fontId="70" fillId="0" borderId="0" xfId="0" applyFont="1"/>
    <xf numFmtId="0" fontId="23" fillId="0" borderId="0" xfId="0" applyFont="1" applyAlignment="1">
      <alignment vertical="justify" wrapText="1"/>
    </xf>
    <xf numFmtId="0" fontId="25" fillId="0" borderId="0" xfId="142" applyFont="1"/>
    <xf numFmtId="0" fontId="25" fillId="0" borderId="0" xfId="142" applyFont="1" applyBorder="1" applyAlignment="1">
      <alignment horizontal="center" vertical="center"/>
    </xf>
    <xf numFmtId="0" fontId="24" fillId="0" borderId="0" xfId="142" applyFont="1" applyAlignment="1">
      <alignment horizontal="center" vertical="justify" wrapText="1"/>
    </xf>
    <xf numFmtId="0" fontId="25" fillId="0" borderId="0" xfId="142" applyFont="1" applyBorder="1"/>
    <xf numFmtId="0" fontId="25" fillId="0" borderId="0" xfId="142" applyFont="1" applyAlignment="1">
      <alignment horizontal="center" vertical="center"/>
    </xf>
    <xf numFmtId="4" fontId="25" fillId="0" borderId="1" xfId="142" applyNumberFormat="1" applyFont="1" applyBorder="1" applyAlignment="1">
      <alignment horizontal="center" vertical="center"/>
    </xf>
    <xf numFmtId="191" fontId="25" fillId="0" borderId="0" xfId="142" applyNumberFormat="1" applyFont="1"/>
    <xf numFmtId="0" fontId="25" fillId="23" borderId="0" xfId="156" applyFont="1" applyFill="1" applyBorder="1"/>
    <xf numFmtId="173" fontId="25" fillId="0" borderId="1" xfId="7" applyNumberFormat="1" applyFont="1" applyBorder="1" applyAlignment="1">
      <alignment horizontal="center" vertical="center"/>
    </xf>
    <xf numFmtId="174" fontId="25" fillId="0" borderId="1" xfId="142" applyNumberFormat="1" applyFont="1" applyBorder="1"/>
    <xf numFmtId="174" fontId="24" fillId="16" borderId="1" xfId="15" applyNumberFormat="1" applyFont="1" applyFill="1" applyBorder="1" applyAlignment="1">
      <alignment vertical="center"/>
    </xf>
    <xf numFmtId="183" fontId="71" fillId="0" borderId="1" xfId="91" applyNumberFormat="1" applyFont="1" applyBorder="1"/>
    <xf numFmtId="174" fontId="25" fillId="0" borderId="1" xfId="142" applyNumberFormat="1" applyFont="1" applyFill="1" applyBorder="1" applyAlignment="1">
      <alignment horizontal="center" vertical="center" wrapText="1"/>
    </xf>
    <xf numFmtId="0" fontId="24" fillId="17" borderId="2" xfId="142" applyFont="1" applyFill="1" applyBorder="1" applyAlignment="1">
      <alignment horizontal="center" vertical="center" wrapText="1"/>
    </xf>
    <xf numFmtId="0" fontId="24" fillId="17" borderId="39" xfId="142" applyFont="1" applyFill="1" applyBorder="1" applyAlignment="1">
      <alignment horizontal="center" vertical="center" wrapText="1"/>
    </xf>
    <xf numFmtId="0" fontId="28" fillId="0" borderId="1" xfId="142" applyFont="1" applyFill="1" applyBorder="1" applyAlignment="1">
      <alignment horizontal="left" vertical="center" wrapText="1"/>
    </xf>
    <xf numFmtId="174" fontId="24" fillId="16" borderId="3" xfId="0" applyNumberFormat="1" applyFont="1" applyFill="1" applyBorder="1" applyAlignment="1">
      <alignment vertical="center"/>
    </xf>
    <xf numFmtId="173" fontId="25" fillId="0" borderId="2" xfId="7" applyNumberFormat="1" applyFont="1" applyBorder="1" applyAlignment="1">
      <alignment horizontal="center" vertical="center"/>
    </xf>
    <xf numFmtId="174" fontId="25" fillId="0" borderId="2" xfId="142" applyNumberFormat="1" applyFont="1" applyBorder="1"/>
    <xf numFmtId="0" fontId="25" fillId="16" borderId="7" xfId="0" applyFont="1" applyFill="1" applyBorder="1" applyAlignment="1">
      <alignment vertical="center"/>
    </xf>
    <xf numFmtId="174" fontId="25" fillId="16" borderId="7" xfId="0" applyNumberFormat="1" applyFont="1" applyFill="1" applyBorder="1" applyAlignment="1">
      <alignment vertical="center"/>
    </xf>
    <xf numFmtId="174" fontId="24" fillId="16" borderId="7" xfId="0" applyNumberFormat="1" applyFont="1" applyFill="1" applyBorder="1" applyAlignment="1">
      <alignment vertical="center"/>
    </xf>
    <xf numFmtId="174" fontId="24" fillId="16" borderId="3" xfId="15" applyNumberFormat="1" applyFont="1" applyFill="1" applyBorder="1" applyAlignment="1">
      <alignment vertical="center" wrapText="1"/>
    </xf>
    <xf numFmtId="0" fontId="29" fillId="16" borderId="6" xfId="0" applyFont="1" applyFill="1" applyBorder="1" applyAlignment="1">
      <alignment horizontal="left" vertical="center" wrapText="1"/>
    </xf>
    <xf numFmtId="174" fontId="25" fillId="17" borderId="1" xfId="142" applyNumberFormat="1" applyFont="1" applyFill="1" applyBorder="1" applyAlignment="1">
      <alignment horizontal="center" vertical="center" wrapText="1"/>
    </xf>
    <xf numFmtId="0" fontId="72" fillId="0" borderId="0" xfId="0" applyFont="1" applyAlignment="1">
      <alignment horizontal="center"/>
    </xf>
    <xf numFmtId="0" fontId="73" fillId="0" borderId="0" xfId="0" applyFont="1"/>
    <xf numFmtId="0" fontId="74" fillId="0" borderId="0" xfId="0" applyFont="1" applyAlignment="1">
      <alignment horizontal="center"/>
    </xf>
    <xf numFmtId="0" fontId="72" fillId="0" borderId="0" xfId="0" applyFont="1"/>
    <xf numFmtId="0" fontId="74" fillId="8" borderId="6" xfId="0" applyFont="1" applyFill="1" applyBorder="1" applyAlignment="1">
      <alignment horizontal="center" vertical="center" wrapText="1"/>
    </xf>
    <xf numFmtId="0" fontId="74" fillId="8" borderId="1" xfId="0" applyFont="1" applyFill="1" applyBorder="1" applyAlignment="1">
      <alignment horizontal="center" vertical="center"/>
    </xf>
    <xf numFmtId="0" fontId="74" fillId="0" borderId="0" xfId="0" applyFont="1" applyFill="1" applyBorder="1" applyAlignment="1">
      <alignment horizontal="center" vertical="center"/>
    </xf>
    <xf numFmtId="0" fontId="75" fillId="0" borderId="0" xfId="0" applyFont="1" applyFill="1"/>
    <xf numFmtId="0" fontId="75" fillId="0" borderId="0" xfId="0" applyFont="1" applyFill="1" applyBorder="1"/>
    <xf numFmtId="0" fontId="74" fillId="0" borderId="21" xfId="0" applyFont="1" applyFill="1" applyBorder="1" applyAlignment="1">
      <alignment horizontal="left"/>
    </xf>
    <xf numFmtId="0" fontId="74" fillId="0" borderId="8" xfId="0" applyFont="1" applyFill="1" applyBorder="1" applyAlignment="1">
      <alignment horizontal="left"/>
    </xf>
    <xf numFmtId="0" fontId="74" fillId="0" borderId="20" xfId="0" applyFont="1" applyFill="1" applyBorder="1" applyAlignment="1">
      <alignment horizontal="center"/>
    </xf>
    <xf numFmtId="0" fontId="74" fillId="0" borderId="0" xfId="0" applyFont="1" applyFill="1" applyBorder="1" applyAlignment="1">
      <alignment horizontal="center"/>
    </xf>
    <xf numFmtId="0" fontId="72" fillId="0" borderId="6" xfId="0" applyFont="1" applyFill="1" applyBorder="1"/>
    <xf numFmtId="0" fontId="72" fillId="9" borderId="1" xfId="0" applyFont="1" applyFill="1" applyBorder="1" applyAlignment="1">
      <alignment vertical="center"/>
    </xf>
    <xf numFmtId="4" fontId="72" fillId="5" borderId="1" xfId="0" applyNumberFormat="1" applyFont="1" applyFill="1" applyBorder="1" applyAlignment="1">
      <alignment horizontal="right" vertical="center"/>
    </xf>
    <xf numFmtId="0" fontId="72" fillId="0" borderId="1" xfId="0" applyFont="1" applyFill="1" applyBorder="1" applyAlignment="1">
      <alignment horizontal="left" vertical="center"/>
    </xf>
    <xf numFmtId="0" fontId="72" fillId="0" borderId="1" xfId="0" applyFont="1" applyFill="1" applyBorder="1" applyAlignment="1">
      <alignment horizontal="right" vertical="center"/>
    </xf>
    <xf numFmtId="185" fontId="76" fillId="0" borderId="1" xfId="0" applyNumberFormat="1" applyFont="1" applyFill="1" applyBorder="1" applyAlignment="1">
      <alignment horizontal="center" vertical="center"/>
    </xf>
    <xf numFmtId="0" fontId="72" fillId="0" borderId="50" xfId="0" applyFont="1" applyFill="1" applyBorder="1" applyAlignment="1">
      <alignment horizontal="right"/>
    </xf>
    <xf numFmtId="0" fontId="72" fillId="0" borderId="0" xfId="0" applyFont="1" applyFill="1" applyBorder="1" applyAlignment="1">
      <alignment horizontal="left"/>
    </xf>
    <xf numFmtId="180" fontId="74" fillId="0" borderId="0" xfId="0" applyNumberFormat="1" applyFont="1" applyFill="1" applyBorder="1" applyAlignment="1">
      <alignment horizontal="center"/>
    </xf>
    <xf numFmtId="0" fontId="75" fillId="0" borderId="0" xfId="0" applyFont="1" applyFill="1" applyBorder="1" applyAlignment="1">
      <alignment horizontal="center"/>
    </xf>
    <xf numFmtId="0" fontId="72" fillId="0" borderId="21" xfId="0" applyFont="1" applyFill="1" applyBorder="1"/>
    <xf numFmtId="180" fontId="72" fillId="0" borderId="1" xfId="0" applyNumberFormat="1" applyFont="1" applyFill="1" applyBorder="1" applyAlignment="1">
      <alignment horizontal="center" vertical="center"/>
    </xf>
    <xf numFmtId="0" fontId="72" fillId="0" borderId="50" xfId="0" applyFont="1" applyFill="1" applyBorder="1" applyAlignment="1">
      <alignment horizontal="center"/>
    </xf>
    <xf numFmtId="0" fontId="72" fillId="0" borderId="0" xfId="0" applyFont="1" applyFill="1" applyBorder="1"/>
    <xf numFmtId="0" fontId="72" fillId="0" borderId="51" xfId="0" applyFont="1" applyFill="1" applyBorder="1"/>
    <xf numFmtId="0" fontId="77" fillId="9" borderId="1" xfId="0" applyFont="1" applyFill="1" applyBorder="1" applyAlignment="1">
      <alignment vertical="center"/>
    </xf>
    <xf numFmtId="0" fontId="72" fillId="0" borderId="40" xfId="0" applyFont="1" applyFill="1" applyBorder="1"/>
    <xf numFmtId="0" fontId="72" fillId="0" borderId="39" xfId="0" applyFont="1" applyFill="1" applyBorder="1" applyAlignment="1">
      <alignment vertical="center"/>
    </xf>
    <xf numFmtId="185" fontId="72" fillId="0" borderId="16" xfId="0" applyNumberFormat="1" applyFont="1" applyFill="1" applyBorder="1" applyAlignment="1">
      <alignment horizontal="right" vertical="center"/>
    </xf>
    <xf numFmtId="0" fontId="72" fillId="0" borderId="16" xfId="0" applyFont="1" applyFill="1" applyBorder="1" applyAlignment="1">
      <alignment horizontal="left" vertical="center"/>
    </xf>
    <xf numFmtId="0" fontId="72" fillId="0" borderId="40" xfId="0" applyFont="1" applyFill="1" applyBorder="1" applyAlignment="1">
      <alignment horizontal="right" vertical="center"/>
    </xf>
    <xf numFmtId="180" fontId="76" fillId="0" borderId="39" xfId="0" applyNumberFormat="1" applyFont="1" applyFill="1" applyBorder="1" applyAlignment="1">
      <alignment horizontal="center" vertical="center"/>
    </xf>
    <xf numFmtId="0" fontId="74" fillId="0" borderId="3" xfId="0" applyFont="1" applyFill="1" applyBorder="1" applyAlignment="1">
      <alignment horizontal="center"/>
    </xf>
    <xf numFmtId="0" fontId="72" fillId="0" borderId="0" xfId="0" applyFont="1" applyFill="1" applyBorder="1" applyAlignment="1">
      <alignment vertical="center"/>
    </xf>
    <xf numFmtId="185" fontId="72" fillId="0" borderId="0" xfId="0" applyNumberFormat="1" applyFont="1" applyFill="1" applyBorder="1" applyAlignment="1">
      <alignment horizontal="right" vertical="center"/>
    </xf>
    <xf numFmtId="0" fontId="72" fillId="0" borderId="0" xfId="0" applyFont="1" applyFill="1" applyBorder="1" applyAlignment="1">
      <alignment horizontal="left" vertical="center"/>
    </xf>
    <xf numFmtId="185" fontId="72" fillId="0" borderId="0" xfId="0" applyNumberFormat="1" applyFont="1" applyFill="1" applyBorder="1" applyAlignment="1">
      <alignment horizontal="left" vertical="center"/>
    </xf>
    <xf numFmtId="0" fontId="72" fillId="0" borderId="2" xfId="0" applyFont="1" applyFill="1" applyBorder="1"/>
    <xf numFmtId="2" fontId="72" fillId="0" borderId="1" xfId="0" applyNumberFormat="1" applyFont="1" applyFill="1" applyBorder="1" applyAlignment="1">
      <alignment horizontal="right" vertical="center"/>
    </xf>
    <xf numFmtId="185" fontId="72" fillId="0" borderId="1" xfId="0" applyNumberFormat="1" applyFont="1" applyFill="1" applyBorder="1" applyAlignment="1">
      <alignment horizontal="center" vertical="center"/>
    </xf>
    <xf numFmtId="185" fontId="72" fillId="0" borderId="50" xfId="0" applyNumberFormat="1" applyFont="1" applyFill="1" applyBorder="1" applyAlignment="1">
      <alignment horizontal="right"/>
    </xf>
    <xf numFmtId="0" fontId="74" fillId="0" borderId="46" xfId="0" applyFont="1" applyFill="1" applyBorder="1"/>
    <xf numFmtId="180" fontId="72" fillId="0" borderId="0" xfId="0" applyNumberFormat="1" applyFont="1" applyFill="1" applyBorder="1" applyAlignment="1">
      <alignment horizontal="center"/>
    </xf>
    <xf numFmtId="0" fontId="72" fillId="0" borderId="46" xfId="0" applyFont="1" applyFill="1" applyBorder="1"/>
    <xf numFmtId="0" fontId="72" fillId="0" borderId="39" xfId="0" applyFont="1" applyFill="1" applyBorder="1"/>
    <xf numFmtId="185" fontId="72" fillId="0" borderId="16" xfId="0" applyNumberFormat="1" applyFont="1" applyFill="1" applyBorder="1" applyAlignment="1">
      <alignment horizontal="center" vertical="center"/>
    </xf>
    <xf numFmtId="0" fontId="72" fillId="0" borderId="52" xfId="0" applyFont="1" applyFill="1" applyBorder="1" applyAlignment="1">
      <alignment horizontal="center" vertical="center"/>
    </xf>
    <xf numFmtId="0" fontId="72" fillId="0" borderId="40" xfId="0" applyFont="1" applyFill="1" applyBorder="1" applyAlignment="1">
      <alignment horizontal="center" vertical="center"/>
    </xf>
    <xf numFmtId="0" fontId="72" fillId="0" borderId="16" xfId="0" applyFont="1" applyFill="1" applyBorder="1" applyAlignment="1">
      <alignment horizontal="center" vertical="center"/>
    </xf>
    <xf numFmtId="185" fontId="76" fillId="0" borderId="39" xfId="0" applyNumberFormat="1" applyFont="1" applyFill="1" applyBorder="1" applyAlignment="1">
      <alignment horizontal="center" vertical="center"/>
    </xf>
    <xf numFmtId="0" fontId="72" fillId="0" borderId="0" xfId="0" applyFont="1" applyFill="1" applyBorder="1" applyAlignment="1">
      <alignment horizontal="center"/>
    </xf>
    <xf numFmtId="0" fontId="72" fillId="0" borderId="0" xfId="0" applyFont="1" applyFill="1" applyBorder="1" applyAlignment="1">
      <alignment horizontal="center" vertical="center"/>
    </xf>
    <xf numFmtId="185" fontId="74" fillId="0" borderId="0" xfId="0" applyNumberFormat="1" applyFont="1" applyFill="1" applyBorder="1" applyAlignment="1">
      <alignment horizontal="center" vertical="center"/>
    </xf>
    <xf numFmtId="0" fontId="72" fillId="0" borderId="0" xfId="0" applyFont="1" applyFill="1" applyBorder="1" applyAlignment="1">
      <alignment horizontal="right"/>
    </xf>
    <xf numFmtId="0" fontId="74" fillId="0" borderId="1" xfId="0" applyFont="1" applyFill="1" applyBorder="1"/>
    <xf numFmtId="4" fontId="72" fillId="5" borderId="3" xfId="0" applyNumberFormat="1" applyFont="1" applyFill="1" applyBorder="1" applyAlignment="1">
      <alignment horizontal="right" vertical="center"/>
    </xf>
    <xf numFmtId="185" fontId="77" fillId="0" borderId="1" xfId="0" applyNumberFormat="1" applyFont="1" applyFill="1" applyBorder="1" applyAlignment="1">
      <alignment horizontal="center" vertical="center"/>
    </xf>
    <xf numFmtId="0" fontId="72" fillId="0" borderId="1" xfId="0" applyFont="1" applyFill="1" applyBorder="1" applyAlignment="1">
      <alignment horizontal="right"/>
    </xf>
    <xf numFmtId="0" fontId="75" fillId="0" borderId="0" xfId="0" applyFont="1" applyFill="1" applyBorder="1" applyAlignment="1">
      <alignment vertical="center"/>
    </xf>
    <xf numFmtId="185" fontId="75" fillId="0" borderId="0" xfId="0" applyNumberFormat="1" applyFont="1" applyFill="1" applyBorder="1" applyAlignment="1">
      <alignment horizontal="right" vertical="center"/>
    </xf>
    <xf numFmtId="0" fontId="75" fillId="0" borderId="0" xfId="0" applyFont="1" applyFill="1" applyBorder="1" applyAlignment="1">
      <alignment horizontal="left" vertical="center"/>
    </xf>
    <xf numFmtId="0" fontId="78" fillId="0" borderId="0" xfId="0" applyFont="1" applyFill="1" applyBorder="1" applyAlignment="1">
      <alignment horizontal="center"/>
    </xf>
    <xf numFmtId="0" fontId="75" fillId="0" borderId="0" xfId="0" applyFont="1" applyFill="1" applyBorder="1" applyAlignment="1">
      <alignment horizontal="left"/>
    </xf>
    <xf numFmtId="180" fontId="76" fillId="0" borderId="0" xfId="0" applyNumberFormat="1" applyFont="1" applyFill="1" applyBorder="1" applyAlignment="1">
      <alignment horizontal="center"/>
    </xf>
    <xf numFmtId="0" fontId="74" fillId="0" borderId="2" xfId="0" applyFont="1" applyFill="1" applyBorder="1"/>
    <xf numFmtId="0" fontId="72" fillId="0" borderId="20" xfId="0" applyFont="1" applyFill="1" applyBorder="1" applyAlignment="1">
      <alignment horizontal="right"/>
    </xf>
    <xf numFmtId="180" fontId="75" fillId="0" borderId="0" xfId="0" applyNumberFormat="1" applyFont="1" applyFill="1" applyBorder="1" applyAlignment="1">
      <alignment horizontal="center"/>
    </xf>
    <xf numFmtId="0" fontId="72" fillId="0" borderId="1" xfId="0" applyFont="1" applyFill="1" applyBorder="1" applyAlignment="1">
      <alignment vertical="center"/>
    </xf>
    <xf numFmtId="180" fontId="72" fillId="0" borderId="0" xfId="0" applyNumberFormat="1" applyFont="1" applyFill="1" applyBorder="1" applyAlignment="1">
      <alignment horizontal="left"/>
    </xf>
    <xf numFmtId="185" fontId="76" fillId="0" borderId="1" xfId="0" applyNumberFormat="1" applyFont="1" applyFill="1" applyBorder="1" applyAlignment="1">
      <alignment horizontal="center" vertical="center" wrapText="1"/>
    </xf>
    <xf numFmtId="0" fontId="72" fillId="0" borderId="52" xfId="0" applyFont="1" applyFill="1" applyBorder="1" applyAlignment="1">
      <alignment horizontal="right"/>
    </xf>
    <xf numFmtId="185" fontId="72" fillId="10" borderId="0" xfId="0" applyNumberFormat="1" applyFont="1" applyFill="1" applyBorder="1" applyAlignment="1">
      <alignment horizontal="right" vertical="center"/>
    </xf>
    <xf numFmtId="0" fontId="72" fillId="0" borderId="0" xfId="0" applyFont="1" applyFill="1" applyBorder="1" applyAlignment="1">
      <alignment horizontal="right" vertical="center"/>
    </xf>
    <xf numFmtId="185" fontId="79" fillId="0" borderId="39" xfId="0" applyNumberFormat="1" applyFont="1" applyFill="1" applyBorder="1" applyAlignment="1">
      <alignment horizontal="center" vertical="center"/>
    </xf>
    <xf numFmtId="0" fontId="73" fillId="0" borderId="0" xfId="0" applyFont="1" applyBorder="1" applyAlignment="1">
      <alignment horizontal="center" vertical="center" wrapText="1"/>
    </xf>
    <xf numFmtId="185" fontId="75" fillId="0" borderId="0" xfId="0" applyNumberFormat="1" applyFont="1" applyFill="1" applyBorder="1" applyAlignment="1">
      <alignment vertical="center"/>
    </xf>
    <xf numFmtId="0" fontId="75" fillId="0" borderId="0" xfId="0" applyFont="1" applyFill="1" applyBorder="1" applyAlignment="1">
      <alignment horizontal="right"/>
    </xf>
    <xf numFmtId="0" fontId="74" fillId="0" borderId="21" xfId="0" applyFont="1" applyFill="1" applyBorder="1"/>
    <xf numFmtId="2" fontId="72" fillId="0" borderId="2" xfId="0" applyNumberFormat="1" applyFont="1" applyFill="1" applyBorder="1" applyAlignment="1">
      <alignment horizontal="right"/>
    </xf>
    <xf numFmtId="0" fontId="74" fillId="0" borderId="51" xfId="0" applyFont="1" applyFill="1" applyBorder="1"/>
    <xf numFmtId="2" fontId="72" fillId="0" borderId="46" xfId="0" applyNumberFormat="1" applyFont="1" applyFill="1" applyBorder="1" applyAlignment="1">
      <alignment horizontal="right"/>
    </xf>
    <xf numFmtId="185" fontId="76" fillId="0" borderId="1" xfId="0" applyNumberFormat="1" applyFont="1" applyFill="1" applyBorder="1" applyAlignment="1">
      <alignment horizontal="center"/>
    </xf>
    <xf numFmtId="0" fontId="72" fillId="0" borderId="46" xfId="0" applyFont="1" applyFill="1" applyBorder="1" applyAlignment="1">
      <alignment vertical="center"/>
    </xf>
    <xf numFmtId="185" fontId="72" fillId="10" borderId="51" xfId="0" applyNumberFormat="1" applyFont="1" applyFill="1" applyBorder="1" applyAlignment="1">
      <alignment horizontal="right" vertical="center"/>
    </xf>
    <xf numFmtId="0" fontId="72" fillId="0" borderId="50" xfId="0" applyFont="1" applyFill="1" applyBorder="1" applyAlignment="1">
      <alignment horizontal="left" vertical="center"/>
    </xf>
    <xf numFmtId="0" fontId="72" fillId="0" borderId="51" xfId="0" applyFont="1" applyFill="1" applyBorder="1" applyAlignment="1">
      <alignment horizontal="right" vertical="center"/>
    </xf>
    <xf numFmtId="185" fontId="79" fillId="0" borderId="40" xfId="0" applyNumberFormat="1" applyFont="1" applyFill="1" applyBorder="1" applyAlignment="1">
      <alignment horizontal="center" vertical="center"/>
    </xf>
    <xf numFmtId="0" fontId="74" fillId="0" borderId="1" xfId="0" applyFont="1" applyFill="1" applyBorder="1" applyAlignment="1">
      <alignment horizontal="center"/>
    </xf>
    <xf numFmtId="0" fontId="73" fillId="0" borderId="40" xfId="0" applyFont="1" applyBorder="1"/>
    <xf numFmtId="185" fontId="72" fillId="0" borderId="6" xfId="0" applyNumberFormat="1" applyFont="1" applyFill="1" applyBorder="1" applyAlignment="1">
      <alignment horizontal="center" vertical="center"/>
    </xf>
    <xf numFmtId="0" fontId="72" fillId="0" borderId="39" xfId="0" applyFont="1" applyFill="1" applyBorder="1" applyAlignment="1">
      <alignment horizontal="right"/>
    </xf>
    <xf numFmtId="0" fontId="73" fillId="0" borderId="0" xfId="0" applyFont="1" applyBorder="1"/>
    <xf numFmtId="0" fontId="72" fillId="0" borderId="0" xfId="0" applyFont="1" applyFill="1"/>
    <xf numFmtId="0" fontId="74" fillId="0" borderId="0" xfId="0" applyFont="1" applyAlignment="1">
      <alignment horizontal="center" vertical="center"/>
    </xf>
    <xf numFmtId="0" fontId="72" fillId="0" borderId="0" xfId="0" applyFont="1" applyBorder="1"/>
    <xf numFmtId="180" fontId="72" fillId="0" borderId="0" xfId="0" applyNumberFormat="1" applyFont="1" applyBorder="1" applyAlignment="1">
      <alignment horizontal="center"/>
    </xf>
    <xf numFmtId="0" fontId="75" fillId="0" borderId="0" xfId="0" applyFont="1" applyFill="1" applyBorder="1" applyAlignment="1">
      <alignment horizontal="right" vertical="center"/>
    </xf>
    <xf numFmtId="0" fontId="74" fillId="0" borderId="6" xfId="0" applyFont="1" applyFill="1" applyBorder="1"/>
    <xf numFmtId="0" fontId="72" fillId="0" borderId="3" xfId="0" applyFont="1" applyFill="1" applyBorder="1" applyAlignment="1">
      <alignment horizontal="left" vertical="center"/>
    </xf>
    <xf numFmtId="0" fontId="72" fillId="0" borderId="6" xfId="0" applyFont="1" applyFill="1" applyBorder="1" applyAlignment="1">
      <alignment horizontal="right" vertical="center"/>
    </xf>
    <xf numFmtId="0" fontId="72" fillId="0" borderId="7" xfId="0" applyFont="1" applyFill="1" applyBorder="1" applyAlignment="1">
      <alignment horizontal="left" vertical="center"/>
    </xf>
    <xf numFmtId="0" fontId="75" fillId="0" borderId="0" xfId="0" applyFont="1" applyFill="1" applyBorder="1" applyAlignment="1">
      <alignment horizontal="center" vertical="center"/>
    </xf>
    <xf numFmtId="0" fontId="74" fillId="8" borderId="1" xfId="0" applyFont="1" applyFill="1" applyBorder="1" applyAlignment="1">
      <alignment horizontal="center" vertical="center" wrapText="1"/>
    </xf>
    <xf numFmtId="0" fontId="76" fillId="0" borderId="0" xfId="0" applyFont="1" applyFill="1" applyBorder="1"/>
    <xf numFmtId="185" fontId="76" fillId="0" borderId="0" xfId="0" applyNumberFormat="1" applyFont="1" applyFill="1" applyBorder="1" applyAlignment="1">
      <alignment horizontal="center" vertical="center"/>
    </xf>
    <xf numFmtId="0" fontId="74" fillId="0" borderId="6" xfId="0" applyFont="1" applyFill="1" applyBorder="1" applyAlignment="1">
      <alignment horizontal="left"/>
    </xf>
    <xf numFmtId="0" fontId="74" fillId="0" borderId="7" xfId="0" applyFont="1" applyFill="1" applyBorder="1" applyAlignment="1">
      <alignment horizontal="center" vertical="center"/>
    </xf>
    <xf numFmtId="0" fontId="72" fillId="10" borderId="40" xfId="0" applyFont="1" applyFill="1" applyBorder="1" applyAlignment="1">
      <alignment horizontal="right" vertical="center"/>
    </xf>
    <xf numFmtId="0" fontId="72" fillId="0" borderId="16" xfId="0" applyFont="1" applyFill="1" applyBorder="1" applyAlignment="1">
      <alignment vertical="center"/>
    </xf>
    <xf numFmtId="0" fontId="72" fillId="0" borderId="40" xfId="0" applyFont="1" applyFill="1" applyBorder="1" applyAlignment="1">
      <alignment vertical="center"/>
    </xf>
    <xf numFmtId="180" fontId="74" fillId="0" borderId="0" xfId="0" applyNumberFormat="1" applyFont="1" applyFill="1" applyBorder="1" applyAlignment="1">
      <alignment horizontal="center" vertical="center"/>
    </xf>
    <xf numFmtId="0" fontId="74" fillId="0" borderId="50" xfId="0" applyFont="1" applyFill="1" applyBorder="1" applyAlignment="1">
      <alignment horizontal="center"/>
    </xf>
    <xf numFmtId="0" fontId="72" fillId="0" borderId="7" xfId="0" applyFont="1" applyFill="1" applyBorder="1" applyAlignment="1">
      <alignment horizontal="right" vertical="center"/>
    </xf>
    <xf numFmtId="180" fontId="76" fillId="0" borderId="1" xfId="0" applyNumberFormat="1" applyFont="1" applyFill="1" applyBorder="1" applyAlignment="1">
      <alignment horizontal="center" vertical="center"/>
    </xf>
    <xf numFmtId="0" fontId="75" fillId="0" borderId="20" xfId="0" applyFont="1" applyFill="1" applyBorder="1" applyAlignment="1">
      <alignment horizontal="right"/>
    </xf>
    <xf numFmtId="0" fontId="75" fillId="0" borderId="50" xfId="0" applyFont="1" applyFill="1" applyBorder="1" applyAlignment="1">
      <alignment horizontal="right"/>
    </xf>
    <xf numFmtId="0" fontId="76" fillId="0" borderId="51" xfId="0" applyFont="1" applyFill="1" applyBorder="1"/>
    <xf numFmtId="0" fontId="80" fillId="9" borderId="1" xfId="0" applyFont="1" applyFill="1" applyBorder="1" applyAlignment="1">
      <alignment vertical="center"/>
    </xf>
    <xf numFmtId="0" fontId="76" fillId="0" borderId="40" xfId="0" applyFont="1" applyFill="1" applyBorder="1"/>
    <xf numFmtId="0" fontId="75" fillId="0" borderId="39" xfId="0" applyFont="1" applyFill="1" applyBorder="1" applyAlignment="1">
      <alignment vertical="center"/>
    </xf>
    <xf numFmtId="185" fontId="75" fillId="10" borderId="40" xfId="0" applyNumberFormat="1" applyFont="1" applyFill="1" applyBorder="1" applyAlignment="1">
      <alignment horizontal="right" vertical="center"/>
    </xf>
    <xf numFmtId="0" fontId="75" fillId="0" borderId="52" xfId="0" applyFont="1" applyFill="1" applyBorder="1" applyAlignment="1">
      <alignment vertical="center"/>
    </xf>
    <xf numFmtId="0" fontId="75" fillId="0" borderId="40" xfId="0" applyFont="1" applyFill="1" applyBorder="1" applyAlignment="1">
      <alignment vertical="center"/>
    </xf>
    <xf numFmtId="0" fontId="75" fillId="0" borderId="16" xfId="0" applyFont="1" applyFill="1" applyBorder="1" applyAlignment="1">
      <alignment vertical="center"/>
    </xf>
    <xf numFmtId="0" fontId="76" fillId="0" borderId="0" xfId="0" applyFont="1" applyFill="1" applyBorder="1" applyAlignment="1">
      <alignment horizontal="center" vertical="center" wrapText="1"/>
    </xf>
    <xf numFmtId="0" fontId="72" fillId="0" borderId="8" xfId="0" applyFont="1" applyFill="1" applyBorder="1" applyAlignment="1">
      <alignment vertical="center"/>
    </xf>
    <xf numFmtId="0" fontId="72" fillId="0" borderId="8" xfId="0" applyFont="1" applyFill="1" applyBorder="1" applyAlignment="1">
      <alignment horizontal="right" vertical="center"/>
    </xf>
    <xf numFmtId="185" fontId="72" fillId="0" borderId="8" xfId="0" applyNumberFormat="1" applyFont="1" applyFill="1" applyBorder="1" applyAlignment="1">
      <alignment vertical="center"/>
    </xf>
    <xf numFmtId="185" fontId="74" fillId="0" borderId="39" xfId="0" applyNumberFormat="1" applyFont="1" applyFill="1" applyBorder="1" applyAlignment="1">
      <alignment horizontal="center" vertical="center"/>
    </xf>
    <xf numFmtId="0" fontId="72" fillId="0" borderId="50" xfId="0" applyFont="1" applyFill="1" applyBorder="1"/>
    <xf numFmtId="185" fontId="76" fillId="0" borderId="3" xfId="0" applyNumberFormat="1" applyFont="1" applyFill="1" applyBorder="1" applyAlignment="1">
      <alignment horizontal="center" vertical="center" wrapText="1"/>
    </xf>
    <xf numFmtId="185" fontId="72" fillId="10" borderId="40" xfId="0" applyNumberFormat="1" applyFont="1" applyFill="1" applyBorder="1" applyAlignment="1">
      <alignment horizontal="right" vertical="center"/>
    </xf>
    <xf numFmtId="0" fontId="72" fillId="0" borderId="52" xfId="0" applyFont="1" applyFill="1" applyBorder="1" applyAlignment="1">
      <alignment horizontal="left" vertical="center"/>
    </xf>
    <xf numFmtId="0" fontId="72" fillId="0" borderId="16" xfId="0" applyFont="1" applyFill="1" applyBorder="1" applyAlignment="1">
      <alignment horizontal="right" vertical="center"/>
    </xf>
    <xf numFmtId="180" fontId="74" fillId="0" borderId="39" xfId="0" applyNumberFormat="1" applyFont="1" applyFill="1" applyBorder="1" applyAlignment="1">
      <alignment horizontal="center" vertical="center"/>
    </xf>
    <xf numFmtId="0" fontId="72" fillId="0" borderId="7" xfId="0" applyFont="1" applyFill="1" applyBorder="1" applyAlignment="1">
      <alignment vertical="center"/>
    </xf>
    <xf numFmtId="0" fontId="76" fillId="0" borderId="0" xfId="0" applyFont="1" applyFill="1" applyBorder="1" applyAlignment="1">
      <alignment horizontal="center"/>
    </xf>
    <xf numFmtId="1" fontId="72" fillId="0" borderId="50" xfId="0" applyNumberFormat="1" applyFont="1" applyFill="1" applyBorder="1" applyAlignment="1">
      <alignment horizontal="right"/>
    </xf>
    <xf numFmtId="195" fontId="72" fillId="0" borderId="1" xfId="0" applyNumberFormat="1" applyFont="1" applyFill="1" applyBorder="1" applyAlignment="1">
      <alignment horizontal="right" vertical="center"/>
    </xf>
    <xf numFmtId="1" fontId="72" fillId="0" borderId="1" xfId="0" applyNumberFormat="1" applyFont="1" applyFill="1" applyBorder="1" applyAlignment="1">
      <alignment horizontal="right" vertical="center"/>
    </xf>
    <xf numFmtId="0" fontId="72" fillId="0" borderId="1" xfId="0" applyFont="1" applyFill="1" applyBorder="1" applyAlignment="1">
      <alignment horizontal="center" vertical="center"/>
    </xf>
    <xf numFmtId="0" fontId="72" fillId="10" borderId="1" xfId="0" applyFont="1" applyFill="1" applyBorder="1" applyAlignment="1">
      <alignment horizontal="center" vertical="center"/>
    </xf>
    <xf numFmtId="0" fontId="74" fillId="0" borderId="52" xfId="0" applyFont="1" applyFill="1" applyBorder="1" applyAlignment="1">
      <alignment horizontal="center"/>
    </xf>
    <xf numFmtId="185" fontId="74" fillId="0" borderId="0" xfId="0" applyNumberFormat="1" applyFont="1" applyFill="1" applyBorder="1" applyAlignment="1">
      <alignment horizontal="center"/>
    </xf>
    <xf numFmtId="0" fontId="72" fillId="0" borderId="20" xfId="0" applyFont="1" applyFill="1" applyBorder="1" applyAlignment="1">
      <alignment horizontal="center"/>
    </xf>
    <xf numFmtId="0" fontId="77" fillId="0" borderId="1" xfId="0" applyFont="1" applyFill="1" applyBorder="1" applyAlignment="1">
      <alignment vertical="center"/>
    </xf>
    <xf numFmtId="0" fontId="72" fillId="0" borderId="52" xfId="0" applyFont="1" applyFill="1" applyBorder="1" applyAlignment="1">
      <alignment vertical="center"/>
    </xf>
    <xf numFmtId="13" fontId="72" fillId="0" borderId="1" xfId="0" applyNumberFormat="1" applyFont="1" applyFill="1" applyBorder="1" applyAlignment="1">
      <alignment horizontal="right" vertical="center"/>
    </xf>
    <xf numFmtId="0" fontId="72" fillId="0" borderId="39" xfId="0" applyFont="1" applyFill="1" applyBorder="1" applyAlignment="1">
      <alignment horizontal="center" vertical="center"/>
    </xf>
    <xf numFmtId="0" fontId="72" fillId="10" borderId="40" xfId="0" applyFont="1" applyFill="1" applyBorder="1" applyAlignment="1">
      <alignment horizontal="center" vertical="center"/>
    </xf>
    <xf numFmtId="180" fontId="76" fillId="0" borderId="3" xfId="0" applyNumberFormat="1" applyFont="1" applyFill="1" applyBorder="1" applyAlignment="1">
      <alignment horizontal="center"/>
    </xf>
    <xf numFmtId="0" fontId="72" fillId="0" borderId="7" xfId="0" applyFont="1" applyFill="1" applyBorder="1" applyAlignment="1">
      <alignment horizontal="center" vertical="center"/>
    </xf>
    <xf numFmtId="0" fontId="72" fillId="0" borderId="20" xfId="0" applyFont="1" applyFill="1" applyBorder="1" applyAlignment="1"/>
    <xf numFmtId="0" fontId="72" fillId="0" borderId="50" xfId="0" applyFont="1" applyFill="1" applyBorder="1" applyAlignment="1"/>
    <xf numFmtId="1" fontId="72" fillId="10" borderId="40" xfId="0" applyNumberFormat="1" applyFont="1" applyFill="1" applyBorder="1" applyAlignment="1">
      <alignment horizontal="right" vertical="center"/>
    </xf>
    <xf numFmtId="0" fontId="74" fillId="0" borderId="40" xfId="0" applyFont="1" applyFill="1" applyBorder="1"/>
    <xf numFmtId="196" fontId="76" fillId="0" borderId="39" xfId="1" applyNumberFormat="1" applyFont="1" applyFill="1" applyBorder="1" applyAlignment="1">
      <alignment horizontal="center" vertical="center"/>
    </xf>
    <xf numFmtId="0" fontId="74" fillId="0" borderId="0" xfId="0" applyFont="1" applyFill="1" applyBorder="1"/>
    <xf numFmtId="196" fontId="76" fillId="0" borderId="0" xfId="1" applyNumberFormat="1" applyFont="1" applyFill="1" applyBorder="1" applyAlignment="1">
      <alignment horizontal="center" vertical="center"/>
    </xf>
    <xf numFmtId="0" fontId="72" fillId="0" borderId="3" xfId="0" applyFont="1" applyFill="1" applyBorder="1" applyAlignment="1">
      <alignment vertical="center"/>
    </xf>
    <xf numFmtId="0" fontId="75" fillId="0" borderId="1" xfId="0" applyFont="1" applyFill="1" applyBorder="1" applyAlignment="1">
      <alignment horizontal="right"/>
    </xf>
    <xf numFmtId="0" fontId="76" fillId="0" borderId="46" xfId="0" applyFont="1" applyFill="1" applyBorder="1"/>
    <xf numFmtId="0" fontId="33" fillId="9" borderId="1" xfId="0" applyFont="1" applyFill="1" applyBorder="1" applyAlignment="1">
      <alignment vertical="center"/>
    </xf>
    <xf numFmtId="0" fontId="76" fillId="0" borderId="39" xfId="0" applyFont="1" applyFill="1" applyBorder="1"/>
    <xf numFmtId="185" fontId="79" fillId="0" borderId="1" xfId="0" applyNumberFormat="1" applyFont="1" applyFill="1" applyBorder="1" applyAlignment="1">
      <alignment horizontal="center" vertical="center"/>
    </xf>
    <xf numFmtId="0" fontId="74" fillId="0" borderId="1" xfId="0" applyFont="1" applyFill="1" applyBorder="1" applyAlignment="1">
      <alignment horizontal="center" vertical="center"/>
    </xf>
    <xf numFmtId="0" fontId="75" fillId="0" borderId="1" xfId="0" applyFont="1" applyFill="1" applyBorder="1" applyAlignment="1">
      <alignment vertical="center"/>
    </xf>
    <xf numFmtId="0" fontId="76" fillId="0" borderId="51" xfId="0" applyFont="1" applyFill="1" applyBorder="1" applyAlignment="1">
      <alignment horizontal="center"/>
    </xf>
    <xf numFmtId="0" fontId="76"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74" fillId="0" borderId="0" xfId="0" applyFont="1" applyBorder="1" applyAlignment="1">
      <alignment horizontal="center" vertical="center" wrapText="1"/>
    </xf>
    <xf numFmtId="0" fontId="72" fillId="0" borderId="0" xfId="0" applyFont="1" applyBorder="1" applyAlignment="1">
      <alignment horizontal="center" vertical="center" wrapText="1"/>
    </xf>
    <xf numFmtId="0" fontId="74" fillId="0" borderId="8" xfId="0" applyFont="1" applyFill="1" applyBorder="1" applyAlignment="1">
      <alignment horizontal="left" vertical="center"/>
    </xf>
    <xf numFmtId="0" fontId="72" fillId="0" borderId="2" xfId="0" applyFont="1" applyFill="1" applyBorder="1" applyAlignment="1">
      <alignment vertical="center"/>
    </xf>
    <xf numFmtId="185" fontId="72" fillId="10" borderId="16" xfId="0" applyNumberFormat="1" applyFont="1" applyFill="1" applyBorder="1" applyAlignment="1">
      <alignment horizontal="right" vertical="center"/>
    </xf>
    <xf numFmtId="0" fontId="72" fillId="0" borderId="50" xfId="0" applyFont="1" applyFill="1" applyBorder="1" applyAlignment="1">
      <alignment vertical="center"/>
    </xf>
    <xf numFmtId="185" fontId="76" fillId="0" borderId="20" xfId="0" applyNumberFormat="1" applyFont="1" applyFill="1" applyBorder="1" applyAlignment="1">
      <alignment horizontal="center" vertical="center"/>
    </xf>
    <xf numFmtId="0" fontId="73" fillId="0" borderId="0" xfId="0" applyFont="1" applyFill="1"/>
    <xf numFmtId="0" fontId="75" fillId="0" borderId="7" xfId="0" applyFont="1" applyFill="1" applyBorder="1" applyAlignment="1">
      <alignment vertical="center"/>
    </xf>
    <xf numFmtId="0" fontId="75" fillId="0" borderId="20" xfId="0" applyFont="1" applyFill="1" applyBorder="1" applyAlignment="1">
      <alignment horizontal="center"/>
    </xf>
    <xf numFmtId="185" fontId="76" fillId="0" borderId="3" xfId="0" applyNumberFormat="1" applyFont="1" applyBorder="1" applyAlignment="1">
      <alignment horizontal="center" vertical="center"/>
    </xf>
    <xf numFmtId="185" fontId="76" fillId="0" borderId="51" xfId="0" applyNumberFormat="1" applyFont="1" applyBorder="1" applyAlignment="1">
      <alignment horizontal="center" vertical="center"/>
    </xf>
    <xf numFmtId="0" fontId="72" fillId="0" borderId="0" xfId="0" applyFont="1" applyFill="1" applyBorder="1" applyAlignment="1"/>
    <xf numFmtId="0" fontId="72" fillId="10" borderId="0" xfId="0" applyFont="1" applyFill="1" applyBorder="1" applyAlignment="1">
      <alignment horizontal="center" vertical="center"/>
    </xf>
    <xf numFmtId="180" fontId="76" fillId="0" borderId="0" xfId="0" applyNumberFormat="1" applyFont="1" applyFill="1" applyBorder="1" applyAlignment="1">
      <alignment horizontal="center" vertical="center"/>
    </xf>
    <xf numFmtId="185" fontId="72" fillId="0" borderId="40" xfId="0" applyNumberFormat="1" applyFont="1" applyFill="1" applyBorder="1" applyAlignment="1">
      <alignment horizontal="right" vertical="center"/>
    </xf>
    <xf numFmtId="0" fontId="73" fillId="0" borderId="0" xfId="0" applyFont="1" applyFill="1" applyAlignment="1">
      <alignment vertical="center"/>
    </xf>
    <xf numFmtId="185" fontId="72" fillId="10" borderId="8" xfId="0" applyNumberFormat="1" applyFont="1" applyFill="1" applyBorder="1" applyAlignment="1">
      <alignment horizontal="right" vertical="center"/>
    </xf>
    <xf numFmtId="0" fontId="72" fillId="0" borderId="8" xfId="0" applyFont="1" applyFill="1" applyBorder="1" applyAlignment="1">
      <alignment horizontal="left" vertical="center"/>
    </xf>
    <xf numFmtId="0" fontId="72" fillId="0" borderId="21" xfId="0" applyFont="1" applyFill="1" applyBorder="1" applyAlignment="1">
      <alignment horizontal="right" vertical="center"/>
    </xf>
    <xf numFmtId="185" fontId="72" fillId="0" borderId="20" xfId="0" applyNumberFormat="1" applyFont="1" applyFill="1" applyBorder="1" applyAlignment="1">
      <alignment horizontal="right"/>
    </xf>
    <xf numFmtId="0" fontId="72" fillId="0" borderId="40" xfId="0" applyFont="1" applyFill="1" applyBorder="1" applyAlignment="1">
      <alignment horizontal="left" vertical="center"/>
    </xf>
    <xf numFmtId="185" fontId="72" fillId="0" borderId="0" xfId="0" applyNumberFormat="1" applyFont="1" applyFill="1" applyBorder="1" applyAlignment="1">
      <alignment horizontal="right"/>
    </xf>
    <xf numFmtId="185" fontId="76" fillId="0" borderId="0" xfId="0" applyNumberFormat="1" applyFont="1" applyFill="1" applyBorder="1" applyAlignment="1">
      <alignment horizontal="center"/>
    </xf>
    <xf numFmtId="0" fontId="74" fillId="0" borderId="0" xfId="0" applyFont="1" applyFill="1"/>
    <xf numFmtId="0" fontId="9" fillId="0" borderId="0" xfId="0" applyFont="1" applyAlignment="1">
      <alignment horizontal="center"/>
    </xf>
    <xf numFmtId="0" fontId="9" fillId="0" borderId="0" xfId="0" applyFont="1"/>
    <xf numFmtId="0" fontId="0" fillId="0" borderId="0" xfId="0" applyFont="1"/>
    <xf numFmtId="0" fontId="9" fillId="0" borderId="1" xfId="0" applyFont="1" applyFill="1" applyBorder="1" applyAlignment="1">
      <alignment horizontal="center"/>
    </xf>
    <xf numFmtId="0" fontId="9" fillId="0" borderId="1" xfId="0" applyFont="1" applyFill="1" applyBorder="1" applyAlignment="1">
      <alignment horizontal="center" vertical="center" wrapText="1"/>
    </xf>
    <xf numFmtId="0" fontId="10" fillId="0" borderId="2" xfId="0" applyFont="1" applyFill="1" applyBorder="1"/>
    <xf numFmtId="185" fontId="9" fillId="0" borderId="1" xfId="0" applyNumberFormat="1" applyFont="1" applyFill="1" applyBorder="1" applyAlignment="1">
      <alignment horizontal="left"/>
    </xf>
    <xf numFmtId="183" fontId="9" fillId="0" borderId="1" xfId="91" applyNumberFormat="1" applyFont="1" applyFill="1" applyBorder="1" applyAlignment="1">
      <alignment horizontal="center"/>
    </xf>
    <xf numFmtId="0" fontId="9" fillId="0" borderId="46" xfId="0" applyFont="1" applyFill="1" applyBorder="1"/>
    <xf numFmtId="169" fontId="9" fillId="0" borderId="1" xfId="91" applyNumberFormat="1" applyFont="1" applyFill="1" applyBorder="1" applyAlignment="1">
      <alignment horizontal="center"/>
    </xf>
    <xf numFmtId="0" fontId="9" fillId="0" borderId="39" xfId="0" applyFont="1" applyFill="1" applyBorder="1"/>
    <xf numFmtId="0" fontId="10" fillId="0" borderId="6" xfId="0" applyFont="1" applyFill="1" applyBorder="1"/>
    <xf numFmtId="185" fontId="9" fillId="0" borderId="3" xfId="0" applyNumberFormat="1" applyFont="1" applyFill="1" applyBorder="1" applyAlignment="1">
      <alignment horizontal="left"/>
    </xf>
    <xf numFmtId="169" fontId="10" fillId="17" borderId="1" xfId="91" applyNumberFormat="1" applyFont="1" applyFill="1" applyBorder="1" applyAlignment="1">
      <alignment horizontal="center"/>
    </xf>
    <xf numFmtId="0" fontId="10" fillId="0" borderId="40" xfId="0" applyFont="1" applyFill="1" applyBorder="1"/>
    <xf numFmtId="185" fontId="9" fillId="0" borderId="39" xfId="0" applyNumberFormat="1" applyFont="1" applyFill="1" applyBorder="1" applyAlignment="1">
      <alignment horizontal="left"/>
    </xf>
    <xf numFmtId="169" fontId="9" fillId="17" borderId="39" xfId="91" applyNumberFormat="1" applyFont="1" applyFill="1" applyBorder="1" applyAlignment="1">
      <alignment horizontal="center"/>
    </xf>
    <xf numFmtId="169" fontId="9" fillId="17" borderId="1" xfId="91" applyNumberFormat="1" applyFont="1" applyFill="1" applyBorder="1" applyAlignment="1">
      <alignment horizontal="center"/>
    </xf>
    <xf numFmtId="169" fontId="9" fillId="17" borderId="46" xfId="91" applyNumberFormat="1" applyFont="1" applyFill="1" applyBorder="1" applyAlignment="1">
      <alignment horizontal="center"/>
    </xf>
    <xf numFmtId="0" fontId="10" fillId="0" borderId="6" xfId="0" applyFont="1" applyFill="1" applyBorder="1" applyAlignment="1">
      <alignment horizontal="left" vertical="center" wrapText="1"/>
    </xf>
    <xf numFmtId="169" fontId="10" fillId="11" borderId="1" xfId="91" applyNumberFormat="1" applyFont="1" applyFill="1" applyBorder="1" applyAlignment="1">
      <alignment horizontal="center" vertical="center"/>
    </xf>
    <xf numFmtId="0" fontId="10" fillId="0" borderId="0" xfId="0" applyFont="1" applyFill="1" applyBorder="1" applyAlignment="1">
      <alignment horizontal="left" vertical="center" wrapText="1"/>
    </xf>
    <xf numFmtId="185" fontId="10" fillId="0" borderId="0" xfId="0" applyNumberFormat="1" applyFont="1" applyFill="1" applyBorder="1" applyAlignment="1">
      <alignment horizontal="center" vertical="center"/>
    </xf>
    <xf numFmtId="0" fontId="9" fillId="0" borderId="2" xfId="0" applyFont="1" applyFill="1" applyBorder="1"/>
    <xf numFmtId="0" fontId="10" fillId="0" borderId="39" xfId="0" applyFont="1" applyFill="1" applyBorder="1"/>
    <xf numFmtId="169" fontId="10" fillId="12" borderId="1" xfId="91" applyNumberFormat="1" applyFont="1" applyFill="1" applyBorder="1" applyAlignment="1">
      <alignment horizontal="center" vertical="center"/>
    </xf>
    <xf numFmtId="0" fontId="34" fillId="0" borderId="0" xfId="0" applyFont="1" applyFill="1"/>
    <xf numFmtId="180" fontId="34" fillId="0" borderId="0" xfId="0" applyNumberFormat="1" applyFont="1" applyFill="1" applyAlignment="1">
      <alignment horizontal="center"/>
    </xf>
    <xf numFmtId="0" fontId="10" fillId="0" borderId="21" xfId="0" applyFont="1" applyFill="1" applyBorder="1"/>
    <xf numFmtId="169" fontId="34" fillId="0" borderId="1" xfId="91" applyNumberFormat="1" applyFont="1" applyFill="1" applyBorder="1" applyAlignment="1">
      <alignment horizontal="center"/>
    </xf>
    <xf numFmtId="0" fontId="9" fillId="0" borderId="0" xfId="0" applyFont="1" applyFill="1" applyBorder="1"/>
    <xf numFmtId="185" fontId="34" fillId="0" borderId="40" xfId="0" applyNumberFormat="1" applyFont="1" applyFill="1" applyBorder="1" applyAlignment="1">
      <alignment horizontal="left"/>
    </xf>
    <xf numFmtId="169" fontId="10" fillId="17" borderId="39" xfId="91" applyNumberFormat="1" applyFont="1" applyFill="1" applyBorder="1" applyAlignment="1">
      <alignment horizontal="center"/>
    </xf>
    <xf numFmtId="185" fontId="9" fillId="0" borderId="40" xfId="0" applyNumberFormat="1" applyFont="1" applyFill="1" applyBorder="1" applyAlignment="1">
      <alignment horizontal="left"/>
    </xf>
    <xf numFmtId="0" fontId="10" fillId="0" borderId="1" xfId="0" applyFont="1" applyFill="1" applyBorder="1"/>
    <xf numFmtId="169" fontId="10" fillId="0" borderId="1" xfId="91" applyNumberFormat="1" applyFont="1" applyFill="1" applyBorder="1" applyAlignment="1">
      <alignment horizontal="center"/>
    </xf>
    <xf numFmtId="169" fontId="35" fillId="0" borderId="1" xfId="91" applyNumberFormat="1" applyFont="1" applyFill="1" applyBorder="1" applyAlignment="1">
      <alignment horizontal="center"/>
    </xf>
    <xf numFmtId="185" fontId="9" fillId="0" borderId="2" xfId="0" applyNumberFormat="1" applyFont="1" applyFill="1" applyBorder="1" applyAlignment="1">
      <alignment horizontal="left"/>
    </xf>
    <xf numFmtId="0" fontId="9" fillId="0" borderId="6" xfId="0" applyFont="1" applyFill="1" applyBorder="1"/>
    <xf numFmtId="169" fontId="10" fillId="17" borderId="3" xfId="91" applyNumberFormat="1" applyFont="1" applyFill="1" applyBorder="1" applyAlignment="1">
      <alignment horizontal="center"/>
    </xf>
    <xf numFmtId="0" fontId="10" fillId="0" borderId="51" xfId="0" applyFont="1" applyFill="1" applyBorder="1"/>
    <xf numFmtId="0" fontId="9" fillId="0" borderId="40" xfId="0" applyFont="1" applyFill="1" applyBorder="1"/>
    <xf numFmtId="169" fontId="10" fillId="0" borderId="39" xfId="91" applyNumberFormat="1" applyFont="1" applyFill="1" applyBorder="1" applyAlignment="1">
      <alignment horizontal="center"/>
    </xf>
    <xf numFmtId="185" fontId="9" fillId="0" borderId="6" xfId="0" applyNumberFormat="1" applyFont="1" applyFill="1" applyBorder="1" applyAlignment="1">
      <alignment horizontal="left"/>
    </xf>
    <xf numFmtId="185" fontId="9" fillId="0" borderId="7" xfId="0" applyNumberFormat="1" applyFont="1" applyFill="1" applyBorder="1" applyAlignment="1">
      <alignment horizontal="left"/>
    </xf>
    <xf numFmtId="169" fontId="10" fillId="4" borderId="1" xfId="91" applyNumberFormat="1" applyFont="1" applyFill="1" applyBorder="1" applyAlignment="1">
      <alignment horizontal="center" vertical="center"/>
    </xf>
    <xf numFmtId="185" fontId="10" fillId="0" borderId="1" xfId="0" applyNumberFormat="1" applyFont="1" applyFill="1" applyBorder="1" applyAlignment="1">
      <alignment horizontal="left"/>
    </xf>
    <xf numFmtId="185" fontId="9" fillId="0" borderId="1" xfId="0" applyNumberFormat="1" applyFont="1" applyFill="1" applyBorder="1" applyAlignment="1">
      <alignment horizontal="center"/>
    </xf>
    <xf numFmtId="0" fontId="10" fillId="0" borderId="7" xfId="0" applyFont="1" applyFill="1" applyBorder="1" applyAlignment="1">
      <alignment horizontal="left" vertical="center" wrapText="1"/>
    </xf>
    <xf numFmtId="185" fontId="10" fillId="0" borderId="3" xfId="0" applyNumberFormat="1" applyFont="1" applyFill="1" applyBorder="1" applyAlignment="1">
      <alignment horizontal="center" vertical="center"/>
    </xf>
    <xf numFmtId="169" fontId="9" fillId="0" borderId="1" xfId="91" applyFont="1" applyFill="1" applyBorder="1" applyAlignment="1">
      <alignment horizontal="center"/>
    </xf>
    <xf numFmtId="185" fontId="9" fillId="0" borderId="21" xfId="0" applyNumberFormat="1" applyFont="1" applyFill="1" applyBorder="1" applyAlignment="1">
      <alignment horizontal="left"/>
    </xf>
    <xf numFmtId="185" fontId="10" fillId="0" borderId="7" xfId="0" applyNumberFormat="1" applyFont="1" applyFill="1" applyBorder="1" applyAlignment="1">
      <alignment horizontal="center"/>
    </xf>
    <xf numFmtId="169" fontId="10" fillId="17" borderId="39" xfId="91" applyFont="1" applyFill="1" applyBorder="1" applyAlignment="1">
      <alignment horizontal="center"/>
    </xf>
    <xf numFmtId="185" fontId="34" fillId="0" borderId="40" xfId="0" applyNumberFormat="1" applyFont="1" applyFill="1" applyBorder="1" applyAlignment="1">
      <alignment horizontal="center"/>
    </xf>
    <xf numFmtId="169" fontId="10" fillId="0" borderId="39" xfId="91" applyFont="1" applyFill="1" applyBorder="1" applyAlignment="1">
      <alignment horizontal="center"/>
    </xf>
    <xf numFmtId="185" fontId="9" fillId="0" borderId="0" xfId="0" applyNumberFormat="1" applyFont="1" applyFill="1" applyBorder="1" applyAlignment="1">
      <alignment horizontal="center"/>
    </xf>
    <xf numFmtId="169" fontId="10" fillId="17" borderId="1" xfId="91" applyFont="1" applyFill="1" applyBorder="1" applyAlignment="1">
      <alignment horizontal="center"/>
    </xf>
    <xf numFmtId="185" fontId="9" fillId="0" borderId="51" xfId="0" applyNumberFormat="1" applyFont="1" applyFill="1" applyBorder="1" applyAlignment="1">
      <alignment horizontal="center"/>
    </xf>
    <xf numFmtId="169" fontId="10" fillId="0" borderId="46" xfId="91" applyFont="1" applyFill="1" applyBorder="1" applyAlignment="1">
      <alignment horizontal="center"/>
    </xf>
    <xf numFmtId="169" fontId="10" fillId="17" borderId="2" xfId="91" applyFont="1" applyFill="1" applyBorder="1" applyAlignment="1">
      <alignment horizontal="center"/>
    </xf>
    <xf numFmtId="169" fontId="35" fillId="0" borderId="1" xfId="91" applyFont="1" applyFill="1" applyBorder="1" applyAlignment="1">
      <alignment horizontal="center"/>
    </xf>
    <xf numFmtId="169" fontId="10" fillId="17" borderId="46" xfId="91" applyFont="1" applyFill="1" applyBorder="1" applyAlignment="1">
      <alignment horizontal="center"/>
    </xf>
    <xf numFmtId="0" fontId="9" fillId="0" borderId="21" xfId="0" applyFont="1" applyFill="1" applyBorder="1"/>
    <xf numFmtId="185" fontId="9" fillId="0" borderId="7" xfId="0" applyNumberFormat="1" applyFont="1" applyFill="1" applyBorder="1" applyAlignment="1">
      <alignment horizontal="center"/>
    </xf>
    <xf numFmtId="185" fontId="10" fillId="0" borderId="40" xfId="0" applyNumberFormat="1" applyFont="1" applyFill="1" applyBorder="1" applyAlignment="1">
      <alignment horizontal="center"/>
    </xf>
    <xf numFmtId="185" fontId="10" fillId="0" borderId="6" xfId="0" applyNumberFormat="1" applyFont="1" applyFill="1" applyBorder="1" applyAlignment="1">
      <alignment horizontal="center"/>
    </xf>
    <xf numFmtId="169" fontId="10" fillId="4" borderId="1" xfId="91" applyFont="1" applyFill="1" applyBorder="1" applyAlignment="1">
      <alignment horizontal="center" vertical="center"/>
    </xf>
    <xf numFmtId="0" fontId="10" fillId="0" borderId="0" xfId="0" applyFont="1" applyFill="1" applyBorder="1" applyAlignment="1">
      <alignment horizontal="left" vertical="center"/>
    </xf>
    <xf numFmtId="0" fontId="9" fillId="0" borderId="0" xfId="0" applyFont="1" applyBorder="1"/>
    <xf numFmtId="0" fontId="9" fillId="0" borderId="2" xfId="0" applyFont="1" applyBorder="1" applyAlignment="1">
      <alignment horizontal="left"/>
    </xf>
    <xf numFmtId="169" fontId="10" fillId="17" borderId="52" xfId="91" applyFont="1" applyFill="1" applyBorder="1" applyAlignment="1">
      <alignment horizontal="center"/>
    </xf>
    <xf numFmtId="0" fontId="10" fillId="0" borderId="46" xfId="0" applyFont="1" applyFill="1" applyBorder="1"/>
    <xf numFmtId="185" fontId="9" fillId="0" borderId="51" xfId="0" applyNumberFormat="1" applyFont="1" applyFill="1" applyBorder="1" applyAlignment="1">
      <alignment horizontal="left"/>
    </xf>
    <xf numFmtId="169" fontId="10" fillId="0" borderId="2" xfId="91" applyFont="1" applyFill="1" applyBorder="1" applyAlignment="1">
      <alignment horizontal="center"/>
    </xf>
    <xf numFmtId="169" fontId="10" fillId="13" borderId="1" xfId="91" applyFont="1" applyFill="1" applyBorder="1" applyAlignment="1">
      <alignment horizontal="center" vertical="center"/>
    </xf>
    <xf numFmtId="0" fontId="10" fillId="0" borderId="0" xfId="0" applyFont="1" applyBorder="1"/>
    <xf numFmtId="185" fontId="10" fillId="0" borderId="0" xfId="0" applyNumberFormat="1" applyFont="1" applyBorder="1" applyAlignment="1">
      <alignment horizontal="center"/>
    </xf>
    <xf numFmtId="194" fontId="9" fillId="11" borderId="1" xfId="91" applyNumberFormat="1" applyFont="1" applyFill="1" applyBorder="1" applyAlignment="1">
      <alignment horizontal="center" vertical="center"/>
    </xf>
    <xf numFmtId="0" fontId="9" fillId="0" borderId="0" xfId="0" applyFont="1" applyFill="1" applyBorder="1" applyAlignment="1">
      <alignment horizontal="left" vertical="center" wrapText="1"/>
    </xf>
    <xf numFmtId="194" fontId="9" fillId="0" borderId="0" xfId="91" applyNumberFormat="1" applyFont="1" applyFill="1" applyBorder="1" applyAlignment="1">
      <alignment horizontal="center" vertical="center"/>
    </xf>
    <xf numFmtId="194" fontId="9" fillId="12" borderId="1" xfId="91" applyNumberFormat="1" applyFont="1" applyFill="1" applyBorder="1" applyAlignment="1">
      <alignment horizontal="center" vertical="center"/>
    </xf>
    <xf numFmtId="194" fontId="9" fillId="0" borderId="0" xfId="91" applyNumberFormat="1" applyFont="1"/>
    <xf numFmtId="194" fontId="9" fillId="4" borderId="1" xfId="91" applyNumberFormat="1" applyFont="1" applyFill="1" applyBorder="1" applyAlignment="1">
      <alignment horizontal="center" vertical="center"/>
    </xf>
    <xf numFmtId="194" fontId="9" fillId="14" borderId="1" xfId="91" applyNumberFormat="1" applyFont="1" applyFill="1" applyBorder="1" applyAlignment="1">
      <alignment horizontal="center" vertical="center"/>
    </xf>
    <xf numFmtId="194" fontId="9" fillId="6" borderId="1" xfId="91" applyNumberFormat="1" applyFont="1" applyFill="1" applyBorder="1" applyAlignment="1">
      <alignment horizontal="center" vertical="center"/>
    </xf>
    <xf numFmtId="194" fontId="9" fillId="13" borderId="1" xfId="91" applyNumberFormat="1" applyFont="1" applyFill="1" applyBorder="1" applyAlignment="1">
      <alignment horizontal="center" vertical="center"/>
    </xf>
    <xf numFmtId="194" fontId="9" fillId="10" borderId="1" xfId="91" applyNumberFormat="1" applyFont="1" applyFill="1" applyBorder="1" applyAlignment="1">
      <alignment horizontal="center" vertical="center"/>
    </xf>
    <xf numFmtId="0" fontId="9" fillId="0" borderId="0" xfId="0" applyFont="1" applyFill="1"/>
    <xf numFmtId="183" fontId="21" fillId="17" borderId="1" xfId="91" applyNumberFormat="1" applyFont="1" applyFill="1" applyBorder="1" applyAlignment="1">
      <alignment vertical="center"/>
    </xf>
    <xf numFmtId="0" fontId="7" fillId="0" borderId="0" xfId="0" applyFont="1"/>
    <xf numFmtId="0" fontId="7" fillId="0" borderId="0" xfId="0" applyFont="1" applyAlignment="1">
      <alignment horizontal="right"/>
    </xf>
    <xf numFmtId="170" fontId="42" fillId="0" borderId="0" xfId="7" applyNumberFormat="1" applyFont="1"/>
    <xf numFmtId="0" fontId="0" fillId="15" borderId="2" xfId="0" applyFill="1" applyBorder="1" applyAlignment="1">
      <alignment horizontal="center" vertical="center"/>
    </xf>
    <xf numFmtId="0" fontId="7" fillId="0" borderId="0" xfId="0" applyFont="1" applyAlignment="1"/>
    <xf numFmtId="173" fontId="1" fillId="0" borderId="1" xfId="7" applyNumberFormat="1" applyFont="1" applyFill="1" applyBorder="1"/>
    <xf numFmtId="0" fontId="25" fillId="0" borderId="1" xfId="0" applyFont="1" applyFill="1" applyBorder="1"/>
    <xf numFmtId="183" fontId="28" fillId="0" borderId="1" xfId="91" applyNumberFormat="1" applyFont="1" applyFill="1" applyBorder="1"/>
    <xf numFmtId="173" fontId="28" fillId="0" borderId="1" xfId="7" applyNumberFormat="1" applyFont="1" applyFill="1" applyBorder="1"/>
    <xf numFmtId="169" fontId="28" fillId="0" borderId="1" xfId="91" applyNumberFormat="1" applyFont="1" applyFill="1" applyBorder="1"/>
    <xf numFmtId="169" fontId="28" fillId="0" borderId="1" xfId="7" applyNumberFormat="1" applyFont="1" applyFill="1" applyBorder="1"/>
    <xf numFmtId="0" fontId="44" fillId="0" borderId="45" xfId="0" applyFont="1" applyBorder="1"/>
    <xf numFmtId="0" fontId="44" fillId="0" borderId="45" xfId="0" applyFont="1" applyBorder="1" applyAlignment="1">
      <alignment horizontal="right"/>
    </xf>
    <xf numFmtId="0" fontId="81" fillId="0" borderId="0" xfId="0" applyFont="1"/>
    <xf numFmtId="0" fontId="82" fillId="17" borderId="1" xfId="0" applyFont="1" applyFill="1" applyBorder="1" applyAlignment="1">
      <alignment horizontal="center" vertical="center" wrapText="1"/>
    </xf>
    <xf numFmtId="0" fontId="81" fillId="0" borderId="1" xfId="0" applyFont="1" applyBorder="1" applyAlignment="1">
      <alignment horizontal="left" vertical="center" wrapText="1"/>
    </xf>
    <xf numFmtId="0" fontId="81" fillId="0" borderId="0" xfId="0" applyFont="1" applyAlignment="1">
      <alignment horizontal="justify"/>
    </xf>
    <xf numFmtId="0" fontId="83" fillId="17" borderId="1" xfId="0" applyFont="1" applyFill="1" applyBorder="1" applyAlignment="1">
      <alignment horizontal="center" vertical="center" wrapText="1"/>
    </xf>
    <xf numFmtId="183" fontId="81" fillId="0" borderId="1" xfId="91" applyNumberFormat="1" applyFont="1" applyBorder="1" applyAlignment="1">
      <alignment vertical="center"/>
    </xf>
    <xf numFmtId="183" fontId="84" fillId="17" borderId="1" xfId="91" applyNumberFormat="1" applyFont="1" applyFill="1" applyBorder="1" applyAlignment="1">
      <alignment vertical="center"/>
    </xf>
    <xf numFmtId="0" fontId="85" fillId="0" borderId="74" xfId="186" applyFont="1" applyAlignment="1">
      <alignment horizontal="left"/>
    </xf>
    <xf numFmtId="192" fontId="80" fillId="0" borderId="1" xfId="3" applyNumberFormat="1" applyFont="1" applyFill="1" applyBorder="1" applyAlignment="1">
      <alignment horizontal="right" vertical="center"/>
    </xf>
    <xf numFmtId="0" fontId="80" fillId="0" borderId="0" xfId="3" applyFont="1" applyBorder="1" applyAlignment="1"/>
    <xf numFmtId="192" fontId="80" fillId="0" borderId="0" xfId="3" applyNumberFormat="1" applyFont="1" applyFill="1" applyBorder="1" applyAlignment="1">
      <alignment horizontal="right"/>
    </xf>
    <xf numFmtId="0" fontId="86" fillId="0" borderId="0" xfId="3" applyFont="1" applyFill="1" applyBorder="1" applyAlignment="1">
      <alignment horizontal="center"/>
    </xf>
    <xf numFmtId="0" fontId="86" fillId="0" borderId="0" xfId="0" applyFont="1" applyFill="1" applyBorder="1" applyAlignment="1">
      <alignment vertical="center"/>
    </xf>
    <xf numFmtId="0" fontId="82" fillId="0" borderId="0" xfId="0" applyFont="1" applyFill="1" applyBorder="1" applyAlignment="1">
      <alignment horizontal="center" vertical="center"/>
    </xf>
    <xf numFmtId="0" fontId="0" fillId="0" borderId="0" xfId="0" applyFont="1" applyBorder="1"/>
    <xf numFmtId="183" fontId="81" fillId="0" borderId="0" xfId="0" applyNumberFormat="1" applyFont="1"/>
    <xf numFmtId="0" fontId="83" fillId="17" borderId="2" xfId="0" applyFont="1" applyFill="1" applyBorder="1" applyAlignment="1">
      <alignment horizontal="center" vertical="center" wrapText="1"/>
    </xf>
    <xf numFmtId="0" fontId="82" fillId="0" borderId="0" xfId="0" applyFont="1" applyAlignment="1">
      <alignment vertical="justify" wrapText="1"/>
    </xf>
    <xf numFmtId="173" fontId="81" fillId="0" borderId="0" xfId="15" applyNumberFormat="1" applyFont="1"/>
    <xf numFmtId="15" fontId="85" fillId="0" borderId="74" xfId="186" applyNumberFormat="1" applyFont="1"/>
    <xf numFmtId="0" fontId="85" fillId="0" borderId="74" xfId="186" applyFont="1"/>
    <xf numFmtId="0" fontId="87" fillId="0" borderId="0" xfId="0" applyFont="1" applyAlignment="1">
      <alignment horizontal="center" vertical="justify" wrapText="1"/>
    </xf>
    <xf numFmtId="0" fontId="0" fillId="0" borderId="0" xfId="0" applyFont="1" applyAlignment="1">
      <alignment horizontal="right" vertical="center"/>
    </xf>
    <xf numFmtId="0" fontId="0" fillId="0" borderId="0" xfId="0" applyFont="1" applyAlignment="1">
      <alignment vertical="center"/>
    </xf>
    <xf numFmtId="0" fontId="87" fillId="0" borderId="0" xfId="0" applyFont="1" applyAlignment="1">
      <alignment horizontal="center" vertical="center" wrapText="1"/>
    </xf>
    <xf numFmtId="0" fontId="87" fillId="0" borderId="0" xfId="0" applyFont="1" applyAlignment="1">
      <alignment vertical="center" wrapText="1"/>
    </xf>
    <xf numFmtId="0" fontId="49" fillId="16" borderId="1" xfId="148" applyFont="1" applyFill="1" applyBorder="1" applyAlignment="1">
      <alignment vertical="center" wrapText="1"/>
    </xf>
    <xf numFmtId="0" fontId="42" fillId="0" borderId="1" xfId="148" applyFont="1" applyBorder="1" applyAlignment="1">
      <alignment horizontal="center" vertical="center"/>
    </xf>
    <xf numFmtId="0" fontId="49" fillId="16" borderId="53" xfId="148" applyFont="1" applyFill="1" applyBorder="1" applyAlignment="1">
      <alignment vertical="center" wrapText="1"/>
    </xf>
    <xf numFmtId="0" fontId="42" fillId="0" borderId="54" xfId="148" applyFont="1" applyBorder="1" applyAlignment="1">
      <alignment horizontal="center" vertical="center"/>
    </xf>
    <xf numFmtId="0" fontId="49" fillId="16" borderId="55" xfId="148" applyFont="1" applyFill="1" applyBorder="1" applyAlignment="1">
      <alignment vertical="center" wrapText="1"/>
    </xf>
    <xf numFmtId="173" fontId="88" fillId="0" borderId="56" xfId="40" applyNumberFormat="1" applyFont="1" applyBorder="1" applyAlignment="1">
      <alignment vertical="center"/>
    </xf>
    <xf numFmtId="0" fontId="89" fillId="16" borderId="57" xfId="0" applyFont="1" applyFill="1" applyBorder="1" applyAlignment="1">
      <alignment horizontal="center" vertical="center" wrapText="1"/>
    </xf>
    <xf numFmtId="0" fontId="89" fillId="16" borderId="35" xfId="0" applyFont="1" applyFill="1" applyBorder="1" applyAlignment="1">
      <alignment horizontal="center" vertical="center" wrapText="1"/>
    </xf>
    <xf numFmtId="0" fontId="89" fillId="16" borderId="58" xfId="0" applyFont="1" applyFill="1" applyBorder="1" applyAlignment="1">
      <alignment horizontal="center" vertical="center" wrapText="1"/>
    </xf>
    <xf numFmtId="0" fontId="89" fillId="0" borderId="53" xfId="0" applyFont="1" applyFill="1" applyBorder="1" applyAlignment="1">
      <alignment horizontal="center" vertical="center" wrapText="1"/>
    </xf>
    <xf numFmtId="0" fontId="89" fillId="0" borderId="1" xfId="0" applyFont="1" applyFill="1" applyBorder="1" applyAlignment="1">
      <alignment horizontal="center" vertical="center" wrapText="1"/>
    </xf>
    <xf numFmtId="0" fontId="89" fillId="0" borderId="54" xfId="0" applyFont="1" applyFill="1" applyBorder="1" applyAlignment="1">
      <alignment horizontal="center" vertical="center" wrapText="1"/>
    </xf>
    <xf numFmtId="0" fontId="0" fillId="0" borderId="0" xfId="0" applyFont="1" applyFill="1"/>
    <xf numFmtId="0" fontId="49" fillId="0" borderId="53" xfId="0" applyFont="1" applyFill="1" applyBorder="1" applyAlignment="1">
      <alignment vertical="center"/>
    </xf>
    <xf numFmtId="183" fontId="88" fillId="0" borderId="1" xfId="91" applyNumberFormat="1" applyFont="1" applyBorder="1" applyAlignment="1">
      <alignment vertical="center"/>
    </xf>
    <xf numFmtId="183" fontId="88" fillId="23" borderId="54" xfId="91" applyNumberFormat="1" applyFont="1" applyFill="1" applyBorder="1" applyAlignment="1">
      <alignment vertical="center"/>
    </xf>
    <xf numFmtId="0" fontId="89" fillId="0" borderId="53" xfId="0" applyFont="1" applyBorder="1" applyAlignment="1">
      <alignment horizontal="left" vertical="center"/>
    </xf>
    <xf numFmtId="0" fontId="90" fillId="0" borderId="53" xfId="0" applyFont="1" applyBorder="1" applyAlignment="1">
      <alignment vertical="center"/>
    </xf>
    <xf numFmtId="183" fontId="89" fillId="0" borderId="1" xfId="91" applyNumberFormat="1" applyFont="1" applyBorder="1" applyAlignment="1">
      <alignment vertical="center"/>
    </xf>
    <xf numFmtId="183" fontId="89" fillId="0" borderId="23" xfId="91" applyNumberFormat="1" applyFont="1" applyBorder="1" applyAlignment="1">
      <alignment vertical="center"/>
    </xf>
    <xf numFmtId="0" fontId="89" fillId="0" borderId="53" xfId="0" applyFont="1" applyBorder="1" applyAlignment="1">
      <alignment horizontal="left" vertical="center" wrapText="1"/>
    </xf>
    <xf numFmtId="183" fontId="88" fillId="0" borderId="54" xfId="91" applyNumberFormat="1" applyFont="1" applyBorder="1" applyAlignment="1">
      <alignment vertical="center"/>
    </xf>
    <xf numFmtId="183" fontId="88" fillId="0" borderId="54" xfId="91" applyNumberFormat="1" applyFont="1" applyFill="1" applyBorder="1" applyAlignment="1">
      <alignment vertical="center"/>
    </xf>
    <xf numFmtId="0" fontId="89" fillId="16" borderId="55" xfId="0" applyFont="1" applyFill="1" applyBorder="1" applyAlignment="1">
      <alignment horizontal="center" vertical="center" wrapText="1"/>
    </xf>
    <xf numFmtId="183" fontId="89" fillId="16" borderId="56" xfId="91" applyNumberFormat="1" applyFont="1" applyFill="1" applyBorder="1" applyAlignment="1">
      <alignment horizontal="center" vertical="center" wrapText="1"/>
    </xf>
    <xf numFmtId="0" fontId="89" fillId="0" borderId="0" xfId="0" applyFont="1" applyFill="1" applyBorder="1" applyAlignment="1">
      <alignment horizontal="center" vertical="center" wrapText="1"/>
    </xf>
    <xf numFmtId="173" fontId="89" fillId="0" borderId="0" xfId="15" applyNumberFormat="1" applyFont="1" applyFill="1" applyBorder="1" applyAlignment="1">
      <alignment horizontal="center" vertical="center" wrapText="1"/>
    </xf>
    <xf numFmtId="0" fontId="49" fillId="0" borderId="57" xfId="0" applyFont="1" applyFill="1" applyBorder="1" applyAlignment="1">
      <alignment horizontal="center" vertical="center" wrapText="1"/>
    </xf>
    <xf numFmtId="0" fontId="49" fillId="0" borderId="35" xfId="0" applyFont="1" applyFill="1" applyBorder="1" applyAlignment="1">
      <alignment horizontal="center" vertical="center" wrapText="1"/>
    </xf>
    <xf numFmtId="173" fontId="89" fillId="0" borderId="58" xfId="15" applyNumberFormat="1" applyFont="1" applyFill="1" applyBorder="1" applyAlignment="1">
      <alignment horizontal="center" vertical="center" wrapText="1"/>
    </xf>
    <xf numFmtId="0" fontId="49" fillId="16" borderId="53" xfId="0" applyFont="1" applyFill="1" applyBorder="1" applyAlignment="1">
      <alignment horizontal="left" vertical="center"/>
    </xf>
    <xf numFmtId="173" fontId="88" fillId="16" borderId="1" xfId="40" applyNumberFormat="1" applyFont="1" applyFill="1" applyBorder="1" applyAlignment="1">
      <alignment vertical="center"/>
    </xf>
    <xf numFmtId="173" fontId="88" fillId="16" borderId="54" xfId="40" applyNumberFormat="1" applyFont="1" applyFill="1" applyBorder="1" applyAlignment="1">
      <alignment vertical="center"/>
    </xf>
    <xf numFmtId="0" fontId="49" fillId="0" borderId="53" xfId="0" applyFont="1" applyBorder="1" applyAlignment="1">
      <alignment horizontal="left" vertical="center"/>
    </xf>
    <xf numFmtId="173" fontId="88" fillId="0" borderId="1" xfId="40" applyNumberFormat="1" applyFont="1" applyBorder="1" applyAlignment="1">
      <alignment vertical="center"/>
    </xf>
    <xf numFmtId="173" fontId="88" fillId="0" borderId="54" xfId="40" applyNumberFormat="1" applyFont="1" applyBorder="1" applyAlignment="1">
      <alignment vertical="center"/>
    </xf>
    <xf numFmtId="0" fontId="87" fillId="0" borderId="53" xfId="0" applyFont="1" applyFill="1" applyBorder="1" applyAlignment="1">
      <alignment vertical="center" wrapText="1"/>
    </xf>
    <xf numFmtId="0" fontId="49" fillId="16" borderId="55" xfId="0" applyFont="1" applyFill="1" applyBorder="1" applyAlignment="1">
      <alignment horizontal="center" vertical="center"/>
    </xf>
    <xf numFmtId="173" fontId="88" fillId="16" borderId="37" xfId="40" applyNumberFormat="1" applyFont="1" applyFill="1" applyBorder="1" applyAlignment="1">
      <alignment vertical="center"/>
    </xf>
    <xf numFmtId="173" fontId="88" fillId="0" borderId="0" xfId="40" applyNumberFormat="1" applyFont="1" applyAlignment="1">
      <alignment vertical="center"/>
    </xf>
    <xf numFmtId="0" fontId="89" fillId="16" borderId="9" xfId="0" applyFont="1" applyFill="1" applyBorder="1" applyAlignment="1">
      <alignment horizontal="left" vertical="center"/>
    </xf>
    <xf numFmtId="173" fontId="89" fillId="16" borderId="9" xfId="40" applyNumberFormat="1" applyFont="1" applyFill="1" applyBorder="1" applyAlignment="1">
      <alignment vertical="center"/>
    </xf>
    <xf numFmtId="3" fontId="91" fillId="0" borderId="0" xfId="0" applyNumberFormat="1" applyFont="1" applyAlignment="1">
      <alignment horizontal="center" vertical="center"/>
    </xf>
    <xf numFmtId="0" fontId="88" fillId="0" borderId="5" xfId="0" applyFont="1" applyBorder="1" applyAlignment="1">
      <alignment horizontal="left" vertical="center"/>
    </xf>
    <xf numFmtId="173" fontId="88" fillId="0" borderId="5" xfId="40" applyNumberFormat="1" applyFont="1" applyBorder="1" applyAlignment="1">
      <alignment vertical="center"/>
    </xf>
    <xf numFmtId="173" fontId="88" fillId="0" borderId="26" xfId="40" applyNumberFormat="1" applyFont="1" applyBorder="1" applyAlignment="1">
      <alignment vertical="center"/>
    </xf>
    <xf numFmtId="0" fontId="88" fillId="0" borderId="0" xfId="0" applyFont="1" applyBorder="1" applyAlignment="1">
      <alignment horizontal="left"/>
    </xf>
    <xf numFmtId="173" fontId="88" fillId="0" borderId="0" xfId="40" applyNumberFormat="1" applyFont="1" applyBorder="1"/>
    <xf numFmtId="173" fontId="88" fillId="0" borderId="0" xfId="35" applyNumberFormat="1" applyFont="1" applyBorder="1"/>
    <xf numFmtId="9" fontId="88" fillId="0" borderId="0" xfId="177" applyFont="1" applyBorder="1" applyAlignment="1">
      <alignment horizontal="left"/>
    </xf>
    <xf numFmtId="0" fontId="49" fillId="0" borderId="0" xfId="0" applyFont="1" applyBorder="1"/>
    <xf numFmtId="173" fontId="88" fillId="0" borderId="0" xfId="35" applyNumberFormat="1" applyFont="1"/>
    <xf numFmtId="0" fontId="92" fillId="0" borderId="0" xfId="0" applyFont="1" applyBorder="1"/>
    <xf numFmtId="173" fontId="89" fillId="0" borderId="0" xfId="35" applyNumberFormat="1" applyFont="1" applyBorder="1"/>
    <xf numFmtId="0" fontId="93" fillId="0" borderId="0" xfId="0" applyFont="1" applyBorder="1"/>
    <xf numFmtId="0" fontId="42" fillId="0" borderId="0" xfId="148" applyFont="1" applyBorder="1" applyAlignment="1">
      <alignment horizontal="center"/>
    </xf>
    <xf numFmtId="0" fontId="42" fillId="0" borderId="0" xfId="148" applyFont="1" applyBorder="1"/>
    <xf numFmtId="0" fontId="49" fillId="0" borderId="0" xfId="148" applyFont="1" applyBorder="1" applyAlignment="1">
      <alignment horizontal="left"/>
    </xf>
    <xf numFmtId="0" fontId="92" fillId="0" borderId="0" xfId="0" applyFont="1"/>
    <xf numFmtId="173" fontId="88" fillId="0" borderId="0" xfId="40" applyNumberFormat="1" applyFont="1"/>
    <xf numFmtId="0" fontId="87" fillId="0" borderId="0" xfId="0" applyFont="1" applyFill="1" applyAlignment="1"/>
    <xf numFmtId="0" fontId="94" fillId="0" borderId="0" xfId="0" applyFont="1"/>
    <xf numFmtId="0" fontId="87" fillId="0" borderId="0" xfId="0" applyFont="1" applyAlignment="1"/>
    <xf numFmtId="197" fontId="0" fillId="0" borderId="0" xfId="0" applyNumberFormat="1" applyFont="1" applyAlignment="1">
      <alignment horizontal="left" vertical="center"/>
    </xf>
    <xf numFmtId="0" fontId="0" fillId="0" borderId="0" xfId="0" applyFont="1" applyAlignment="1">
      <alignment vertical="center" wrapText="1"/>
    </xf>
    <xf numFmtId="185" fontId="0" fillId="0" borderId="0" xfId="0" applyNumberFormat="1" applyFont="1" applyAlignment="1">
      <alignment vertical="center"/>
    </xf>
    <xf numFmtId="0" fontId="87" fillId="17" borderId="1" xfId="155" applyFont="1" applyFill="1" applyBorder="1" applyAlignment="1">
      <alignment horizontal="center" vertical="center" wrapText="1"/>
    </xf>
    <xf numFmtId="0" fontId="87" fillId="0" borderId="1" xfId="155" applyFont="1" applyFill="1" applyBorder="1" applyAlignment="1">
      <alignment horizontal="left" vertical="center" wrapText="1"/>
    </xf>
    <xf numFmtId="175" fontId="87" fillId="0" borderId="1" xfId="155" applyNumberFormat="1" applyFont="1" applyFill="1" applyBorder="1" applyAlignment="1">
      <alignment horizontal="right" vertical="center" wrapText="1"/>
    </xf>
    <xf numFmtId="183" fontId="42" fillId="0" borderId="0" xfId="91" applyNumberFormat="1" applyFont="1" applyFill="1"/>
    <xf numFmtId="183" fontId="0" fillId="0" borderId="0" xfId="0" applyNumberFormat="1" applyFont="1"/>
    <xf numFmtId="0" fontId="94" fillId="0" borderId="1" xfId="141" applyFont="1" applyFill="1" applyBorder="1" applyAlignment="1">
      <alignment vertical="center"/>
    </xf>
    <xf numFmtId="175" fontId="0" fillId="0" borderId="1" xfId="0" applyNumberFormat="1" applyFont="1" applyFill="1" applyBorder="1" applyAlignment="1">
      <alignment vertical="center"/>
    </xf>
    <xf numFmtId="175" fontId="94" fillId="0" borderId="1" xfId="141" applyNumberFormat="1" applyFont="1" applyFill="1" applyBorder="1" applyAlignment="1">
      <alignment vertical="center"/>
    </xf>
    <xf numFmtId="0" fontId="94" fillId="0" borderId="1" xfId="155" applyFont="1" applyFill="1" applyBorder="1" applyAlignment="1">
      <alignment vertical="center"/>
    </xf>
    <xf numFmtId="175" fontId="94" fillId="0" borderId="1" xfId="155" applyNumberFormat="1" applyFont="1" applyFill="1" applyBorder="1" applyAlignment="1">
      <alignment horizontal="right" vertical="center" wrapText="1"/>
    </xf>
    <xf numFmtId="173" fontId="94" fillId="0" borderId="1" xfId="7" applyNumberFormat="1" applyFont="1" applyFill="1" applyBorder="1" applyAlignment="1">
      <alignment horizontal="right" vertical="center" wrapText="1"/>
    </xf>
    <xf numFmtId="0" fontId="87" fillId="17" borderId="1" xfId="155" applyFont="1" applyFill="1" applyBorder="1" applyAlignment="1">
      <alignment horizontal="left" vertical="center" wrapText="1"/>
    </xf>
    <xf numFmtId="175" fontId="87" fillId="17" borderId="1" xfId="155" applyNumberFormat="1" applyFont="1" applyFill="1" applyBorder="1" applyAlignment="1">
      <alignment horizontal="right" vertical="center" wrapText="1"/>
    </xf>
    <xf numFmtId="0" fontId="87" fillId="0" borderId="0" xfId="155" applyFont="1" applyFill="1" applyBorder="1" applyAlignment="1">
      <alignment horizontal="left"/>
    </xf>
    <xf numFmtId="175" fontId="87" fillId="0" borderId="0" xfId="155" applyNumberFormat="1" applyFont="1" applyFill="1" applyBorder="1" applyAlignment="1">
      <alignment horizontal="right"/>
    </xf>
    <xf numFmtId="173" fontId="42" fillId="0" borderId="0" xfId="7" applyNumberFormat="1" applyFont="1"/>
    <xf numFmtId="0" fontId="42" fillId="0" borderId="0" xfId="148" applyFont="1"/>
    <xf numFmtId="197" fontId="87" fillId="0" borderId="0" xfId="142" applyNumberFormat="1" applyFont="1" applyBorder="1" applyAlignment="1">
      <alignment horizontal="left" vertical="center" wrapText="1"/>
    </xf>
    <xf numFmtId="4" fontId="0" fillId="0" borderId="0" xfId="0" applyNumberFormat="1"/>
    <xf numFmtId="9" fontId="8" fillId="0" borderId="0" xfId="0" applyNumberFormat="1" applyFont="1"/>
    <xf numFmtId="0" fontId="8" fillId="0" borderId="0" xfId="0" applyFont="1" applyAlignment="1">
      <alignment horizontal="right"/>
    </xf>
    <xf numFmtId="0" fontId="89" fillId="17" borderId="53" xfId="0" applyFont="1" applyFill="1" applyBorder="1" applyAlignment="1">
      <alignment horizontal="left" vertical="center"/>
    </xf>
    <xf numFmtId="175" fontId="49" fillId="17" borderId="1" xfId="0" applyNumberFormat="1" applyFont="1" applyFill="1" applyBorder="1" applyAlignment="1">
      <alignment vertical="center"/>
    </xf>
    <xf numFmtId="185" fontId="42" fillId="0" borderId="1" xfId="148" applyNumberFormat="1" applyFont="1" applyBorder="1" applyAlignment="1">
      <alignment horizontal="center" vertical="center"/>
    </xf>
    <xf numFmtId="175" fontId="87" fillId="24" borderId="1" xfId="155" applyNumberFormat="1" applyFont="1" applyFill="1" applyBorder="1" applyAlignment="1">
      <alignment horizontal="right" vertical="center" wrapText="1"/>
    </xf>
    <xf numFmtId="0" fontId="49" fillId="17" borderId="6" xfId="0" applyFont="1" applyFill="1" applyBorder="1" applyAlignment="1">
      <alignment vertical="center"/>
    </xf>
    <xf numFmtId="0" fontId="49" fillId="17" borderId="3" xfId="0" applyFont="1" applyFill="1" applyBorder="1" applyAlignment="1">
      <alignment vertical="center"/>
    </xf>
    <xf numFmtId="200" fontId="49" fillId="17" borderId="1" xfId="177" applyNumberFormat="1" applyFont="1" applyFill="1" applyBorder="1" applyAlignment="1">
      <alignment horizontal="center" vertical="center" wrapText="1"/>
    </xf>
    <xf numFmtId="183" fontId="89" fillId="16" borderId="56" xfId="91" applyNumberFormat="1" applyFont="1" applyFill="1" applyBorder="1" applyAlignment="1">
      <alignment vertical="center"/>
    </xf>
    <xf numFmtId="0" fontId="86" fillId="0" borderId="0" xfId="0" applyFont="1"/>
    <xf numFmtId="0" fontId="81" fillId="0" borderId="0" xfId="131" applyFont="1"/>
    <xf numFmtId="0" fontId="82" fillId="0" borderId="0" xfId="131" applyFont="1" applyAlignment="1">
      <alignment vertical="justify" wrapText="1"/>
    </xf>
    <xf numFmtId="0" fontId="81" fillId="0" borderId="0" xfId="131" applyFont="1" applyAlignment="1">
      <alignment horizontal="center" vertical="center"/>
    </xf>
    <xf numFmtId="0" fontId="84" fillId="0" borderId="0" xfId="131" applyFont="1"/>
    <xf numFmtId="0" fontId="82" fillId="0" borderId="0" xfId="131" applyFont="1" applyAlignment="1">
      <alignment horizontal="left" vertical="justify" wrapText="1"/>
    </xf>
    <xf numFmtId="0" fontId="86" fillId="0" borderId="0" xfId="131" applyFont="1"/>
    <xf numFmtId="185" fontId="81" fillId="0" borderId="0" xfId="131" applyNumberFormat="1" applyFont="1" applyAlignment="1">
      <alignment horizontal="center" vertical="center"/>
    </xf>
    <xf numFmtId="0" fontId="82" fillId="17" borderId="1" xfId="131" applyFont="1" applyFill="1" applyBorder="1" applyAlignment="1">
      <alignment horizontal="center" vertical="center" wrapText="1"/>
    </xf>
    <xf numFmtId="183" fontId="82" fillId="17" borderId="1" xfId="102" applyNumberFormat="1" applyFont="1" applyFill="1" applyBorder="1" applyAlignment="1">
      <alignment horizontal="center" vertical="center" wrapText="1"/>
    </xf>
    <xf numFmtId="183" fontId="82" fillId="17" borderId="2" xfId="102" applyNumberFormat="1" applyFont="1" applyFill="1" applyBorder="1" applyAlignment="1">
      <alignment horizontal="center" vertical="center" wrapText="1"/>
    </xf>
    <xf numFmtId="173" fontId="81" fillId="0" borderId="0" xfId="131" applyNumberFormat="1" applyFont="1"/>
    <xf numFmtId="0" fontId="81" fillId="0" borderId="1" xfId="131" applyFont="1" applyFill="1" applyBorder="1" applyAlignment="1">
      <alignment horizontal="left" vertical="center" wrapText="1"/>
    </xf>
    <xf numFmtId="0" fontId="81" fillId="0" borderId="1" xfId="131" applyFont="1" applyFill="1" applyBorder="1" applyAlignment="1">
      <alignment horizontal="center" vertical="center" wrapText="1"/>
    </xf>
    <xf numFmtId="0" fontId="81" fillId="0" borderId="51" xfId="131" applyFont="1" applyFill="1" applyBorder="1" applyAlignment="1">
      <alignment horizontal="left" vertical="center" wrapText="1"/>
    </xf>
    <xf numFmtId="0" fontId="81" fillId="0" borderId="0" xfId="131" applyFont="1" applyBorder="1" applyAlignment="1">
      <alignment horizontal="center" vertical="center" wrapText="1"/>
    </xf>
    <xf numFmtId="0" fontId="81" fillId="0" borderId="0" xfId="131" applyFont="1" applyFill="1" applyBorder="1" applyAlignment="1">
      <alignment horizontal="left" vertical="center" wrapText="1"/>
    </xf>
    <xf numFmtId="183" fontId="86" fillId="0" borderId="0" xfId="102" quotePrefix="1" applyNumberFormat="1" applyFont="1" applyFill="1" applyBorder="1" applyAlignment="1">
      <alignment horizontal="center" vertical="center"/>
    </xf>
    <xf numFmtId="183" fontId="82" fillId="17" borderId="1" xfId="102" applyNumberFormat="1" applyFont="1" applyFill="1" applyBorder="1" applyAlignment="1">
      <alignment vertical="center"/>
    </xf>
    <xf numFmtId="3" fontId="81" fillId="0" borderId="0" xfId="21" applyNumberFormat="1" applyFont="1" applyFill="1" applyBorder="1" applyAlignment="1">
      <alignment horizontal="center" vertical="center" wrapText="1"/>
    </xf>
    <xf numFmtId="3" fontId="81" fillId="0" borderId="0" xfId="131" applyNumberFormat="1" applyFont="1" applyFill="1" applyBorder="1" applyAlignment="1">
      <alignment horizontal="center" vertical="center" wrapText="1"/>
    </xf>
    <xf numFmtId="3" fontId="86" fillId="0" borderId="0" xfId="21" quotePrefix="1" applyNumberFormat="1" applyFont="1" applyFill="1" applyBorder="1" applyAlignment="1">
      <alignment horizontal="center" vertical="center"/>
    </xf>
    <xf numFmtId="0" fontId="81" fillId="0" borderId="0" xfId="131" applyFont="1" applyBorder="1"/>
    <xf numFmtId="4" fontId="81" fillId="0" borderId="0" xfId="131" applyNumberFormat="1" applyFont="1" applyBorder="1"/>
    <xf numFmtId="183" fontId="81" fillId="0" borderId="0" xfId="131" applyNumberFormat="1" applyFont="1"/>
    <xf numFmtId="0" fontId="84" fillId="16" borderId="1" xfId="0" applyFont="1" applyFill="1" applyBorder="1" applyAlignment="1">
      <alignment horizontal="center" vertical="center" wrapText="1"/>
    </xf>
    <xf numFmtId="0" fontId="82" fillId="16" borderId="1" xfId="0" applyFont="1" applyFill="1" applyBorder="1" applyAlignment="1">
      <alignment horizontal="center" vertical="center" wrapText="1"/>
    </xf>
    <xf numFmtId="173" fontId="81" fillId="0" borderId="1" xfId="15" applyNumberFormat="1" applyFont="1" applyBorder="1" applyAlignment="1">
      <alignment horizontal="center" vertical="center"/>
    </xf>
    <xf numFmtId="183" fontId="81" fillId="0" borderId="1" xfId="91" applyNumberFormat="1" applyFont="1" applyFill="1" applyBorder="1" applyAlignment="1">
      <alignment horizontal="left" vertical="center"/>
    </xf>
    <xf numFmtId="183" fontId="81" fillId="0" borderId="1" xfId="91" applyNumberFormat="1" applyFont="1" applyBorder="1" applyAlignment="1">
      <alignment horizontal="center" vertical="center"/>
    </xf>
    <xf numFmtId="183" fontId="81" fillId="0" borderId="1" xfId="0" applyNumberFormat="1" applyFont="1" applyBorder="1" applyAlignment="1">
      <alignment vertical="center"/>
    </xf>
    <xf numFmtId="169" fontId="81" fillId="0" borderId="0" xfId="91" applyFont="1"/>
    <xf numFmtId="3" fontId="81" fillId="0" borderId="0" xfId="0" applyNumberFormat="1" applyFont="1"/>
    <xf numFmtId="0" fontId="84" fillId="16" borderId="1" xfId="0" applyFont="1" applyFill="1" applyBorder="1" applyAlignment="1">
      <alignment vertical="center"/>
    </xf>
    <xf numFmtId="183" fontId="84" fillId="16" borderId="1" xfId="0" applyNumberFormat="1" applyFont="1" applyFill="1" applyBorder="1" applyAlignment="1">
      <alignment vertical="center"/>
    </xf>
    <xf numFmtId="0" fontId="87" fillId="0" borderId="0" xfId="155" applyFont="1" applyFill="1" applyBorder="1" applyAlignment="1">
      <alignment horizontal="left" vertical="center" wrapText="1"/>
    </xf>
    <xf numFmtId="175" fontId="87" fillId="0" borderId="0" xfId="155" applyNumberFormat="1" applyFont="1" applyFill="1" applyBorder="1" applyAlignment="1">
      <alignment horizontal="right" vertical="center" wrapText="1"/>
    </xf>
    <xf numFmtId="175" fontId="87" fillId="16" borderId="1" xfId="155" applyNumberFormat="1" applyFont="1" applyFill="1" applyBorder="1" applyAlignment="1">
      <alignment horizontal="right" vertical="center" wrapText="1"/>
    </xf>
    <xf numFmtId="183" fontId="81" fillId="0" borderId="3" xfId="91" applyNumberFormat="1" applyFont="1" applyFill="1" applyBorder="1" applyAlignment="1">
      <alignment horizontal="left" vertical="center"/>
    </xf>
    <xf numFmtId="170" fontId="42" fillId="0" borderId="0" xfId="15" applyFont="1"/>
    <xf numFmtId="0" fontId="43" fillId="0" borderId="0" xfId="0" applyFont="1"/>
    <xf numFmtId="0" fontId="87" fillId="0" borderId="0" xfId="0" applyFont="1" applyFill="1" applyAlignment="1">
      <alignment horizontal="center"/>
    </xf>
    <xf numFmtId="0" fontId="82" fillId="17" borderId="1" xfId="0" applyFont="1" applyFill="1" applyBorder="1" applyAlignment="1">
      <alignment horizontal="center" vertical="center"/>
    </xf>
    <xf numFmtId="183" fontId="82" fillId="17" borderId="3" xfId="102" applyNumberFormat="1" applyFont="1" applyFill="1" applyBorder="1" applyAlignment="1">
      <alignment horizontal="left" vertical="center"/>
    </xf>
    <xf numFmtId="0" fontId="82" fillId="17" borderId="1" xfId="155" applyFont="1" applyFill="1" applyBorder="1" applyAlignment="1">
      <alignment horizontal="center" vertical="center" wrapText="1"/>
    </xf>
    <xf numFmtId="0" fontId="86" fillId="0" borderId="1" xfId="141" applyFont="1" applyFill="1" applyBorder="1" applyAlignment="1">
      <alignment vertical="center"/>
    </xf>
    <xf numFmtId="175" fontId="86" fillId="0" borderId="1" xfId="141" applyNumberFormat="1" applyFont="1" applyFill="1" applyBorder="1" applyAlignment="1">
      <alignment vertical="center"/>
    </xf>
    <xf numFmtId="183" fontId="81" fillId="0" borderId="1" xfId="91" applyNumberFormat="1" applyFont="1" applyFill="1" applyBorder="1" applyAlignment="1">
      <alignment vertical="center"/>
    </xf>
    <xf numFmtId="9" fontId="81" fillId="0" borderId="1" xfId="0" applyNumberFormat="1" applyFont="1" applyFill="1" applyBorder="1" applyAlignment="1">
      <alignment vertical="center"/>
    </xf>
    <xf numFmtId="0" fontId="95" fillId="17" borderId="53" xfId="0" applyFont="1" applyFill="1" applyBorder="1" applyAlignment="1">
      <alignment horizontal="left" vertical="center"/>
    </xf>
    <xf numFmtId="175" fontId="84" fillId="17" borderId="1" xfId="0" applyNumberFormat="1" applyFont="1" applyFill="1" applyBorder="1" applyAlignment="1">
      <alignment vertical="center"/>
    </xf>
    <xf numFmtId="9" fontId="84" fillId="17" borderId="1" xfId="0" applyNumberFormat="1" applyFont="1" applyFill="1" applyBorder="1" applyAlignment="1">
      <alignment vertical="center"/>
    </xf>
    <xf numFmtId="0" fontId="84" fillId="23" borderId="0" xfId="0" applyFont="1" applyFill="1" applyBorder="1" applyAlignment="1">
      <alignment horizontal="center"/>
    </xf>
    <xf numFmtId="183" fontId="86" fillId="0" borderId="1" xfId="102" applyNumberFormat="1" applyFont="1" applyFill="1" applyBorder="1" applyAlignment="1">
      <alignment vertical="center" wrapText="1"/>
    </xf>
    <xf numFmtId="183" fontId="86" fillId="0" borderId="1" xfId="102" quotePrefix="1" applyNumberFormat="1" applyFont="1" applyFill="1" applyBorder="1" applyAlignment="1">
      <alignment vertical="center"/>
    </xf>
    <xf numFmtId="0" fontId="84" fillId="0" borderId="0" xfId="0" applyFont="1"/>
    <xf numFmtId="0" fontId="82" fillId="17" borderId="1" xfId="0" applyFont="1" applyFill="1" applyBorder="1" applyAlignment="1">
      <alignment horizontal="center" vertical="center" wrapText="1"/>
    </xf>
    <xf numFmtId="185" fontId="81" fillId="0" borderId="0" xfId="0" applyNumberFormat="1" applyFont="1" applyAlignment="1">
      <alignment horizontal="center"/>
    </xf>
    <xf numFmtId="0" fontId="81" fillId="0" borderId="0" xfId="0" applyFont="1" applyAlignment="1">
      <alignment vertical="center"/>
    </xf>
    <xf numFmtId="0" fontId="86" fillId="23" borderId="1" xfId="0" applyFont="1" applyFill="1" applyBorder="1" applyAlignment="1">
      <alignment horizontal="justify" vertical="center" wrapText="1"/>
    </xf>
    <xf numFmtId="1" fontId="86" fillId="0" borderId="1" xfId="0" applyNumberFormat="1" applyFont="1" applyFill="1" applyBorder="1" applyAlignment="1">
      <alignment horizontal="center" vertical="center"/>
    </xf>
    <xf numFmtId="0" fontId="86" fillId="0" borderId="1" xfId="0" applyFont="1" applyFill="1" applyBorder="1" applyAlignment="1">
      <alignment horizontal="justify" vertical="center" wrapText="1"/>
    </xf>
    <xf numFmtId="2" fontId="86" fillId="0" borderId="1" xfId="0" applyNumberFormat="1" applyFont="1" applyFill="1" applyBorder="1" applyAlignment="1">
      <alignment horizontal="center" vertical="center" wrapText="1"/>
    </xf>
    <xf numFmtId="183" fontId="96" fillId="17" borderId="1" xfId="91" applyNumberFormat="1" applyFont="1" applyFill="1" applyBorder="1" applyAlignment="1">
      <alignment vertical="center"/>
    </xf>
    <xf numFmtId="0" fontId="81" fillId="0" borderId="0" xfId="0" applyFont="1" applyFill="1" applyAlignment="1">
      <alignment vertical="center"/>
    </xf>
    <xf numFmtId="183" fontId="81" fillId="0" borderId="0" xfId="91" applyNumberFormat="1" applyFont="1" applyAlignment="1">
      <alignment vertical="center"/>
    </xf>
    <xf numFmtId="183" fontId="86" fillId="0" borderId="0" xfId="91" applyNumberFormat="1" applyFont="1" applyFill="1" applyAlignment="1">
      <alignment vertical="center"/>
    </xf>
    <xf numFmtId="183" fontId="82" fillId="0" borderId="0" xfId="91" applyNumberFormat="1" applyFont="1" applyFill="1" applyBorder="1" applyAlignment="1">
      <alignment vertical="center"/>
    </xf>
    <xf numFmtId="183" fontId="96" fillId="0" borderId="0" xfId="91" applyNumberFormat="1" applyFont="1" applyFill="1" applyBorder="1" applyAlignment="1">
      <alignment vertical="center"/>
    </xf>
    <xf numFmtId="0" fontId="85" fillId="0" borderId="6" xfId="0" applyFont="1" applyBorder="1" applyAlignment="1">
      <alignment horizontal="center" vertical="center"/>
    </xf>
    <xf numFmtId="0" fontId="85" fillId="0" borderId="0" xfId="0" applyFont="1" applyFill="1" applyBorder="1" applyAlignment="1">
      <alignment horizontal="center" vertical="center"/>
    </xf>
    <xf numFmtId="0" fontId="81" fillId="25" borderId="1" xfId="0" applyFont="1" applyFill="1" applyBorder="1" applyAlignment="1">
      <alignment vertical="center"/>
    </xf>
    <xf numFmtId="0" fontId="81" fillId="0" borderId="0" xfId="0" applyFont="1" applyFill="1" applyBorder="1" applyAlignment="1">
      <alignment vertical="center"/>
    </xf>
    <xf numFmtId="0" fontId="81" fillId="0" borderId="0" xfId="0" applyFont="1" applyFill="1" applyBorder="1"/>
    <xf numFmtId="170" fontId="81" fillId="0" borderId="0" xfId="15" applyFont="1"/>
    <xf numFmtId="173" fontId="86" fillId="0" borderId="1" xfId="15" applyNumberFormat="1" applyFont="1" applyFill="1" applyBorder="1" applyAlignment="1">
      <alignment horizontal="center" vertical="center" wrapText="1"/>
    </xf>
    <xf numFmtId="183" fontId="86" fillId="0" borderId="1" xfId="91" applyNumberFormat="1" applyFont="1" applyFill="1" applyBorder="1" applyAlignment="1">
      <alignment horizontal="center" vertical="center" wrapText="1"/>
    </xf>
    <xf numFmtId="173" fontId="84" fillId="17" borderId="1" xfId="7" applyNumberFormat="1" applyFont="1" applyFill="1" applyBorder="1" applyAlignment="1">
      <alignment vertical="center"/>
    </xf>
    <xf numFmtId="0" fontId="81" fillId="0" borderId="1" xfId="0" applyFont="1" applyBorder="1" applyAlignment="1">
      <alignment horizontal="justify" vertical="center"/>
    </xf>
    <xf numFmtId="0" fontId="81" fillId="0" borderId="1" xfId="0" applyFont="1" applyBorder="1" applyAlignment="1">
      <alignment horizontal="center" vertical="center"/>
    </xf>
    <xf numFmtId="0" fontId="97" fillId="0" borderId="0" xfId="0" applyFont="1" applyFill="1" applyAlignment="1">
      <alignment horizontal="left"/>
    </xf>
    <xf numFmtId="0" fontId="97" fillId="0" borderId="0" xfId="0" applyFont="1" applyFill="1" applyAlignment="1"/>
    <xf numFmtId="3" fontId="97" fillId="0" borderId="0" xfId="0" applyNumberFormat="1" applyFont="1" applyFill="1" applyAlignment="1">
      <alignment horizontal="left"/>
    </xf>
    <xf numFmtId="0" fontId="81" fillId="0" borderId="0" xfId="0" applyFont="1" applyFill="1"/>
    <xf numFmtId="0" fontId="82" fillId="17" borderId="2" xfId="142" applyFont="1" applyFill="1" applyBorder="1" applyAlignment="1">
      <alignment horizontal="center" vertical="center" wrapText="1"/>
    </xf>
    <xf numFmtId="0" fontId="81" fillId="0" borderId="0" xfId="0" applyFont="1" applyAlignment="1">
      <alignment horizontal="left" vertical="top" wrapText="1"/>
    </xf>
    <xf numFmtId="0" fontId="81" fillId="0" borderId="1" xfId="0" applyFont="1" applyFill="1" applyBorder="1" applyAlignment="1">
      <alignment vertical="center" wrapText="1"/>
    </xf>
    <xf numFmtId="173" fontId="86" fillId="0" borderId="1" xfId="15" applyNumberFormat="1" applyFont="1" applyFill="1" applyBorder="1" applyAlignment="1">
      <alignment vertical="center" wrapText="1"/>
    </xf>
    <xf numFmtId="183" fontId="86" fillId="0" borderId="1" xfId="91" applyNumberFormat="1" applyFont="1" applyFill="1" applyBorder="1" applyAlignment="1">
      <alignment vertical="center"/>
    </xf>
    <xf numFmtId="183" fontId="86" fillId="0" borderId="1" xfId="91" quotePrefix="1" applyNumberFormat="1" applyFont="1" applyFill="1" applyBorder="1" applyAlignment="1">
      <alignment vertical="center"/>
    </xf>
    <xf numFmtId="183" fontId="86" fillId="0" borderId="1" xfId="91" applyNumberFormat="1" applyFont="1" applyFill="1" applyBorder="1" applyAlignment="1">
      <alignment vertical="center" wrapText="1"/>
    </xf>
    <xf numFmtId="0" fontId="81" fillId="0" borderId="2" xfId="0" applyFont="1" applyFill="1" applyBorder="1" applyAlignment="1">
      <alignment vertical="center" wrapText="1"/>
    </xf>
    <xf numFmtId="173" fontId="86" fillId="0" borderId="2" xfId="15" applyNumberFormat="1" applyFont="1" applyFill="1" applyBorder="1" applyAlignment="1">
      <alignment vertical="center" wrapText="1"/>
    </xf>
    <xf numFmtId="183" fontId="86" fillId="0" borderId="2" xfId="91" applyNumberFormat="1" applyFont="1" applyFill="1" applyBorder="1" applyAlignment="1">
      <alignment vertical="center" wrapText="1"/>
    </xf>
    <xf numFmtId="183" fontId="86" fillId="0" borderId="2" xfId="91" quotePrefix="1" applyNumberFormat="1" applyFont="1" applyFill="1" applyBorder="1" applyAlignment="1">
      <alignment vertical="center"/>
    </xf>
    <xf numFmtId="183" fontId="86" fillId="0" borderId="2" xfId="91" applyNumberFormat="1" applyFont="1" applyFill="1" applyBorder="1" applyAlignment="1">
      <alignment vertical="center"/>
    </xf>
    <xf numFmtId="174" fontId="86" fillId="0" borderId="1" xfId="142" applyNumberFormat="1" applyFont="1" applyFill="1" applyBorder="1"/>
    <xf numFmtId="0" fontId="98" fillId="0" borderId="1" xfId="0" applyFont="1" applyFill="1" applyBorder="1" applyAlignment="1">
      <alignment vertical="center"/>
    </xf>
    <xf numFmtId="183" fontId="81" fillId="0" borderId="1" xfId="91" applyNumberFormat="1" applyFont="1" applyFill="1" applyBorder="1" applyAlignment="1">
      <alignment vertical="center" wrapText="1"/>
    </xf>
    <xf numFmtId="0" fontId="81" fillId="0" borderId="51" xfId="0" applyFont="1" applyFill="1" applyBorder="1" applyAlignment="1">
      <alignment vertical="center" wrapText="1"/>
    </xf>
    <xf numFmtId="173" fontId="86" fillId="0" borderId="0" xfId="15" applyNumberFormat="1" applyFont="1" applyFill="1" applyBorder="1" applyAlignment="1">
      <alignment vertical="center" wrapText="1"/>
    </xf>
    <xf numFmtId="173" fontId="86" fillId="0" borderId="0" xfId="15" applyNumberFormat="1" applyFont="1" applyFill="1" applyBorder="1" applyAlignment="1">
      <alignment horizontal="center" vertical="center" wrapText="1"/>
    </xf>
    <xf numFmtId="10" fontId="86" fillId="0" borderId="0" xfId="141" applyNumberFormat="1" applyFont="1" applyFill="1" applyBorder="1" applyAlignment="1">
      <alignment horizontal="left" vertical="top" wrapText="1"/>
    </xf>
    <xf numFmtId="3" fontId="86" fillId="0" borderId="0" xfId="0" quotePrefix="1" applyNumberFormat="1" applyFont="1" applyFill="1" applyBorder="1" applyAlignment="1">
      <alignment horizontal="center" vertical="center"/>
    </xf>
    <xf numFmtId="3" fontId="86" fillId="0" borderId="0" xfId="0" applyNumberFormat="1" applyFont="1" applyFill="1" applyBorder="1" applyAlignment="1">
      <alignment horizontal="center" vertical="center"/>
    </xf>
    <xf numFmtId="3" fontId="81" fillId="0" borderId="0" xfId="15" applyNumberFormat="1" applyFont="1" applyFill="1" applyBorder="1" applyAlignment="1">
      <alignment horizontal="right" vertical="center"/>
    </xf>
    <xf numFmtId="0" fontId="82" fillId="0" borderId="51" xfId="176" applyFont="1" applyFill="1" applyBorder="1" applyAlignment="1">
      <alignment vertical="center" wrapText="1"/>
    </xf>
    <xf numFmtId="0" fontId="81" fillId="0" borderId="0" xfId="0" applyFont="1" applyBorder="1" applyAlignment="1"/>
    <xf numFmtId="173" fontId="81" fillId="0" borderId="0" xfId="0" applyNumberFormat="1" applyFont="1"/>
    <xf numFmtId="0" fontId="82" fillId="17" borderId="6" xfId="0" applyFont="1" applyFill="1" applyBorder="1" applyAlignment="1">
      <alignment vertical="center"/>
    </xf>
    <xf numFmtId="0" fontId="82" fillId="17" borderId="7" xfId="0" applyFont="1" applyFill="1" applyBorder="1" applyAlignment="1">
      <alignment vertical="center"/>
    </xf>
    <xf numFmtId="0" fontId="81" fillId="0" borderId="0" xfId="0" applyFont="1" applyFill="1" applyAlignment="1"/>
    <xf numFmtId="0" fontId="99" fillId="0" borderId="0" xfId="0" applyFont="1" applyFill="1" applyAlignment="1">
      <alignment horizontal="center"/>
    </xf>
    <xf numFmtId="191" fontId="100" fillId="0" borderId="0" xfId="0" applyNumberFormat="1" applyFont="1" applyFill="1" applyBorder="1" applyAlignment="1">
      <alignment horizontal="right"/>
    </xf>
    <xf numFmtId="14" fontId="85" fillId="0" borderId="74" xfId="186" applyNumberFormat="1" applyFont="1" applyAlignment="1"/>
    <xf numFmtId="0" fontId="81" fillId="0" borderId="0" xfId="0" applyFont="1" applyAlignment="1"/>
    <xf numFmtId="173" fontId="86" fillId="0" borderId="3" xfId="15" applyNumberFormat="1" applyFont="1" applyFill="1" applyBorder="1" applyAlignment="1">
      <alignment vertical="center" wrapText="1"/>
    </xf>
    <xf numFmtId="0" fontId="101" fillId="0" borderId="1" xfId="0" applyFont="1" applyBorder="1" applyAlignment="1">
      <alignment vertical="center" wrapText="1"/>
    </xf>
    <xf numFmtId="0" fontId="81" fillId="0" borderId="1" xfId="0" applyFont="1" applyBorder="1" applyAlignment="1">
      <alignment horizontal="center" vertical="center" wrapText="1"/>
    </xf>
    <xf numFmtId="0" fontId="98" fillId="0" borderId="1" xfId="0" applyFont="1" applyBorder="1" applyAlignment="1">
      <alignment horizontal="justify" vertical="center" wrapText="1"/>
    </xf>
    <xf numFmtId="183" fontId="81" fillId="0" borderId="1" xfId="91" applyNumberFormat="1" applyFont="1" applyBorder="1" applyAlignment="1">
      <alignment horizontal="center" vertical="center" wrapText="1"/>
    </xf>
    <xf numFmtId="0" fontId="81" fillId="0" borderId="6" xfId="0" applyFont="1" applyBorder="1" applyAlignment="1">
      <alignment horizontal="left" vertical="center" wrapText="1"/>
    </xf>
    <xf numFmtId="183" fontId="81" fillId="0" borderId="7" xfId="91" applyNumberFormat="1" applyFont="1" applyBorder="1" applyAlignment="1">
      <alignment horizontal="center" vertical="center" wrapText="1"/>
    </xf>
    <xf numFmtId="183" fontId="81" fillId="0" borderId="7" xfId="91" applyNumberFormat="1" applyFont="1" applyBorder="1" applyAlignment="1">
      <alignment horizontal="center" vertical="center"/>
    </xf>
    <xf numFmtId="173" fontId="81" fillId="0" borderId="1" xfId="7" applyNumberFormat="1" applyFont="1" applyBorder="1" applyAlignment="1">
      <alignment horizontal="center" vertical="center"/>
    </xf>
    <xf numFmtId="183" fontId="98" fillId="0" borderId="1" xfId="91" applyNumberFormat="1" applyFont="1" applyBorder="1" applyAlignment="1">
      <alignment horizontal="center" vertical="center"/>
    </xf>
    <xf numFmtId="0" fontId="42" fillId="0" borderId="0" xfId="148" applyFont="1" applyBorder="1" applyAlignment="1">
      <alignment horizontal="left"/>
    </xf>
    <xf numFmtId="3" fontId="101" fillId="0" borderId="1" xfId="0" applyNumberFormat="1" applyFont="1" applyFill="1" applyBorder="1" applyAlignment="1">
      <alignment horizontal="right" vertical="center" wrapText="1"/>
    </xf>
    <xf numFmtId="200" fontId="81" fillId="0" borderId="1" xfId="0" applyNumberFormat="1" applyFont="1" applyFill="1" applyBorder="1" applyAlignment="1">
      <alignment vertical="center"/>
    </xf>
    <xf numFmtId="200" fontId="84" fillId="17" borderId="1" xfId="177" applyNumberFormat="1" applyFont="1" applyFill="1" applyBorder="1" applyAlignment="1">
      <alignment vertical="center"/>
    </xf>
    <xf numFmtId="173" fontId="81" fillId="0" borderId="0" xfId="7" applyNumberFormat="1" applyFont="1"/>
    <xf numFmtId="175" fontId="0" fillId="0" borderId="0" xfId="0" applyNumberFormat="1" applyFont="1"/>
    <xf numFmtId="183" fontId="0" fillId="0" borderId="0" xfId="0" applyNumberFormat="1" applyFont="1" applyFill="1"/>
    <xf numFmtId="183" fontId="88" fillId="25" borderId="54" xfId="91" applyNumberFormat="1" applyFont="1" applyFill="1" applyBorder="1" applyAlignment="1">
      <alignment vertical="center"/>
    </xf>
    <xf numFmtId="0" fontId="46" fillId="0" borderId="0" xfId="0" applyFont="1" applyAlignment="1">
      <alignment wrapText="1"/>
    </xf>
    <xf numFmtId="0" fontId="87" fillId="0" borderId="0" xfId="0" applyFont="1" applyBorder="1" applyAlignment="1">
      <alignment horizontal="center" vertical="justify" wrapText="1"/>
    </xf>
    <xf numFmtId="0" fontId="101" fillId="23" borderId="0" xfId="0" applyFont="1" applyFill="1" applyBorder="1" applyAlignment="1">
      <alignment vertical="center" wrapText="1"/>
    </xf>
    <xf numFmtId="0" fontId="87" fillId="0" borderId="0" xfId="0" applyFont="1" applyBorder="1" applyAlignment="1">
      <alignment vertical="center" wrapText="1"/>
    </xf>
    <xf numFmtId="0" fontId="46" fillId="0" borderId="0" xfId="0" applyFont="1" applyBorder="1" applyAlignment="1">
      <alignment wrapText="1"/>
    </xf>
    <xf numFmtId="0" fontId="90" fillId="0" borderId="1" xfId="0" applyFont="1" applyBorder="1" applyAlignment="1">
      <alignment horizontal="justify" vertical="center"/>
    </xf>
    <xf numFmtId="0" fontId="42" fillId="0" borderId="0" xfId="138" applyFont="1"/>
    <xf numFmtId="0" fontId="92" fillId="0" borderId="1" xfId="138" applyFont="1" applyBorder="1" applyAlignment="1">
      <alignment horizontal="center" vertical="center"/>
    </xf>
    <xf numFmtId="0" fontId="102" fillId="0" borderId="1" xfId="138" applyFont="1" applyBorder="1" applyAlignment="1">
      <alignment horizontal="justify" vertical="center" wrapText="1"/>
    </xf>
    <xf numFmtId="183" fontId="86" fillId="0" borderId="1" xfId="104" applyNumberFormat="1" applyFont="1" applyBorder="1" applyAlignment="1">
      <alignment vertical="center"/>
    </xf>
    <xf numFmtId="0" fontId="49" fillId="16" borderId="6" xfId="138" applyFont="1" applyFill="1" applyBorder="1" applyAlignment="1">
      <alignment vertical="center"/>
    </xf>
    <xf numFmtId="0" fontId="42" fillId="16" borderId="7" xfId="138" applyFont="1" applyFill="1" applyBorder="1"/>
    <xf numFmtId="0" fontId="42" fillId="16" borderId="3" xfId="138" applyFont="1" applyFill="1" applyBorder="1"/>
    <xf numFmtId="183" fontId="42" fillId="16" borderId="1" xfId="138" applyNumberFormat="1" applyFont="1" applyFill="1" applyBorder="1" applyAlignment="1">
      <alignment vertical="center"/>
    </xf>
    <xf numFmtId="173" fontId="42" fillId="16" borderId="1" xfId="15" applyNumberFormat="1" applyFont="1" applyFill="1" applyBorder="1" applyAlignment="1">
      <alignment vertical="center"/>
    </xf>
    <xf numFmtId="0" fontId="103" fillId="0" borderId="0" xfId="0" applyFont="1" applyAlignment="1">
      <alignment vertical="center"/>
    </xf>
    <xf numFmtId="0" fontId="82" fillId="17" borderId="6" xfId="131" applyFont="1" applyFill="1" applyBorder="1" applyAlignment="1">
      <alignment horizontal="center" vertical="center" wrapText="1"/>
    </xf>
    <xf numFmtId="0" fontId="0" fillId="0" borderId="0" xfId="0" applyAlignment="1">
      <alignment vertical="center"/>
    </xf>
    <xf numFmtId="183" fontId="49" fillId="16" borderId="1" xfId="91" applyNumberFormat="1" applyFont="1" applyFill="1" applyBorder="1" applyAlignment="1">
      <alignment vertical="center"/>
    </xf>
    <xf numFmtId="2" fontId="81" fillId="0" borderId="0" xfId="131" applyNumberFormat="1" applyFont="1" applyAlignment="1">
      <alignment horizontal="center" vertical="center"/>
    </xf>
    <xf numFmtId="0" fontId="81" fillId="0" borderId="39" xfId="131" applyFont="1" applyFill="1" applyBorder="1" applyAlignment="1">
      <alignment horizontal="center" vertical="center" wrapText="1"/>
    </xf>
    <xf numFmtId="173" fontId="86" fillId="0" borderId="39" xfId="15" applyNumberFormat="1" applyFont="1" applyFill="1" applyBorder="1" applyAlignment="1">
      <alignment vertical="center" wrapText="1"/>
    </xf>
    <xf numFmtId="183" fontId="86" fillId="0" borderId="39" xfId="102" quotePrefix="1" applyNumberFormat="1" applyFont="1" applyFill="1" applyBorder="1" applyAlignment="1">
      <alignment horizontal="center" vertical="center"/>
    </xf>
    <xf numFmtId="173" fontId="81" fillId="0" borderId="0" xfId="131" applyNumberFormat="1" applyFont="1" applyAlignment="1">
      <alignment vertical="center"/>
    </xf>
    <xf numFmtId="0" fontId="81" fillId="0" borderId="2" xfId="131" applyFont="1" applyFill="1" applyBorder="1" applyAlignment="1">
      <alignment horizontal="center" vertical="center" wrapText="1"/>
    </xf>
    <xf numFmtId="183" fontId="81" fillId="0" borderId="1" xfId="102" applyNumberFormat="1" applyFont="1" applyFill="1" applyBorder="1" applyAlignment="1">
      <alignment vertical="center" wrapText="1"/>
    </xf>
    <xf numFmtId="0" fontId="81" fillId="0" borderId="2" xfId="131" applyFont="1" applyFill="1" applyBorder="1" applyAlignment="1">
      <alignment vertical="center" wrapText="1"/>
    </xf>
    <xf numFmtId="183" fontId="81" fillId="0" borderId="2" xfId="102" applyNumberFormat="1" applyFont="1" applyFill="1" applyBorder="1" applyAlignment="1">
      <alignment vertical="center" wrapText="1"/>
    </xf>
    <xf numFmtId="0" fontId="81" fillId="0" borderId="1" xfId="0" applyFont="1" applyBorder="1" applyAlignment="1">
      <alignment horizontal="justify" vertical="center" wrapText="1"/>
    </xf>
    <xf numFmtId="173" fontId="81" fillId="0" borderId="1" xfId="19" applyNumberFormat="1" applyFont="1" applyBorder="1" applyAlignment="1">
      <alignment horizontal="right" vertical="center" wrapText="1"/>
    </xf>
    <xf numFmtId="173" fontId="81" fillId="0" borderId="1" xfId="91" applyNumberFormat="1" applyFont="1" applyBorder="1" applyAlignment="1">
      <alignment vertical="center"/>
    </xf>
    <xf numFmtId="183" fontId="81" fillId="0" borderId="0" xfId="102" applyNumberFormat="1" applyFont="1" applyBorder="1" applyAlignment="1">
      <alignment horizontal="center" vertical="center" wrapText="1"/>
    </xf>
    <xf numFmtId="0" fontId="82" fillId="17" borderId="2" xfId="144" applyFont="1" applyFill="1" applyBorder="1" applyAlignment="1">
      <alignment horizontal="center" vertical="center" wrapText="1"/>
    </xf>
    <xf numFmtId="174" fontId="42" fillId="0" borderId="1" xfId="138" applyNumberFormat="1" applyBorder="1" applyAlignment="1">
      <alignment vertical="center"/>
    </xf>
    <xf numFmtId="183" fontId="81" fillId="0" borderId="1" xfId="104" applyNumberFormat="1" applyFont="1" applyFill="1" applyBorder="1" applyAlignment="1">
      <alignment vertical="center"/>
    </xf>
    <xf numFmtId="0" fontId="33" fillId="0" borderId="1" xfId="138" applyFont="1" applyFill="1" applyBorder="1" applyAlignment="1">
      <alignment vertical="center"/>
    </xf>
    <xf numFmtId="173" fontId="86" fillId="0" borderId="1" xfId="25" applyNumberFormat="1" applyFont="1" applyFill="1" applyBorder="1" applyAlignment="1">
      <alignment vertical="center" wrapText="1"/>
    </xf>
    <xf numFmtId="0" fontId="33" fillId="0" borderId="1" xfId="138" applyFont="1" applyFill="1" applyBorder="1" applyAlignment="1">
      <alignment vertical="center" wrapText="1"/>
    </xf>
    <xf numFmtId="0" fontId="104" fillId="17" borderId="1" xfId="144" applyFont="1" applyFill="1" applyBorder="1" applyAlignment="1">
      <alignment horizontal="center" vertical="center" wrapText="1"/>
    </xf>
    <xf numFmtId="0" fontId="101" fillId="0" borderId="0" xfId="0" applyFont="1" applyAlignment="1">
      <alignment vertical="center" wrapText="1"/>
    </xf>
    <xf numFmtId="0" fontId="98" fillId="0" borderId="6" xfId="0" applyFont="1" applyBorder="1" applyAlignment="1">
      <alignment horizontal="justify" vertical="center" wrapText="1"/>
    </xf>
    <xf numFmtId="185" fontId="81" fillId="0" borderId="1" xfId="0" applyNumberFormat="1" applyFont="1" applyBorder="1" applyAlignment="1">
      <alignment horizontal="center" vertical="center" wrapText="1"/>
    </xf>
    <xf numFmtId="2" fontId="81" fillId="0" borderId="0" xfId="0" applyNumberFormat="1" applyFont="1"/>
    <xf numFmtId="0" fontId="94" fillId="0" borderId="0" xfId="0" applyFont="1" applyAlignment="1">
      <alignment vertical="center"/>
    </xf>
    <xf numFmtId="0" fontId="94" fillId="0" borderId="1" xfId="0" applyFont="1" applyBorder="1" applyAlignment="1">
      <alignment vertical="center"/>
    </xf>
    <xf numFmtId="0" fontId="94" fillId="0" borderId="1" xfId="0" applyFont="1" applyBorder="1" applyAlignment="1">
      <alignment horizontal="center" vertical="center"/>
    </xf>
    <xf numFmtId="0" fontId="94" fillId="0" borderId="1" xfId="0" applyFont="1" applyBorder="1" applyAlignment="1">
      <alignment horizontal="center"/>
    </xf>
    <xf numFmtId="183" fontId="94" fillId="0" borderId="1" xfId="91" applyNumberFormat="1" applyFont="1" applyBorder="1" applyAlignment="1">
      <alignment vertical="center"/>
    </xf>
    <xf numFmtId="10" fontId="94" fillId="0" borderId="1" xfId="177" applyNumberFormat="1" applyFont="1" applyBorder="1" applyAlignment="1">
      <alignment vertical="center"/>
    </xf>
    <xf numFmtId="10" fontId="94" fillId="0" borderId="0" xfId="177" applyNumberFormat="1" applyFont="1" applyAlignment="1">
      <alignment vertical="center"/>
    </xf>
    <xf numFmtId="10" fontId="94" fillId="0" borderId="0" xfId="0" applyNumberFormat="1" applyFont="1"/>
    <xf numFmtId="169" fontId="94" fillId="0" borderId="0" xfId="91" applyFont="1" applyAlignment="1">
      <alignment vertical="center"/>
    </xf>
    <xf numFmtId="169" fontId="94" fillId="0" borderId="0" xfId="0" applyNumberFormat="1" applyFont="1" applyAlignment="1">
      <alignment vertical="center"/>
    </xf>
    <xf numFmtId="169" fontId="94" fillId="0" borderId="0" xfId="91" applyFont="1"/>
    <xf numFmtId="183" fontId="94" fillId="0" borderId="0" xfId="0" applyNumberFormat="1" applyFont="1"/>
    <xf numFmtId="0" fontId="82" fillId="17" borderId="1" xfId="0" applyFont="1" applyFill="1" applyBorder="1" applyAlignment="1">
      <alignment vertical="center"/>
    </xf>
    <xf numFmtId="183" fontId="94" fillId="0" borderId="1" xfId="0" applyNumberFormat="1" applyFont="1" applyBorder="1" applyAlignment="1">
      <alignment vertical="center"/>
    </xf>
    <xf numFmtId="0" fontId="87" fillId="26" borderId="1" xfId="0" applyFont="1" applyFill="1" applyBorder="1" applyAlignment="1">
      <alignment vertical="center"/>
    </xf>
    <xf numFmtId="183" fontId="94" fillId="26" borderId="1" xfId="0" applyNumberFormat="1" applyFont="1" applyFill="1" applyBorder="1" applyAlignment="1">
      <alignment vertical="center"/>
    </xf>
    <xf numFmtId="0" fontId="94" fillId="17" borderId="1" xfId="0" applyFont="1" applyFill="1" applyBorder="1" applyAlignment="1">
      <alignment vertical="center"/>
    </xf>
    <xf numFmtId="183" fontId="94" fillId="17" borderId="1" xfId="0" applyNumberFormat="1" applyFont="1" applyFill="1" applyBorder="1" applyAlignment="1">
      <alignment vertical="center"/>
    </xf>
    <xf numFmtId="0" fontId="94" fillId="27" borderId="1" xfId="0" applyFont="1" applyFill="1" applyBorder="1" applyAlignment="1">
      <alignment vertical="center"/>
    </xf>
    <xf numFmtId="10" fontId="87" fillId="27" borderId="1" xfId="177" applyNumberFormat="1" applyFont="1" applyFill="1" applyBorder="1" applyAlignment="1">
      <alignment vertical="center"/>
    </xf>
    <xf numFmtId="0" fontId="87" fillId="28" borderId="1" xfId="0" applyFont="1" applyFill="1" applyBorder="1" applyAlignment="1">
      <alignment horizontal="center" vertical="center" wrapText="1"/>
    </xf>
    <xf numFmtId="170" fontId="94" fillId="0" borderId="0" xfId="15" applyFont="1"/>
    <xf numFmtId="183" fontId="94" fillId="0" borderId="0" xfId="0" applyNumberFormat="1" applyFont="1" applyAlignment="1">
      <alignment vertical="center"/>
    </xf>
    <xf numFmtId="173" fontId="94" fillId="0" borderId="1" xfId="15" applyNumberFormat="1" applyFont="1" applyBorder="1" applyAlignment="1">
      <alignment horizontal="center" vertical="center"/>
    </xf>
    <xf numFmtId="173" fontId="94" fillId="0" borderId="0" xfId="15" applyNumberFormat="1" applyFont="1" applyFill="1" applyAlignment="1">
      <alignment vertical="center"/>
    </xf>
    <xf numFmtId="173" fontId="94" fillId="0" borderId="0" xfId="15" applyNumberFormat="1" applyFont="1" applyBorder="1" applyAlignment="1">
      <alignment horizontal="center" vertical="center"/>
    </xf>
    <xf numFmtId="183" fontId="94" fillId="0" borderId="0" xfId="91" applyNumberFormat="1" applyFont="1" applyBorder="1" applyAlignment="1">
      <alignment vertical="center"/>
    </xf>
    <xf numFmtId="0" fontId="87" fillId="0" borderId="1" xfId="0" applyFont="1" applyBorder="1" applyAlignment="1">
      <alignment horizontal="center" vertical="center"/>
    </xf>
    <xf numFmtId="10" fontId="87" fillId="0" borderId="1" xfId="177" applyNumberFormat="1" applyFont="1" applyBorder="1" applyAlignment="1">
      <alignment horizontal="center" vertical="center"/>
    </xf>
    <xf numFmtId="0" fontId="82" fillId="0" borderId="0" xfId="0" applyFont="1" applyFill="1" applyBorder="1" applyAlignment="1">
      <alignment horizontal="center" vertical="center" wrapText="1"/>
    </xf>
    <xf numFmtId="0" fontId="94" fillId="0" borderId="0" xfId="0" applyFont="1" applyFill="1" applyBorder="1"/>
    <xf numFmtId="183" fontId="94" fillId="0" borderId="0" xfId="0" applyNumberFormat="1" applyFont="1" applyFill="1" applyBorder="1" applyAlignment="1">
      <alignment vertical="center"/>
    </xf>
    <xf numFmtId="10" fontId="94" fillId="0" borderId="0" xfId="177" applyNumberFormat="1" applyFont="1"/>
    <xf numFmtId="170" fontId="81" fillId="0" borderId="0" xfId="7" applyFont="1"/>
    <xf numFmtId="173" fontId="42" fillId="0" borderId="0" xfId="138" applyNumberFormat="1" applyFont="1"/>
    <xf numFmtId="173" fontId="94" fillId="0" borderId="1" xfId="7" applyNumberFormat="1" applyFont="1" applyBorder="1" applyAlignment="1">
      <alignment vertical="center"/>
    </xf>
    <xf numFmtId="173" fontId="94" fillId="0" borderId="0" xfId="0" applyNumberFormat="1" applyFont="1"/>
    <xf numFmtId="9" fontId="94" fillId="0" borderId="0" xfId="177" applyNumberFormat="1" applyFont="1" applyAlignment="1">
      <alignment vertical="center"/>
    </xf>
    <xf numFmtId="183" fontId="42" fillId="0" borderId="0" xfId="138" applyNumberFormat="1" applyFont="1"/>
    <xf numFmtId="170" fontId="42" fillId="0" borderId="0" xfId="7" applyFont="1"/>
    <xf numFmtId="173" fontId="94" fillId="0" borderId="0" xfId="7" applyNumberFormat="1" applyFont="1"/>
    <xf numFmtId="173" fontId="86" fillId="0" borderId="1" xfId="7" applyNumberFormat="1" applyFont="1" applyFill="1" applyBorder="1" applyAlignment="1">
      <alignment horizontal="center" vertical="center" wrapText="1"/>
    </xf>
    <xf numFmtId="194" fontId="94" fillId="0" borderId="1" xfId="91" applyNumberFormat="1" applyFont="1" applyBorder="1" applyAlignment="1">
      <alignment vertical="center"/>
    </xf>
    <xf numFmtId="183" fontId="81" fillId="0" borderId="39" xfId="102" applyNumberFormat="1" applyFont="1" applyFill="1" applyBorder="1" applyAlignment="1">
      <alignment horizontal="center" vertical="center" wrapText="1"/>
    </xf>
    <xf numFmtId="0" fontId="103" fillId="0" borderId="1" xfId="0" applyFont="1" applyBorder="1" applyAlignment="1">
      <alignment horizontal="center" vertical="center" wrapText="1"/>
    </xf>
    <xf numFmtId="169" fontId="42" fillId="0" borderId="0" xfId="91" applyFont="1"/>
    <xf numFmtId="0" fontId="82" fillId="25" borderId="2" xfId="144" applyFont="1" applyFill="1" applyBorder="1" applyAlignment="1">
      <alignment horizontal="center" vertical="center" wrapText="1"/>
    </xf>
    <xf numFmtId="0" fontId="82" fillId="17" borderId="1" xfId="0" applyFont="1" applyFill="1" applyBorder="1" applyAlignment="1">
      <alignment horizontal="center" vertical="center" wrapText="1"/>
    </xf>
    <xf numFmtId="0" fontId="82" fillId="17" borderId="1" xfId="0" applyFont="1" applyFill="1" applyBorder="1" applyAlignment="1">
      <alignment horizontal="center" vertical="center"/>
    </xf>
    <xf numFmtId="0" fontId="105" fillId="29" borderId="2" xfId="138" applyFont="1" applyFill="1" applyBorder="1" applyAlignment="1">
      <alignment vertical="center" wrapText="1"/>
    </xf>
    <xf numFmtId="0" fontId="98" fillId="0" borderId="1" xfId="138" applyFont="1" applyBorder="1" applyAlignment="1">
      <alignment horizontal="center" vertical="center"/>
    </xf>
    <xf numFmtId="0" fontId="81" fillId="0" borderId="1" xfId="138" applyFont="1" applyBorder="1" applyAlignment="1">
      <alignment horizontal="center" vertical="center"/>
    </xf>
    <xf numFmtId="0" fontId="105" fillId="30" borderId="2" xfId="138" applyFont="1" applyFill="1" applyBorder="1" applyAlignment="1">
      <alignment horizontal="center" vertical="center" wrapText="1"/>
    </xf>
    <xf numFmtId="183" fontId="86" fillId="0" borderId="0" xfId="104" applyNumberFormat="1" applyFont="1" applyBorder="1" applyAlignment="1">
      <alignment vertical="center"/>
    </xf>
    <xf numFmtId="173" fontId="86" fillId="0" borderId="1" xfId="7" applyNumberFormat="1" applyFont="1" applyBorder="1" applyAlignment="1">
      <alignment vertical="center"/>
    </xf>
    <xf numFmtId="1" fontId="94" fillId="0" borderId="0" xfId="0" applyNumberFormat="1" applyFont="1"/>
    <xf numFmtId="10" fontId="81" fillId="0" borderId="0" xfId="177" applyNumberFormat="1" applyFont="1"/>
    <xf numFmtId="10" fontId="81" fillId="0" borderId="0" xfId="131" applyNumberFormat="1" applyFont="1"/>
    <xf numFmtId="173" fontId="86" fillId="0" borderId="0" xfId="7" applyNumberFormat="1" applyFont="1" applyBorder="1" applyAlignment="1">
      <alignment vertical="center"/>
    </xf>
    <xf numFmtId="0" fontId="105" fillId="30" borderId="1" xfId="138" applyFont="1" applyFill="1" applyBorder="1" applyAlignment="1">
      <alignment horizontal="center" vertical="center" wrapText="1"/>
    </xf>
    <xf numFmtId="0" fontId="105" fillId="30" borderId="0" xfId="138" applyFont="1" applyFill="1" applyBorder="1" applyAlignment="1">
      <alignment horizontal="center" vertical="center" wrapText="1"/>
    </xf>
    <xf numFmtId="0" fontId="105" fillId="30" borderId="6" xfId="138" applyFont="1" applyFill="1" applyBorder="1" applyAlignment="1">
      <alignment horizontal="center" vertical="center" wrapText="1"/>
    </xf>
    <xf numFmtId="0" fontId="42" fillId="16" borderId="3" xfId="138" applyFont="1" applyFill="1" applyBorder="1" applyAlignment="1">
      <alignment horizontal="left" vertical="center"/>
    </xf>
    <xf numFmtId="0" fontId="49" fillId="16" borderId="3" xfId="138" applyFont="1" applyFill="1" applyBorder="1" applyAlignment="1">
      <alignment horizontal="left" vertical="center"/>
    </xf>
    <xf numFmtId="0" fontId="105" fillId="24" borderId="39" xfId="138" applyFont="1" applyFill="1" applyBorder="1" applyAlignment="1">
      <alignment vertical="center" wrapText="1"/>
    </xf>
    <xf numFmtId="0" fontId="90" fillId="24" borderId="1" xfId="0" applyFont="1" applyFill="1" applyBorder="1" applyAlignment="1">
      <alignment horizontal="justify" vertical="center"/>
    </xf>
    <xf numFmtId="0" fontId="102" fillId="24" borderId="1" xfId="138" applyFont="1" applyFill="1" applyBorder="1" applyAlignment="1">
      <alignment horizontal="justify" vertical="center" wrapText="1"/>
    </xf>
    <xf numFmtId="0" fontId="105" fillId="24" borderId="39" xfId="138" applyFont="1" applyFill="1" applyBorder="1" applyAlignment="1">
      <alignment horizontal="left" vertical="center" wrapText="1"/>
    </xf>
    <xf numFmtId="0" fontId="105" fillId="24" borderId="1" xfId="138" applyFont="1" applyFill="1" applyBorder="1" applyAlignment="1">
      <alignment horizontal="left" wrapText="1"/>
    </xf>
    <xf numFmtId="0" fontId="105" fillId="24" borderId="2" xfId="138" applyFont="1" applyFill="1" applyBorder="1" applyAlignment="1">
      <alignment horizontal="left" vertical="center" wrapText="1"/>
    </xf>
    <xf numFmtId="0" fontId="105" fillId="24" borderId="1" xfId="138" applyFont="1" applyFill="1" applyBorder="1" applyAlignment="1">
      <alignment horizontal="justify" wrapText="1"/>
    </xf>
    <xf numFmtId="0" fontId="102" fillId="24" borderId="1" xfId="138" applyFont="1" applyFill="1" applyBorder="1" applyAlignment="1">
      <alignment vertical="center" wrapText="1"/>
    </xf>
    <xf numFmtId="183" fontId="86" fillId="0" borderId="2" xfId="91" applyNumberFormat="1" applyFont="1" applyFill="1" applyBorder="1" applyAlignment="1">
      <alignment horizontal="center" vertical="center"/>
    </xf>
    <xf numFmtId="183" fontId="86" fillId="0" borderId="39" xfId="91" applyNumberFormat="1" applyFont="1" applyFill="1" applyBorder="1" applyAlignment="1">
      <alignment horizontal="center" vertical="center"/>
    </xf>
    <xf numFmtId="0" fontId="81" fillId="0" borderId="39" xfId="131" applyFont="1" applyFill="1" applyBorder="1" applyAlignment="1">
      <alignment horizontal="center" vertical="center" wrapText="1"/>
    </xf>
    <xf numFmtId="183" fontId="81" fillId="0" borderId="39" xfId="102" applyNumberFormat="1" applyFont="1" applyFill="1" applyBorder="1" applyAlignment="1">
      <alignment horizontal="center" vertical="center" wrapText="1"/>
    </xf>
    <xf numFmtId="174" fontId="42" fillId="0" borderId="1" xfId="138" applyNumberFormat="1" applyFill="1" applyBorder="1" applyAlignment="1">
      <alignment vertical="center"/>
    </xf>
    <xf numFmtId="0" fontId="104" fillId="0" borderId="2" xfId="144" applyFont="1" applyFill="1" applyBorder="1" applyAlignment="1">
      <alignment horizontal="center" vertical="center" wrapText="1"/>
    </xf>
    <xf numFmtId="174" fontId="42" fillId="0" borderId="39" xfId="138" applyNumberFormat="1" applyFill="1" applyBorder="1" applyAlignment="1">
      <alignment vertical="center"/>
    </xf>
    <xf numFmtId="183" fontId="81" fillId="0" borderId="1" xfId="102" applyNumberFormat="1" applyFont="1" applyFill="1" applyBorder="1" applyAlignment="1">
      <alignment horizontal="center" vertical="center" wrapText="1"/>
    </xf>
    <xf numFmtId="183" fontId="81" fillId="0" borderId="46" xfId="102" applyNumberFormat="1" applyFont="1" applyFill="1" applyBorder="1" applyAlignment="1">
      <alignment horizontal="center" vertical="center" wrapText="1"/>
    </xf>
    <xf numFmtId="183" fontId="86" fillId="0" borderId="39" xfId="102" quotePrefix="1" applyNumberFormat="1" applyFont="1" applyFill="1" applyBorder="1" applyAlignment="1">
      <alignment horizontal="center" vertical="center"/>
    </xf>
    <xf numFmtId="183" fontId="81" fillId="25" borderId="1" xfId="91" applyNumberFormat="1" applyFont="1" applyFill="1" applyBorder="1" applyAlignment="1">
      <alignment vertical="center"/>
    </xf>
    <xf numFmtId="3" fontId="94" fillId="0" borderId="0" xfId="0" applyNumberFormat="1" applyFont="1"/>
    <xf numFmtId="9" fontId="94" fillId="0" borderId="0" xfId="177" applyFont="1"/>
    <xf numFmtId="0" fontId="94" fillId="25" borderId="0" xfId="0" applyFont="1" applyFill="1"/>
    <xf numFmtId="173" fontId="81" fillId="0" borderId="0" xfId="7" applyNumberFormat="1" applyFont="1" applyAlignment="1">
      <alignment vertical="center"/>
    </xf>
    <xf numFmtId="202" fontId="42" fillId="0" borderId="0" xfId="7" applyNumberFormat="1" applyFont="1" applyFill="1"/>
    <xf numFmtId="170" fontId="42" fillId="0" borderId="0" xfId="7" applyFont="1"/>
    <xf numFmtId="3" fontId="81" fillId="0" borderId="0" xfId="0" applyNumberFormat="1" applyFont="1" applyAlignment="1">
      <alignment vertical="center"/>
    </xf>
    <xf numFmtId="0" fontId="87" fillId="0" borderId="0" xfId="0" applyFont="1" applyAlignment="1">
      <alignment horizontal="center" vertical="justify" wrapText="1"/>
    </xf>
    <xf numFmtId="183" fontId="99" fillId="0" borderId="0" xfId="0" applyNumberFormat="1" applyFont="1"/>
    <xf numFmtId="0" fontId="82" fillId="17" borderId="1" xfId="135" applyFont="1" applyFill="1" applyBorder="1" applyAlignment="1">
      <alignment horizontal="center" vertical="center" wrapText="1"/>
    </xf>
    <xf numFmtId="0" fontId="82" fillId="17" borderId="2" xfId="135" applyFont="1" applyFill="1" applyBorder="1" applyAlignment="1">
      <alignment horizontal="center" vertical="center" wrapText="1"/>
    </xf>
    <xf numFmtId="193" fontId="80" fillId="23" borderId="39" xfId="3" applyNumberFormat="1" applyFont="1" applyFill="1" applyBorder="1" applyAlignment="1">
      <alignment horizontal="center" vertical="center"/>
    </xf>
    <xf numFmtId="0" fontId="82" fillId="17" borderId="6" xfId="135" applyFont="1" applyFill="1" applyBorder="1" applyAlignment="1">
      <alignment vertical="center"/>
    </xf>
    <xf numFmtId="0" fontId="82" fillId="17" borderId="7" xfId="135" applyFont="1" applyFill="1" applyBorder="1" applyAlignment="1">
      <alignment vertical="center"/>
    </xf>
    <xf numFmtId="193" fontId="82" fillId="17" borderId="1" xfId="135" applyNumberFormat="1" applyFont="1" applyFill="1" applyBorder="1" applyAlignment="1">
      <alignment horizontal="center" vertical="center"/>
    </xf>
    <xf numFmtId="192" fontId="95" fillId="31" borderId="1" xfId="3" applyNumberFormat="1" applyFont="1" applyFill="1" applyBorder="1" applyAlignment="1">
      <alignment horizontal="right" vertical="center"/>
    </xf>
    <xf numFmtId="0" fontId="42" fillId="0" borderId="0" xfId="135" applyFont="1"/>
    <xf numFmtId="0" fontId="84" fillId="0" borderId="0" xfId="135" applyFont="1" applyAlignment="1">
      <alignment horizontal="left"/>
    </xf>
    <xf numFmtId="0" fontId="106" fillId="0" borderId="0" xfId="135" applyFont="1" applyAlignment="1">
      <alignment horizontal="left" vertical="justify" wrapText="1"/>
    </xf>
    <xf numFmtId="0" fontId="107" fillId="0" borderId="0" xfId="135" applyFont="1"/>
    <xf numFmtId="0" fontId="82" fillId="17" borderId="1" xfId="0" applyFont="1" applyFill="1" applyBorder="1" applyAlignment="1">
      <alignment horizontal="center" vertical="center" wrapText="1"/>
    </xf>
    <xf numFmtId="183" fontId="84" fillId="17" borderId="1" xfId="0" applyNumberFormat="1" applyFont="1" applyFill="1" applyBorder="1" applyAlignment="1">
      <alignment vertical="center"/>
    </xf>
    <xf numFmtId="9" fontId="8" fillId="0" borderId="1" xfId="125" applyNumberFormat="1" applyFont="1" applyFill="1" applyBorder="1" applyAlignment="1">
      <alignment horizontal="center" vertical="center"/>
    </xf>
    <xf numFmtId="10" fontId="8" fillId="0" borderId="1" xfId="134" applyNumberFormat="1" applyFont="1" applyBorder="1" applyAlignment="1">
      <alignment horizontal="center" vertical="center"/>
    </xf>
    <xf numFmtId="10" fontId="8" fillId="25" borderId="1" xfId="134" applyNumberFormat="1" applyFont="1" applyFill="1" applyBorder="1" applyAlignment="1">
      <alignment horizontal="center" vertical="center"/>
    </xf>
    <xf numFmtId="0" fontId="15" fillId="0" borderId="1" xfId="0" applyFont="1" applyBorder="1" applyAlignment="1">
      <alignment horizontal="center"/>
    </xf>
    <xf numFmtId="4" fontId="15" fillId="0" borderId="1" xfId="0" applyNumberFormat="1" applyFont="1" applyBorder="1" applyAlignment="1">
      <alignment horizontal="center"/>
    </xf>
    <xf numFmtId="0" fontId="15" fillId="0" borderId="1" xfId="0" applyFont="1" applyBorder="1"/>
    <xf numFmtId="0" fontId="8" fillId="0" borderId="1" xfId="0" applyFont="1" applyBorder="1"/>
    <xf numFmtId="0" fontId="8" fillId="0" borderId="1" xfId="0" applyFont="1" applyBorder="1" applyAlignment="1">
      <alignment horizontal="center"/>
    </xf>
    <xf numFmtId="4" fontId="8" fillId="0" borderId="1" xfId="0" applyNumberFormat="1" applyFont="1" applyBorder="1" applyAlignment="1">
      <alignment horizontal="center"/>
    </xf>
    <xf numFmtId="4" fontId="8" fillId="0" borderId="1" xfId="0" applyNumberFormat="1" applyFont="1" applyBorder="1"/>
    <xf numFmtId="9" fontId="8" fillId="0" borderId="1" xfId="0" applyNumberFormat="1" applyFont="1" applyBorder="1" applyAlignment="1">
      <alignment horizontal="center"/>
    </xf>
    <xf numFmtId="10" fontId="8" fillId="0" borderId="1" xfId="0" applyNumberFormat="1" applyFont="1" applyBorder="1" applyAlignment="1">
      <alignment horizontal="center"/>
    </xf>
    <xf numFmtId="3" fontId="8" fillId="0" borderId="1" xfId="0" applyNumberFormat="1" applyFont="1" applyBorder="1" applyAlignment="1">
      <alignment horizontal="center"/>
    </xf>
    <xf numFmtId="4" fontId="8" fillId="0" borderId="1" xfId="0" applyNumberFormat="1" applyFont="1" applyBorder="1" applyAlignment="1">
      <alignment wrapText="1"/>
    </xf>
    <xf numFmtId="180" fontId="15" fillId="0" borderId="1" xfId="0" applyNumberFormat="1" applyFont="1" applyBorder="1" applyAlignment="1">
      <alignment horizontal="center"/>
    </xf>
    <xf numFmtId="4" fontId="8" fillId="25" borderId="1" xfId="0" applyNumberFormat="1" applyFont="1" applyFill="1" applyBorder="1" applyAlignment="1">
      <alignment horizontal="center"/>
    </xf>
    <xf numFmtId="9" fontId="8" fillId="32" borderId="1" xfId="125" applyNumberFormat="1" applyFont="1" applyFill="1" applyBorder="1" applyAlignment="1">
      <alignment horizontal="center" vertical="center"/>
    </xf>
    <xf numFmtId="173" fontId="81" fillId="23" borderId="1" xfId="15" applyNumberFormat="1" applyFont="1" applyFill="1" applyBorder="1" applyAlignment="1">
      <alignment horizontal="center" vertical="center"/>
    </xf>
    <xf numFmtId="183" fontId="81" fillId="23" borderId="1" xfId="91" applyNumberFormat="1" applyFont="1" applyFill="1" applyBorder="1" applyAlignment="1">
      <alignment horizontal="left" vertical="center"/>
    </xf>
    <xf numFmtId="173" fontId="86" fillId="0" borderId="0" xfId="7" applyNumberFormat="1" applyFont="1"/>
    <xf numFmtId="180" fontId="81" fillId="0" borderId="0" xfId="0" applyNumberFormat="1" applyFont="1" applyAlignment="1">
      <alignment vertical="center"/>
    </xf>
    <xf numFmtId="173" fontId="81" fillId="0" borderId="0" xfId="35" applyNumberFormat="1" applyFont="1" applyAlignment="1">
      <alignment vertical="center"/>
    </xf>
    <xf numFmtId="165" fontId="0" fillId="0" borderId="0" xfId="0" applyNumberFormat="1"/>
    <xf numFmtId="168" fontId="42" fillId="0" borderId="0" xfId="8" applyFont="1"/>
    <xf numFmtId="168" fontId="0" fillId="0" borderId="0" xfId="0" applyNumberFormat="1"/>
    <xf numFmtId="0" fontId="0" fillId="0" borderId="1" xfId="0" applyBorder="1" applyAlignment="1">
      <alignment vertical="center"/>
    </xf>
    <xf numFmtId="0" fontId="0" fillId="0" borderId="1" xfId="0" applyBorder="1" applyAlignment="1">
      <alignment horizontal="center" vertical="center"/>
    </xf>
    <xf numFmtId="168" fontId="42" fillId="0" borderId="1" xfId="8" applyFont="1" applyBorder="1" applyAlignment="1">
      <alignment vertical="center"/>
    </xf>
    <xf numFmtId="168" fontId="0" fillId="0" borderId="1" xfId="0" applyNumberFormat="1" applyBorder="1" applyAlignment="1">
      <alignment vertical="center"/>
    </xf>
    <xf numFmtId="167" fontId="42" fillId="0" borderId="1" xfId="92" applyFont="1" applyBorder="1" applyAlignment="1">
      <alignment vertical="center"/>
    </xf>
    <xf numFmtId="10" fontId="42" fillId="0" borderId="1" xfId="177" applyNumberFormat="1" applyFont="1" applyBorder="1" applyAlignment="1">
      <alignment vertical="center"/>
    </xf>
    <xf numFmtId="0" fontId="0" fillId="0" borderId="3" xfId="0" applyBorder="1" applyAlignment="1">
      <alignment vertical="center"/>
    </xf>
    <xf numFmtId="167" fontId="0" fillId="0" borderId="0" xfId="0" applyNumberFormat="1"/>
    <xf numFmtId="183" fontId="86" fillId="0" borderId="39" xfId="91" applyNumberFormat="1" applyFont="1" applyFill="1" applyBorder="1" applyAlignment="1">
      <alignment horizontal="center" vertical="center"/>
    </xf>
    <xf numFmtId="0" fontId="82" fillId="17" borderId="1" xfId="0" applyFont="1" applyFill="1" applyBorder="1" applyAlignment="1">
      <alignment horizontal="center" vertical="center" wrapText="1"/>
    </xf>
    <xf numFmtId="183" fontId="86" fillId="0" borderId="39" xfId="91" applyNumberFormat="1" applyFont="1" applyFill="1" applyBorder="1" applyAlignment="1">
      <alignment horizontal="center" vertical="center"/>
    </xf>
    <xf numFmtId="0" fontId="82" fillId="0" borderId="0" xfId="144" applyFont="1" applyAlignment="1">
      <alignment vertical="center" wrapText="1"/>
    </xf>
    <xf numFmtId="0" fontId="81" fillId="0" borderId="0" xfId="140" applyFont="1"/>
    <xf numFmtId="0" fontId="84" fillId="17" borderId="1" xfId="140" applyFont="1" applyFill="1" applyBorder="1" applyAlignment="1">
      <alignment horizontal="center" vertical="center" wrapText="1"/>
    </xf>
    <xf numFmtId="0" fontId="86" fillId="0" borderId="1" xfId="156" applyFont="1" applyFill="1" applyBorder="1" applyAlignment="1">
      <alignment horizontal="left" vertical="center" wrapText="1"/>
    </xf>
    <xf numFmtId="0" fontId="86" fillId="0" borderId="1" xfId="140" applyFont="1" applyBorder="1" applyAlignment="1">
      <alignment horizontal="center" vertical="center" wrapText="1"/>
    </xf>
    <xf numFmtId="173" fontId="86" fillId="0" borderId="1" xfId="35" applyNumberFormat="1" applyFont="1" applyBorder="1" applyAlignment="1">
      <alignment horizontal="center" vertical="center" wrapText="1"/>
    </xf>
    <xf numFmtId="183" fontId="81" fillId="0" borderId="1" xfId="140" applyNumberFormat="1" applyFont="1" applyBorder="1" applyAlignment="1">
      <alignment vertical="center"/>
    </xf>
    <xf numFmtId="183" fontId="81" fillId="0" borderId="1" xfId="140" applyNumberFormat="1" applyFont="1" applyFill="1" applyBorder="1" applyAlignment="1">
      <alignment vertical="center"/>
    </xf>
    <xf numFmtId="0" fontId="86" fillId="0" borderId="1" xfId="156" applyFont="1" applyFill="1" applyBorder="1" applyAlignment="1">
      <alignment horizontal="justify" vertical="center" wrapText="1"/>
    </xf>
    <xf numFmtId="183" fontId="84" fillId="17" borderId="1" xfId="140" applyNumberFormat="1" applyFont="1" applyFill="1" applyBorder="1" applyAlignment="1">
      <alignment vertical="center"/>
    </xf>
    <xf numFmtId="170" fontId="81" fillId="0" borderId="0" xfId="35" applyFont="1"/>
    <xf numFmtId="0" fontId="108" fillId="0" borderId="0" xfId="140" applyFont="1" applyFill="1"/>
    <xf numFmtId="197" fontId="108" fillId="0" borderId="0" xfId="140" applyNumberFormat="1" applyFont="1" applyFill="1" applyAlignment="1">
      <alignment horizontal="center"/>
    </xf>
    <xf numFmtId="183" fontId="81" fillId="0" borderId="0" xfId="140" applyNumberFormat="1" applyFont="1"/>
    <xf numFmtId="203" fontId="80" fillId="23" borderId="1" xfId="3" applyNumberFormat="1" applyFont="1" applyFill="1" applyBorder="1" applyAlignment="1">
      <alignment horizontal="right" vertical="center"/>
    </xf>
    <xf numFmtId="0" fontId="49" fillId="17" borderId="1" xfId="0" applyFont="1" applyFill="1" applyBorder="1" applyAlignment="1">
      <alignment horizontal="center" vertical="center" wrapText="1"/>
    </xf>
    <xf numFmtId="174" fontId="42" fillId="0" borderId="1" xfId="92" applyNumberFormat="1" applyFont="1" applyFill="1" applyBorder="1" applyAlignment="1">
      <alignment horizontal="right" vertical="center"/>
    </xf>
    <xf numFmtId="0" fontId="49" fillId="17" borderId="1" xfId="0" applyFont="1" applyFill="1" applyBorder="1" applyAlignment="1">
      <alignment horizontal="center" vertical="center"/>
    </xf>
    <xf numFmtId="174" fontId="42" fillId="0" borderId="1" xfId="93" applyNumberFormat="1" applyFont="1" applyFill="1" applyBorder="1" applyAlignment="1">
      <alignment horizontal="center" vertical="center"/>
    </xf>
    <xf numFmtId="1" fontId="0" fillId="0" borderId="1" xfId="0" applyNumberFormat="1" applyFont="1" applyFill="1" applyBorder="1" applyAlignment="1">
      <alignment horizontal="center" vertical="center"/>
    </xf>
    <xf numFmtId="168" fontId="42" fillId="0" borderId="1" xfId="8" applyFont="1" applyFill="1" applyBorder="1" applyAlignment="1">
      <alignment horizontal="center" vertical="center"/>
    </xf>
    <xf numFmtId="185" fontId="0" fillId="0" borderId="1" xfId="0" applyNumberFormat="1" applyFont="1" applyFill="1" applyBorder="1" applyAlignment="1">
      <alignment horizontal="center" vertical="center"/>
    </xf>
    <xf numFmtId="174" fontId="49" fillId="17" borderId="1" xfId="0" applyNumberFormat="1" applyFont="1" applyFill="1" applyBorder="1" applyAlignment="1">
      <alignment horizontal="center" vertical="center"/>
    </xf>
    <xf numFmtId="174" fontId="42" fillId="0" borderId="1" xfId="93" applyNumberFormat="1" applyFont="1" applyFill="1" applyBorder="1" applyAlignment="1">
      <alignment horizontal="center" vertical="center"/>
    </xf>
    <xf numFmtId="0" fontId="109" fillId="29" borderId="76" xfId="0" applyFont="1" applyFill="1" applyBorder="1" applyAlignment="1">
      <alignment horizontal="center" vertical="center" wrapText="1"/>
    </xf>
    <xf numFmtId="0" fontId="109" fillId="29" borderId="77" xfId="0" applyFont="1" applyFill="1" applyBorder="1" applyAlignment="1">
      <alignment horizontal="center" vertical="center" wrapText="1"/>
    </xf>
    <xf numFmtId="0" fontId="110" fillId="29" borderId="77" xfId="0" applyFont="1" applyFill="1" applyBorder="1" applyAlignment="1">
      <alignment horizontal="center" vertical="center"/>
    </xf>
    <xf numFmtId="0" fontId="110" fillId="0" borderId="78" xfId="0" applyFont="1" applyBorder="1" applyAlignment="1">
      <alignment horizontal="center" vertical="center"/>
    </xf>
    <xf numFmtId="0" fontId="110" fillId="0" borderId="79" xfId="0" applyFont="1" applyBorder="1" applyAlignment="1">
      <alignment horizontal="center" vertical="center"/>
    </xf>
    <xf numFmtId="192" fontId="80" fillId="0" borderId="59" xfId="3" applyNumberFormat="1" applyFont="1" applyFill="1" applyBorder="1" applyAlignment="1">
      <alignment horizontal="right" vertical="center"/>
    </xf>
    <xf numFmtId="192" fontId="80" fillId="0" borderId="60" xfId="3" applyNumberFormat="1" applyFont="1" applyFill="1" applyBorder="1" applyAlignment="1">
      <alignment horizontal="right" vertical="center"/>
    </xf>
    <xf numFmtId="192" fontId="80" fillId="0" borderId="3" xfId="3" applyNumberFormat="1" applyFont="1" applyFill="1" applyBorder="1" applyAlignment="1">
      <alignment horizontal="right" vertical="center"/>
    </xf>
    <xf numFmtId="0" fontId="80" fillId="0" borderId="1" xfId="3" applyFont="1" applyFill="1" applyBorder="1" applyAlignment="1">
      <alignment vertical="center"/>
    </xf>
    <xf numFmtId="0" fontId="101" fillId="0" borderId="1" xfId="0" applyFont="1" applyBorder="1" applyAlignment="1">
      <alignment vertical="center"/>
    </xf>
    <xf numFmtId="174" fontId="42" fillId="0" borderId="2" xfId="93" applyNumberFormat="1" applyFont="1" applyFill="1" applyBorder="1" applyAlignment="1">
      <alignment horizontal="center" vertical="center"/>
    </xf>
    <xf numFmtId="0" fontId="110" fillId="0" borderId="0" xfId="0" applyFont="1" applyAlignment="1">
      <alignment vertical="center"/>
    </xf>
    <xf numFmtId="0" fontId="84" fillId="23" borderId="1" xfId="0" applyFont="1" applyFill="1" applyBorder="1" applyAlignment="1">
      <alignment horizontal="center" vertical="center"/>
    </xf>
    <xf numFmtId="0" fontId="84" fillId="23" borderId="7" xfId="0" applyFont="1" applyFill="1" applyBorder="1" applyAlignment="1">
      <alignment horizontal="center" vertical="center"/>
    </xf>
    <xf numFmtId="0" fontId="84" fillId="23" borderId="6" xfId="0" applyFont="1" applyFill="1" applyBorder="1" applyAlignment="1">
      <alignment horizontal="center" vertical="center"/>
    </xf>
    <xf numFmtId="0" fontId="86" fillId="17" borderId="1" xfId="157" applyFont="1" applyFill="1" applyBorder="1" applyAlignment="1">
      <alignment horizontal="center" vertical="center" wrapText="1"/>
    </xf>
    <xf numFmtId="0" fontId="98" fillId="0" borderId="1" xfId="0" applyFont="1" applyBorder="1" applyAlignment="1">
      <alignment vertical="center" wrapText="1"/>
    </xf>
    <xf numFmtId="0" fontId="98" fillId="0" borderId="1" xfId="0" applyFont="1" applyBorder="1" applyAlignment="1">
      <alignment horizontal="center" vertical="center" wrapText="1"/>
    </xf>
    <xf numFmtId="0" fontId="81" fillId="0" borderId="6" xfId="0" applyFont="1" applyBorder="1" applyAlignment="1">
      <alignment vertical="center" wrapText="1"/>
    </xf>
    <xf numFmtId="164" fontId="81" fillId="0" borderId="1" xfId="93" applyFont="1" applyBorder="1" applyAlignment="1">
      <alignment vertical="center"/>
    </xf>
    <xf numFmtId="164" fontId="81" fillId="0" borderId="1" xfId="93" applyFont="1" applyFill="1" applyBorder="1" applyAlignment="1">
      <alignment horizontal="right" vertical="center"/>
    </xf>
    <xf numFmtId="171" fontId="81" fillId="0" borderId="1" xfId="0" applyNumberFormat="1" applyFont="1" applyBorder="1" applyAlignment="1">
      <alignment vertical="center"/>
    </xf>
    <xf numFmtId="0" fontId="81" fillId="0" borderId="1" xfId="0" applyFont="1" applyBorder="1" applyAlignment="1">
      <alignment vertical="center"/>
    </xf>
    <xf numFmtId="164" fontId="81" fillId="0" borderId="2" xfId="93" applyFont="1" applyFill="1" applyBorder="1" applyAlignment="1">
      <alignment horizontal="right" vertical="center"/>
    </xf>
    <xf numFmtId="0" fontId="98" fillId="0" borderId="1" xfId="0" applyFont="1" applyFill="1" applyBorder="1" applyAlignment="1">
      <alignment vertical="center" wrapText="1"/>
    </xf>
    <xf numFmtId="183" fontId="86" fillId="0" borderId="1" xfId="105" applyNumberFormat="1" applyFont="1" applyFill="1" applyBorder="1" applyAlignment="1">
      <alignment horizontal="right" vertical="center"/>
    </xf>
    <xf numFmtId="0" fontId="98" fillId="0" borderId="1" xfId="0" applyFont="1" applyFill="1" applyBorder="1" applyAlignment="1">
      <alignment horizontal="left" vertical="center" wrapText="1"/>
    </xf>
    <xf numFmtId="171" fontId="81" fillId="33" borderId="1" xfId="0" applyNumberFormat="1" applyFont="1" applyFill="1" applyBorder="1" applyAlignment="1">
      <alignment vertical="center"/>
    </xf>
    <xf numFmtId="0" fontId="81" fillId="0" borderId="6" xfId="0" applyFont="1" applyBorder="1" applyAlignment="1">
      <alignment vertical="center"/>
    </xf>
    <xf numFmtId="0" fontId="86" fillId="24" borderId="1" xfId="157" applyFont="1" applyFill="1" applyBorder="1" applyAlignment="1">
      <alignment horizontal="center" vertical="center" wrapText="1"/>
    </xf>
    <xf numFmtId="164" fontId="81" fillId="0" borderId="1" xfId="93" applyFont="1" applyFill="1" applyBorder="1" applyAlignment="1">
      <alignment vertical="center"/>
    </xf>
    <xf numFmtId="164" fontId="81" fillId="24" borderId="1" xfId="93" applyFont="1" applyFill="1" applyBorder="1" applyAlignment="1">
      <alignment vertical="center"/>
    </xf>
    <xf numFmtId="171" fontId="81" fillId="0" borderId="1" xfId="0" applyNumberFormat="1" applyFont="1" applyFill="1" applyBorder="1" applyAlignment="1">
      <alignment vertical="center"/>
    </xf>
    <xf numFmtId="0" fontId="81" fillId="25" borderId="0" xfId="0" applyFont="1" applyFill="1" applyAlignment="1">
      <alignment vertical="center"/>
    </xf>
    <xf numFmtId="0" fontId="81" fillId="16" borderId="6" xfId="0" applyFont="1" applyFill="1" applyBorder="1" applyAlignment="1">
      <alignment vertical="center"/>
    </xf>
    <xf numFmtId="0" fontId="81" fillId="16" borderId="7" xfId="0" applyFont="1" applyFill="1" applyBorder="1" applyAlignment="1">
      <alignment vertical="center"/>
    </xf>
    <xf numFmtId="205" fontId="84" fillId="16" borderId="3" xfId="0" applyNumberFormat="1" applyFont="1" applyFill="1" applyBorder="1" applyAlignment="1">
      <alignment vertical="center"/>
    </xf>
    <xf numFmtId="0" fontId="109" fillId="34" borderId="76" xfId="0" applyFont="1" applyFill="1" applyBorder="1" applyAlignment="1">
      <alignment horizontal="center" vertical="center"/>
    </xf>
    <xf numFmtId="0" fontId="110" fillId="34" borderId="80" xfId="0" applyFont="1" applyFill="1" applyBorder="1" applyAlignment="1">
      <alignment horizontal="center" vertical="center"/>
    </xf>
    <xf numFmtId="0" fontId="110" fillId="34" borderId="81" xfId="0" applyFont="1" applyFill="1" applyBorder="1" applyAlignment="1">
      <alignment horizontal="center" vertical="center"/>
    </xf>
    <xf numFmtId="0" fontId="110" fillId="29" borderId="82" xfId="0" applyFont="1" applyFill="1" applyBorder="1" applyAlignment="1">
      <alignment vertical="center" wrapText="1"/>
    </xf>
    <xf numFmtId="0" fontId="110" fillId="0" borderId="83" xfId="0" applyFont="1" applyBorder="1" applyAlignment="1">
      <alignment horizontal="center" vertical="center" wrapText="1"/>
    </xf>
    <xf numFmtId="0" fontId="110" fillId="0" borderId="83" xfId="0" applyFont="1" applyBorder="1" applyAlignment="1">
      <alignment vertical="center" wrapText="1"/>
    </xf>
    <xf numFmtId="0" fontId="110" fillId="0" borderId="84" xfId="0" applyFont="1" applyBorder="1" applyAlignment="1">
      <alignment vertical="center" wrapText="1"/>
    </xf>
    <xf numFmtId="0" fontId="110" fillId="29" borderId="85" xfId="0" applyFont="1" applyFill="1" applyBorder="1" applyAlignment="1">
      <alignment vertical="center" wrapText="1"/>
    </xf>
    <xf numFmtId="0" fontId="110" fillId="0" borderId="0" xfId="0" applyFont="1" applyAlignment="1">
      <alignment horizontal="center" vertical="center" wrapText="1"/>
    </xf>
    <xf numFmtId="0" fontId="110" fillId="0" borderId="0" xfId="0" applyFont="1" applyAlignment="1">
      <alignment vertical="center" wrapText="1"/>
    </xf>
    <xf numFmtId="0" fontId="110" fillId="0" borderId="86" xfId="0" applyFont="1" applyBorder="1" applyAlignment="1">
      <alignment vertical="center" wrapText="1"/>
    </xf>
    <xf numFmtId="0" fontId="110" fillId="0" borderId="83" xfId="0" applyFont="1" applyBorder="1" applyAlignment="1">
      <alignment vertical="center"/>
    </xf>
    <xf numFmtId="0" fontId="110" fillId="29" borderId="77" xfId="0" applyFont="1" applyFill="1" applyBorder="1" applyAlignment="1">
      <alignment vertical="center" wrapText="1"/>
    </xf>
    <xf numFmtId="0" fontId="110" fillId="0" borderId="78" xfId="0" applyFont="1" applyBorder="1" applyAlignment="1">
      <alignment vertical="center"/>
    </xf>
    <xf numFmtId="0" fontId="110" fillId="0" borderId="79" xfId="0" applyFont="1" applyBorder="1" applyAlignment="1">
      <alignment vertical="center" wrapText="1"/>
    </xf>
    <xf numFmtId="0" fontId="110" fillId="25" borderId="83" xfId="0" applyFont="1" applyFill="1" applyBorder="1" applyAlignment="1">
      <alignment horizontal="center" vertical="center" wrapText="1"/>
    </xf>
    <xf numFmtId="0" fontId="110" fillId="25" borderId="0" xfId="0" applyFont="1" applyFill="1" applyAlignment="1">
      <alignment horizontal="center" vertical="center"/>
    </xf>
    <xf numFmtId="0" fontId="110" fillId="25" borderId="83" xfId="0" applyFont="1" applyFill="1" applyBorder="1" applyAlignment="1">
      <alignment horizontal="center" vertical="center"/>
    </xf>
    <xf numFmtId="0" fontId="110" fillId="25" borderId="78" xfId="0" applyFont="1" applyFill="1" applyBorder="1" applyAlignment="1">
      <alignment horizontal="center" vertical="center"/>
    </xf>
    <xf numFmtId="0" fontId="110" fillId="25" borderId="0" xfId="0" applyFont="1" applyFill="1" applyAlignment="1">
      <alignment horizontal="center" vertical="center" wrapText="1"/>
    </xf>
    <xf numFmtId="0" fontId="98" fillId="25" borderId="1" xfId="0" applyFont="1" applyFill="1" applyBorder="1" applyAlignment="1">
      <alignment horizontal="center" vertical="center" wrapText="1"/>
    </xf>
    <xf numFmtId="0" fontId="86" fillId="0" borderId="0" xfId="144" applyFont="1"/>
    <xf numFmtId="0" fontId="111" fillId="0" borderId="1" xfId="144" applyFont="1" applyBorder="1" applyAlignment="1">
      <alignment horizontal="center" vertical="center" wrapText="1"/>
    </xf>
    <xf numFmtId="173" fontId="111" fillId="0" borderId="1" xfId="35" applyNumberFormat="1" applyFont="1" applyFill="1" applyBorder="1" applyAlignment="1">
      <alignment horizontal="center" vertical="center" wrapText="1"/>
    </xf>
    <xf numFmtId="183" fontId="81" fillId="0" borderId="1" xfId="144" applyNumberFormat="1" applyFont="1" applyBorder="1" applyAlignment="1">
      <alignment vertical="center"/>
    </xf>
    <xf numFmtId="0" fontId="81" fillId="0" borderId="1" xfId="144" applyFont="1" applyBorder="1" applyAlignment="1">
      <alignment horizontal="left" vertical="center" wrapText="1"/>
    </xf>
    <xf numFmtId="0" fontId="90" fillId="0" borderId="53" xfId="0" applyFont="1" applyFill="1" applyBorder="1" applyAlignment="1">
      <alignment vertical="center"/>
    </xf>
    <xf numFmtId="173" fontId="111" fillId="23" borderId="1" xfId="35" applyNumberFormat="1" applyFont="1" applyFill="1" applyBorder="1" applyAlignment="1">
      <alignment horizontal="center" vertical="center" wrapText="1"/>
    </xf>
    <xf numFmtId="0" fontId="0" fillId="23" borderId="0" xfId="0" applyFill="1"/>
    <xf numFmtId="0" fontId="112" fillId="0" borderId="0" xfId="135" applyFont="1" applyAlignment="1">
      <alignment horizontal="center"/>
    </xf>
    <xf numFmtId="192" fontId="0" fillId="0" borderId="0" xfId="0" applyNumberFormat="1"/>
    <xf numFmtId="0" fontId="49" fillId="0" borderId="0" xfId="0" applyFont="1"/>
    <xf numFmtId="0" fontId="0" fillId="0" borderId="1" xfId="0" applyFont="1" applyFill="1" applyBorder="1" applyAlignment="1">
      <alignment vertical="center"/>
    </xf>
    <xf numFmtId="0" fontId="0" fillId="0" borderId="1" xfId="0" applyFont="1" applyFill="1" applyBorder="1" applyAlignment="1">
      <alignment horizontal="center" vertical="center"/>
    </xf>
    <xf numFmtId="174" fontId="42" fillId="0" borderId="1" xfId="93" applyNumberFormat="1" applyFont="1" applyFill="1" applyBorder="1" applyAlignment="1">
      <alignment horizontal="right" vertical="center"/>
    </xf>
    <xf numFmtId="204" fontId="0" fillId="0" borderId="1" xfId="0" applyNumberFormat="1" applyFont="1" applyBorder="1" applyAlignment="1">
      <alignment horizontal="right" vertical="center"/>
    </xf>
    <xf numFmtId="174" fontId="49" fillId="16" borderId="1" xfId="0" applyNumberFormat="1" applyFont="1" applyFill="1" applyBorder="1" applyAlignment="1">
      <alignment horizontal="right" vertical="center"/>
    </xf>
    <xf numFmtId="0" fontId="0" fillId="0" borderId="0" xfId="0" applyAlignment="1">
      <alignment horizontal="center"/>
    </xf>
    <xf numFmtId="0" fontId="49" fillId="0" borderId="16" xfId="0" applyFont="1" applyBorder="1" applyAlignment="1">
      <alignment horizontal="center"/>
    </xf>
    <xf numFmtId="168" fontId="42" fillId="0" borderId="1" xfId="8" applyFont="1" applyFill="1" applyBorder="1" applyAlignment="1">
      <alignment horizontal="center" vertical="center"/>
    </xf>
    <xf numFmtId="185" fontId="0" fillId="0" borderId="1" xfId="0" applyNumberFormat="1" applyFont="1" applyFill="1" applyBorder="1" applyAlignment="1">
      <alignment horizontal="center" vertical="center"/>
    </xf>
    <xf numFmtId="174" fontId="42" fillId="0" borderId="1" xfId="93" applyNumberFormat="1" applyFont="1" applyFill="1" applyBorder="1" applyAlignment="1">
      <alignment horizontal="center" vertical="center"/>
    </xf>
    <xf numFmtId="0" fontId="81" fillId="0" borderId="0" xfId="0" applyFont="1" applyAlignment="1">
      <alignment horizontal="center" vertical="center"/>
    </xf>
    <xf numFmtId="0" fontId="81" fillId="0" borderId="1" xfId="0" applyFont="1" applyBorder="1"/>
    <xf numFmtId="0" fontId="84" fillId="17" borderId="1" xfId="0" applyFont="1" applyFill="1" applyBorder="1" applyAlignment="1">
      <alignment horizontal="center" vertical="center" wrapText="1"/>
    </xf>
    <xf numFmtId="0" fontId="84" fillId="17" borderId="2" xfId="0" applyFont="1" applyFill="1" applyBorder="1" applyAlignment="1">
      <alignment horizontal="center" vertical="center" wrapText="1"/>
    </xf>
    <xf numFmtId="0" fontId="81" fillId="0" borderId="0" xfId="0" applyFont="1" applyAlignment="1">
      <alignment horizontal="center" wrapText="1"/>
    </xf>
    <xf numFmtId="0" fontId="84" fillId="0" borderId="0" xfId="0" applyFont="1" applyAlignment="1">
      <alignment horizontal="center" wrapText="1"/>
    </xf>
    <xf numFmtId="1" fontId="86" fillId="0" borderId="1" xfId="0" applyNumberFormat="1" applyFont="1" applyBorder="1" applyAlignment="1">
      <alignment horizontal="center" vertical="center"/>
    </xf>
    <xf numFmtId="174" fontId="81" fillId="0" borderId="1" xfId="0" applyNumberFormat="1" applyFont="1" applyBorder="1" applyAlignment="1">
      <alignment horizontal="center" vertical="center"/>
    </xf>
    <xf numFmtId="174" fontId="81" fillId="0" borderId="1" xfId="0" applyNumberFormat="1" applyFont="1" applyFill="1" applyBorder="1" applyAlignment="1">
      <alignment horizontal="center" vertical="center"/>
    </xf>
    <xf numFmtId="1" fontId="81" fillId="0" borderId="1" xfId="0" applyNumberFormat="1" applyFont="1" applyFill="1" applyBorder="1" applyAlignment="1">
      <alignment horizontal="center" vertical="center"/>
    </xf>
    <xf numFmtId="0" fontId="81" fillId="0" borderId="1" xfId="0" applyFont="1" applyBorder="1" applyAlignment="1">
      <alignment vertical="center" wrapText="1"/>
    </xf>
    <xf numFmtId="174" fontId="81" fillId="0" borderId="0" xfId="0" applyNumberFormat="1" applyFont="1"/>
    <xf numFmtId="0" fontId="81" fillId="33" borderId="0" xfId="0" applyFont="1" applyFill="1"/>
    <xf numFmtId="0" fontId="81" fillId="33" borderId="0" xfId="0" applyFont="1" applyFill="1" applyAlignment="1">
      <alignment horizontal="center" vertical="center"/>
    </xf>
    <xf numFmtId="0" fontId="84" fillId="0" borderId="1" xfId="0" applyFont="1" applyBorder="1" applyAlignment="1">
      <alignment horizontal="center" vertical="center"/>
    </xf>
    <xf numFmtId="186" fontId="81" fillId="0" borderId="1" xfId="7" applyNumberFormat="1" applyFont="1" applyBorder="1" applyAlignment="1">
      <alignment vertical="center"/>
    </xf>
    <xf numFmtId="174" fontId="81" fillId="0" borderId="0" xfId="0" applyNumberFormat="1" applyFont="1" applyBorder="1" applyAlignment="1">
      <alignment horizontal="center" vertical="center"/>
    </xf>
    <xf numFmtId="186" fontId="81" fillId="0" borderId="0" xfId="7" applyNumberFormat="1" applyFont="1" applyAlignment="1">
      <alignment vertical="center"/>
    </xf>
    <xf numFmtId="0" fontId="81" fillId="0" borderId="0" xfId="0" applyFont="1" applyBorder="1"/>
    <xf numFmtId="0" fontId="84" fillId="17" borderId="1" xfId="144" applyFont="1" applyFill="1" applyBorder="1" applyAlignment="1">
      <alignment horizontal="center" vertical="center" wrapText="1"/>
    </xf>
    <xf numFmtId="183" fontId="84" fillId="17" borderId="3" xfId="144" applyNumberFormat="1" applyFont="1" applyFill="1" applyBorder="1" applyAlignment="1">
      <alignment horizontal="left" vertical="center"/>
    </xf>
    <xf numFmtId="174" fontId="42" fillId="0" borderId="1" xfId="93" applyNumberFormat="1" applyFont="1" applyFill="1" applyBorder="1" applyAlignment="1">
      <alignment horizontal="center" vertical="center"/>
    </xf>
    <xf numFmtId="0" fontId="84" fillId="17" borderId="1" xfId="144" applyFont="1" applyFill="1" applyBorder="1" applyAlignment="1">
      <alignment horizontal="center" vertical="center" wrapText="1"/>
    </xf>
    <xf numFmtId="174" fontId="84" fillId="17" borderId="1" xfId="0" applyNumberFormat="1" applyFont="1" applyFill="1" applyBorder="1" applyAlignment="1">
      <alignment vertical="center"/>
    </xf>
    <xf numFmtId="0" fontId="81" fillId="0" borderId="1" xfId="0" applyFont="1" applyFill="1" applyBorder="1" applyAlignment="1">
      <alignment horizontal="left" vertical="center" wrapText="1"/>
    </xf>
    <xf numFmtId="170" fontId="42" fillId="0" borderId="0" xfId="7" applyFont="1"/>
    <xf numFmtId="174" fontId="42" fillId="23" borderId="1" xfId="93" applyNumberFormat="1" applyFont="1" applyFill="1" applyBorder="1" applyAlignment="1">
      <alignment horizontal="center" vertical="center"/>
    </xf>
    <xf numFmtId="174" fontId="42" fillId="23" borderId="1" xfId="93" applyNumberFormat="1" applyFont="1" applyFill="1" applyBorder="1" applyAlignment="1">
      <alignment horizontal="right" vertical="center"/>
    </xf>
    <xf numFmtId="0" fontId="86" fillId="23" borderId="1" xfId="156" applyFont="1" applyFill="1" applyBorder="1" applyAlignment="1">
      <alignment horizontal="left" vertical="center" wrapText="1"/>
    </xf>
    <xf numFmtId="183" fontId="88" fillId="23" borderId="6" xfId="91" applyNumberFormat="1" applyFont="1" applyFill="1" applyBorder="1" applyAlignment="1">
      <alignment vertical="center"/>
    </xf>
    <xf numFmtId="0" fontId="0" fillId="0" borderId="1" xfId="0" applyFont="1" applyBorder="1"/>
    <xf numFmtId="170" fontId="42" fillId="0" borderId="1" xfId="7" applyFont="1" applyBorder="1"/>
    <xf numFmtId="0" fontId="0" fillId="0" borderId="0" xfId="0" applyFont="1"/>
    <xf numFmtId="0" fontId="87" fillId="0" borderId="0" xfId="0" applyFont="1" applyAlignment="1">
      <alignment horizontal="center" vertical="justify" wrapText="1"/>
    </xf>
    <xf numFmtId="0" fontId="84" fillId="17" borderId="2" xfId="0" applyFont="1" applyFill="1" applyBorder="1" applyAlignment="1">
      <alignment horizontal="center" vertical="center" wrapText="1"/>
    </xf>
    <xf numFmtId="173" fontId="42" fillId="0" borderId="0" xfId="7" applyNumberFormat="1" applyFont="1"/>
    <xf numFmtId="170" fontId="42" fillId="0" borderId="0" xfId="7" applyNumberFormat="1" applyFont="1"/>
    <xf numFmtId="170" fontId="42" fillId="0" borderId="0" xfId="7" applyNumberFormat="1" applyFont="1" applyAlignment="1">
      <alignment horizontal="right" vertical="center"/>
    </xf>
    <xf numFmtId="170" fontId="46" fillId="0" borderId="0" xfId="7" applyNumberFormat="1" applyFont="1" applyAlignment="1">
      <alignment horizontal="center" vertical="center"/>
    </xf>
    <xf numFmtId="170" fontId="87" fillId="0" borderId="0" xfId="7" applyNumberFormat="1" applyFont="1" applyAlignment="1">
      <alignment vertical="center" wrapText="1"/>
    </xf>
    <xf numFmtId="170" fontId="49" fillId="16" borderId="1" xfId="7" applyNumberFormat="1" applyFont="1" applyFill="1" applyBorder="1" applyAlignment="1">
      <alignment horizontal="center"/>
    </xf>
    <xf numFmtId="170" fontId="42" fillId="0" borderId="1" xfId="7" applyNumberFormat="1" applyFont="1" applyBorder="1"/>
    <xf numFmtId="170" fontId="92" fillId="0" borderId="0" xfId="7" applyNumberFormat="1" applyFont="1" applyBorder="1"/>
    <xf numFmtId="170" fontId="93" fillId="0" borderId="0" xfId="7" applyNumberFormat="1" applyFont="1" applyBorder="1"/>
    <xf numFmtId="170" fontId="92" fillId="0" borderId="0" xfId="7" applyNumberFormat="1" applyFont="1"/>
    <xf numFmtId="173" fontId="81" fillId="23" borderId="1" xfId="7" applyNumberFormat="1" applyFont="1" applyFill="1" applyBorder="1" applyAlignment="1">
      <alignment vertical="center"/>
    </xf>
    <xf numFmtId="173" fontId="82" fillId="17" borderId="3" xfId="7" applyNumberFormat="1" applyFont="1" applyFill="1" applyBorder="1" applyAlignment="1">
      <alignment vertical="center"/>
    </xf>
    <xf numFmtId="173" fontId="81" fillId="0" borderId="0" xfId="7" applyNumberFormat="1" applyFont="1" applyFill="1" applyBorder="1" applyAlignment="1">
      <alignment vertical="center"/>
    </xf>
    <xf numFmtId="0" fontId="82" fillId="25" borderId="1" xfId="135" applyFont="1" applyFill="1" applyBorder="1" applyAlignment="1">
      <alignment horizontal="left" vertical="center" wrapText="1"/>
    </xf>
    <xf numFmtId="0" fontId="82" fillId="35" borderId="2" xfId="135" applyFont="1" applyFill="1" applyBorder="1" applyAlignment="1">
      <alignment horizontal="center" vertical="center" wrapText="1"/>
    </xf>
    <xf numFmtId="0" fontId="82" fillId="36" borderId="1" xfId="135" applyFont="1" applyFill="1" applyBorder="1" applyAlignment="1">
      <alignment horizontal="center" vertical="center" wrapText="1"/>
    </xf>
    <xf numFmtId="173" fontId="82" fillId="31" borderId="1" xfId="7" applyNumberFormat="1" applyFont="1" applyFill="1" applyBorder="1" applyAlignment="1">
      <alignment horizontal="center" vertical="center" wrapText="1"/>
    </xf>
    <xf numFmtId="0" fontId="89" fillId="24" borderId="57" xfId="0" applyFont="1" applyFill="1" applyBorder="1" applyAlignment="1">
      <alignment horizontal="center" vertical="center" wrapText="1"/>
    </xf>
    <xf numFmtId="0" fontId="89" fillId="27" borderId="35" xfId="0" applyFont="1" applyFill="1" applyBorder="1" applyAlignment="1">
      <alignment horizontal="center" vertical="center" wrapText="1"/>
    </xf>
    <xf numFmtId="0" fontId="89" fillId="27" borderId="39" xfId="0" applyFont="1" applyFill="1" applyBorder="1" applyAlignment="1">
      <alignment horizontal="center" vertical="center" wrapText="1"/>
    </xf>
    <xf numFmtId="0" fontId="89" fillId="37" borderId="36" xfId="0" applyFont="1" applyFill="1" applyBorder="1" applyAlignment="1">
      <alignment horizontal="center" vertical="center" wrapText="1"/>
    </xf>
    <xf numFmtId="0" fontId="89" fillId="37" borderId="40" xfId="0" applyFont="1" applyFill="1" applyBorder="1" applyAlignment="1">
      <alignment horizontal="center" vertical="center" wrapText="1"/>
    </xf>
    <xf numFmtId="0" fontId="49" fillId="38" borderId="1" xfId="0" applyFont="1" applyFill="1" applyBorder="1" applyAlignment="1">
      <alignment horizontal="center"/>
    </xf>
    <xf numFmtId="0" fontId="49" fillId="36" borderId="1" xfId="0" applyFont="1" applyFill="1" applyBorder="1" applyAlignment="1">
      <alignment horizontal="center" vertical="center"/>
    </xf>
    <xf numFmtId="0" fontId="49" fillId="36" borderId="1" xfId="0" applyFont="1" applyFill="1" applyBorder="1" applyAlignment="1">
      <alignment horizontal="center" vertical="center" wrapText="1"/>
    </xf>
    <xf numFmtId="0" fontId="89" fillId="26" borderId="53" xfId="0" applyFont="1" applyFill="1" applyBorder="1" applyAlignment="1">
      <alignment horizontal="left" vertical="center" wrapText="1"/>
    </xf>
    <xf numFmtId="183" fontId="88" fillId="26" borderId="6" xfId="91" applyNumberFormat="1" applyFont="1" applyFill="1" applyBorder="1" applyAlignment="1">
      <alignment vertical="center"/>
    </xf>
    <xf numFmtId="0" fontId="84" fillId="17" borderId="39" xfId="0" applyFont="1" applyFill="1" applyBorder="1" applyAlignment="1">
      <alignment horizontal="center" vertical="center" wrapText="1"/>
    </xf>
    <xf numFmtId="174" fontId="42" fillId="0" borderId="2" xfId="93" applyNumberFormat="1" applyFont="1" applyFill="1" applyBorder="1" applyAlignment="1">
      <alignment horizontal="center" vertical="center"/>
    </xf>
    <xf numFmtId="174" fontId="42" fillId="0" borderId="39" xfId="93" applyNumberFormat="1" applyFont="1" applyFill="1" applyBorder="1" applyAlignment="1">
      <alignment horizontal="center" vertical="center"/>
    </xf>
    <xf numFmtId="0" fontId="121" fillId="37" borderId="45" xfId="0" applyFont="1" applyFill="1" applyBorder="1" applyAlignment="1">
      <alignment horizontal="center" vertical="center"/>
    </xf>
    <xf numFmtId="173" fontId="0" fillId="0" borderId="0" xfId="7" applyNumberFormat="1" applyFont="1"/>
    <xf numFmtId="0" fontId="121" fillId="42" borderId="1" xfId="0" applyFont="1" applyFill="1" applyBorder="1" applyAlignment="1">
      <alignment horizontal="center"/>
    </xf>
    <xf numFmtId="0" fontId="49" fillId="25" borderId="1" xfId="0" applyFont="1" applyFill="1" applyBorder="1" applyAlignment="1">
      <alignment horizontal="center" vertical="center" wrapText="1"/>
    </xf>
    <xf numFmtId="204" fontId="49" fillId="25" borderId="1" xfId="0" applyNumberFormat="1" applyFont="1" applyFill="1" applyBorder="1"/>
    <xf numFmtId="164" fontId="81" fillId="0" borderId="11" xfId="93" applyFont="1" applyFill="1" applyBorder="1" applyAlignment="1">
      <alignment horizontal="center" vertical="center" wrapText="1"/>
    </xf>
    <xf numFmtId="0" fontId="113" fillId="25" borderId="13" xfId="0" applyFont="1" applyFill="1" applyBorder="1"/>
    <xf numFmtId="0" fontId="113" fillId="25" borderId="15" xfId="0" applyFont="1" applyFill="1" applyBorder="1"/>
    <xf numFmtId="0" fontId="81" fillId="25" borderId="15" xfId="0" applyFont="1" applyFill="1" applyBorder="1"/>
    <xf numFmtId="0" fontId="81" fillId="25" borderId="27" xfId="0" applyFont="1" applyFill="1" applyBorder="1"/>
    <xf numFmtId="0" fontId="81" fillId="25" borderId="14" xfId="0" applyFont="1" applyFill="1" applyBorder="1"/>
    <xf numFmtId="0" fontId="84" fillId="25" borderId="1" xfId="144" applyFont="1" applyFill="1" applyBorder="1" applyAlignment="1">
      <alignment horizontal="center" vertical="center" wrapText="1"/>
    </xf>
    <xf numFmtId="183" fontId="81" fillId="0" borderId="2" xfId="144" applyNumberFormat="1" applyFont="1" applyBorder="1" applyAlignment="1">
      <alignment vertical="center"/>
    </xf>
    <xf numFmtId="183" fontId="84" fillId="25" borderId="11" xfId="144" applyNumberFormat="1" applyFont="1" applyFill="1" applyBorder="1" applyAlignment="1">
      <alignment horizontal="left" vertical="center"/>
    </xf>
    <xf numFmtId="0" fontId="105" fillId="43" borderId="53" xfId="0" applyFont="1" applyFill="1" applyBorder="1" applyAlignment="1">
      <alignment vertical="center"/>
    </xf>
    <xf numFmtId="183" fontId="123" fillId="43" borderId="6" xfId="91" applyNumberFormat="1" applyFont="1" applyFill="1" applyBorder="1" applyAlignment="1">
      <alignment vertical="center"/>
    </xf>
    <xf numFmtId="170" fontId="93" fillId="43" borderId="1" xfId="7" applyNumberFormat="1" applyFont="1" applyFill="1" applyBorder="1"/>
    <xf numFmtId="0" fontId="105" fillId="25" borderId="53" xfId="0" applyFont="1" applyFill="1" applyBorder="1" applyAlignment="1">
      <alignment vertical="center"/>
    </xf>
    <xf numFmtId="170" fontId="93" fillId="25" borderId="1" xfId="7" applyNumberFormat="1" applyFont="1" applyFill="1" applyBorder="1"/>
    <xf numFmtId="183" fontId="123" fillId="25" borderId="6" xfId="91" applyNumberFormat="1" applyFont="1" applyFill="1" applyBorder="1" applyAlignment="1">
      <alignment vertical="center"/>
    </xf>
    <xf numFmtId="0" fontId="90" fillId="23" borderId="53" xfId="0" applyFont="1" applyFill="1" applyBorder="1" applyAlignment="1">
      <alignment vertical="center"/>
    </xf>
    <xf numFmtId="194" fontId="88" fillId="23" borderId="1" xfId="91" applyNumberFormat="1" applyFont="1" applyFill="1" applyBorder="1" applyAlignment="1">
      <alignment vertical="center"/>
    </xf>
    <xf numFmtId="0" fontId="49" fillId="25" borderId="0" xfId="0" applyFont="1" applyFill="1" applyBorder="1" applyAlignment="1">
      <alignment horizontal="center" vertical="center"/>
    </xf>
    <xf numFmtId="0" fontId="49" fillId="19" borderId="1" xfId="0" applyFont="1" applyFill="1" applyBorder="1" applyAlignment="1">
      <alignment horizontal="center" vertical="center" wrapText="1"/>
    </xf>
    <xf numFmtId="174" fontId="93" fillId="19" borderId="1" xfId="0" applyNumberFormat="1" applyFont="1" applyFill="1" applyBorder="1" applyAlignment="1">
      <alignment horizontal="center" vertical="center"/>
    </xf>
    <xf numFmtId="0" fontId="49" fillId="45" borderId="1" xfId="148" applyFont="1" applyFill="1" applyBorder="1" applyAlignment="1">
      <alignment vertical="center" wrapText="1"/>
    </xf>
    <xf numFmtId="173" fontId="42" fillId="45" borderId="1" xfId="7" applyNumberFormat="1" applyFont="1" applyFill="1" applyBorder="1" applyAlignment="1">
      <alignment horizontal="center" vertical="center"/>
    </xf>
    <xf numFmtId="0" fontId="89" fillId="40" borderId="53" xfId="0" applyFont="1" applyFill="1" applyBorder="1" applyAlignment="1">
      <alignment horizontal="center" vertical="center" wrapText="1"/>
    </xf>
    <xf numFmtId="0" fontId="124" fillId="0" borderId="89" xfId="0" applyFont="1" applyBorder="1" applyAlignment="1">
      <alignment horizontal="justify" vertical="center" wrapText="1"/>
    </xf>
    <xf numFmtId="0" fontId="124" fillId="0" borderId="90" xfId="0" applyFont="1" applyBorder="1" applyAlignment="1">
      <alignment horizontal="justify" vertical="center" wrapText="1"/>
    </xf>
    <xf numFmtId="203" fontId="122" fillId="42" borderId="1" xfId="4" applyNumberFormat="1" applyFont="1" applyFill="1" applyBorder="1" applyAlignment="1">
      <alignment horizontal="right" vertical="center"/>
    </xf>
    <xf numFmtId="0" fontId="49" fillId="24" borderId="11" xfId="0" applyFont="1" applyFill="1" applyBorder="1" applyAlignment="1">
      <alignment horizontal="center"/>
    </xf>
    <xf numFmtId="0" fontId="121" fillId="25" borderId="14" xfId="0" applyFont="1" applyFill="1" applyBorder="1" applyAlignment="1">
      <alignment horizontal="center" vertical="center"/>
    </xf>
    <xf numFmtId="173" fontId="49" fillId="35" borderId="2" xfId="35" applyNumberFormat="1" applyFont="1" applyFill="1" applyBorder="1" applyAlignment="1">
      <alignment horizontal="center" wrapText="1"/>
    </xf>
    <xf numFmtId="173" fontId="49" fillId="40" borderId="2" xfId="35" applyNumberFormat="1" applyFont="1" applyFill="1" applyBorder="1" applyAlignment="1">
      <alignment horizontal="center"/>
    </xf>
    <xf numFmtId="0" fontId="0" fillId="0" borderId="11" xfId="0" applyBorder="1" applyAlignment="1">
      <alignment horizontal="center"/>
    </xf>
    <xf numFmtId="173" fontId="49" fillId="25" borderId="1" xfId="7" applyNumberFormat="1" applyFont="1" applyFill="1" applyBorder="1" applyAlignment="1">
      <alignment horizontal="center"/>
    </xf>
    <xf numFmtId="0" fontId="125" fillId="25" borderId="1" xfId="0" applyFont="1" applyFill="1" applyBorder="1"/>
    <xf numFmtId="177" fontId="10" fillId="0" borderId="62" xfId="112" applyNumberFormat="1" applyFont="1" applyBorder="1" applyAlignment="1">
      <alignment horizontal="center" vertical="center" wrapText="1"/>
    </xf>
    <xf numFmtId="177" fontId="10" fillId="0" borderId="48" xfId="112" applyNumberFormat="1" applyFont="1" applyBorder="1" applyAlignment="1">
      <alignment horizontal="center" vertical="center" wrapText="1"/>
    </xf>
    <xf numFmtId="0" fontId="65" fillId="20" borderId="41" xfId="175" applyFont="1" applyFill="1" applyBorder="1" applyAlignment="1">
      <alignment horizontal="center"/>
    </xf>
    <xf numFmtId="0" fontId="65" fillId="20" borderId="42" xfId="175" applyFont="1" applyFill="1" applyBorder="1" applyAlignment="1">
      <alignment horizontal="center"/>
    </xf>
    <xf numFmtId="0" fontId="65" fillId="20" borderId="87" xfId="175" applyFont="1" applyFill="1" applyBorder="1" applyAlignment="1">
      <alignment horizontal="center"/>
    </xf>
    <xf numFmtId="0" fontId="65" fillId="20" borderId="33" xfId="175" applyFont="1" applyFill="1" applyBorder="1" applyAlignment="1">
      <alignment horizontal="center"/>
    </xf>
    <xf numFmtId="0" fontId="65" fillId="20" borderId="45" xfId="175" applyFont="1" applyFill="1" applyBorder="1" applyAlignment="1">
      <alignment horizontal="center"/>
    </xf>
    <xf numFmtId="0" fontId="65" fillId="20" borderId="88" xfId="175" applyFont="1" applyFill="1" applyBorder="1" applyAlignment="1">
      <alignment horizontal="center"/>
    </xf>
    <xf numFmtId="0" fontId="10" fillId="0" borderId="0" xfId="175" applyFont="1" applyAlignment="1">
      <alignment horizontal="center" vertical="center" wrapText="1"/>
    </xf>
    <xf numFmtId="0" fontId="60" fillId="0" borderId="0" xfId="175" applyFont="1" applyAlignment="1">
      <alignment horizontal="center" vertical="center" wrapText="1"/>
    </xf>
    <xf numFmtId="177" fontId="61" fillId="0" borderId="45" xfId="112" applyNumberFormat="1" applyFont="1" applyBorder="1" applyAlignment="1">
      <alignment horizontal="center" vertical="center" wrapText="1"/>
    </xf>
    <xf numFmtId="0" fontId="10" fillId="0" borderId="63" xfId="175" applyFont="1" applyBorder="1" applyAlignment="1">
      <alignment horizontal="center" vertical="center"/>
    </xf>
    <xf numFmtId="0" fontId="10" fillId="0" borderId="64" xfId="175" applyFont="1" applyBorder="1" applyAlignment="1">
      <alignment horizontal="center" vertical="center"/>
    </xf>
    <xf numFmtId="0" fontId="10" fillId="6" borderId="35" xfId="175" applyFont="1" applyFill="1" applyBorder="1" applyAlignment="1">
      <alignment horizontal="center" vertical="center"/>
    </xf>
    <xf numFmtId="0" fontId="10" fillId="7" borderId="36" xfId="175" applyFont="1" applyFill="1" applyBorder="1" applyAlignment="1">
      <alignment horizontal="center" vertical="center"/>
    </xf>
    <xf numFmtId="0" fontId="10" fillId="7" borderId="34" xfId="175" applyFont="1" applyFill="1" applyBorder="1" applyAlignment="1">
      <alignment horizontal="center" vertical="center"/>
    </xf>
    <xf numFmtId="0" fontId="10" fillId="7" borderId="38" xfId="175" applyFont="1" applyFill="1" applyBorder="1" applyAlignment="1">
      <alignment horizontal="center" vertical="center"/>
    </xf>
    <xf numFmtId="0" fontId="55" fillId="0" borderId="0" xfId="0" applyFont="1" applyBorder="1" applyAlignment="1">
      <alignment horizontal="center"/>
    </xf>
    <xf numFmtId="0" fontId="55" fillId="0" borderId="29" xfId="0" applyFont="1" applyFill="1" applyBorder="1" applyAlignment="1">
      <alignment horizontal="center" vertical="center" wrapText="1"/>
    </xf>
    <xf numFmtId="0" fontId="55" fillId="0" borderId="34" xfId="0" applyFont="1" applyFill="1" applyBorder="1" applyAlignment="1">
      <alignment horizontal="center" vertical="center" wrapText="1"/>
    </xf>
    <xf numFmtId="0" fontId="55" fillId="0" borderId="65" xfId="0" applyFont="1" applyFill="1" applyBorder="1" applyAlignment="1">
      <alignment horizontal="center" vertical="center" wrapText="1"/>
    </xf>
    <xf numFmtId="0" fontId="55" fillId="17" borderId="13" xfId="0" applyFont="1" applyFill="1" applyBorder="1" applyAlignment="1">
      <alignment horizontal="center"/>
    </xf>
    <xf numFmtId="0" fontId="55" fillId="17" borderId="15" xfId="0" applyFont="1" applyFill="1" applyBorder="1" applyAlignment="1">
      <alignment horizontal="center"/>
    </xf>
    <xf numFmtId="0" fontId="55" fillId="17" borderId="14" xfId="0" applyFont="1" applyFill="1" applyBorder="1" applyAlignment="1">
      <alignment horizontal="center"/>
    </xf>
    <xf numFmtId="0" fontId="12" fillId="0" borderId="0" xfId="0" applyFont="1" applyFill="1" applyAlignment="1">
      <alignment horizontal="center"/>
    </xf>
    <xf numFmtId="0" fontId="12" fillId="0" borderId="0" xfId="0" applyFont="1" applyAlignment="1">
      <alignment horizontal="center"/>
    </xf>
    <xf numFmtId="14" fontId="0" fillId="0" borderId="46" xfId="0" applyNumberFormat="1" applyBorder="1" applyAlignment="1">
      <alignment horizontal="center"/>
    </xf>
    <xf numFmtId="0" fontId="55" fillId="17" borderId="13" xfId="0" applyFont="1" applyFill="1" applyBorder="1" applyAlignment="1">
      <alignment horizontal="center" vertical="center" wrapText="1"/>
    </xf>
    <xf numFmtId="0" fontId="55" fillId="17" borderId="15" xfId="0" applyFont="1" applyFill="1" applyBorder="1" applyAlignment="1">
      <alignment horizontal="center" vertical="center" wrapText="1"/>
    </xf>
    <xf numFmtId="0" fontId="55" fillId="17" borderId="14" xfId="0" applyFont="1" applyFill="1" applyBorder="1" applyAlignment="1">
      <alignment horizontal="center" vertical="center" wrapText="1"/>
    </xf>
    <xf numFmtId="0" fontId="12" fillId="0" borderId="6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114" fillId="16" borderId="21" xfId="0" applyFont="1" applyFill="1" applyBorder="1" applyAlignment="1">
      <alignment horizontal="center" vertical="center" wrapText="1"/>
    </xf>
    <xf numFmtId="0" fontId="114" fillId="16" borderId="40" xfId="0" applyFont="1" applyFill="1" applyBorder="1" applyAlignment="1">
      <alignment horizontal="center" vertical="center" wrapText="1"/>
    </xf>
    <xf numFmtId="0" fontId="55" fillId="0" borderId="0" xfId="0" applyFont="1" applyAlignment="1">
      <alignment horizontal="center"/>
    </xf>
    <xf numFmtId="0" fontId="13" fillId="0" borderId="67" xfId="0" applyFont="1" applyFill="1" applyBorder="1" applyAlignment="1">
      <alignment horizontal="left"/>
    </xf>
    <xf numFmtId="0" fontId="13" fillId="0" borderId="68" xfId="0" applyFont="1" applyFill="1" applyBorder="1" applyAlignment="1">
      <alignment horizontal="left"/>
    </xf>
    <xf numFmtId="0" fontId="13" fillId="0" borderId="69" xfId="0" applyFont="1" applyFill="1" applyBorder="1" applyAlignment="1">
      <alignment horizontal="left"/>
    </xf>
    <xf numFmtId="0" fontId="13" fillId="0" borderId="70" xfId="0" applyFont="1" applyFill="1" applyBorder="1" applyAlignment="1">
      <alignment horizontal="left"/>
    </xf>
    <xf numFmtId="0" fontId="13" fillId="0" borderId="64" xfId="0" applyFont="1" applyFill="1" applyBorder="1" applyAlignment="1">
      <alignment horizontal="left"/>
    </xf>
    <xf numFmtId="0" fontId="13" fillId="0" borderId="49" xfId="0" applyFont="1" applyFill="1" applyBorder="1" applyAlignment="1">
      <alignment horizontal="left"/>
    </xf>
    <xf numFmtId="0" fontId="55" fillId="17" borderId="12" xfId="0" applyFont="1" applyFill="1" applyBorder="1" applyAlignment="1">
      <alignment horizontal="left" vertical="center" wrapText="1"/>
    </xf>
    <xf numFmtId="0" fontId="55" fillId="17" borderId="22" xfId="0" applyFont="1" applyFill="1" applyBorder="1" applyAlignment="1">
      <alignment horizontal="left" vertical="center" wrapText="1"/>
    </xf>
    <xf numFmtId="0" fontId="13" fillId="0" borderId="57" xfId="0" applyFont="1" applyFill="1" applyBorder="1" applyAlignment="1">
      <alignment horizontal="left"/>
    </xf>
    <xf numFmtId="0" fontId="13" fillId="0" borderId="58" xfId="0" applyFont="1" applyFill="1" applyBorder="1" applyAlignment="1">
      <alignment horizontal="left"/>
    </xf>
    <xf numFmtId="0" fontId="13" fillId="0" borderId="55" xfId="0" applyFont="1" applyFill="1" applyBorder="1" applyAlignment="1">
      <alignment horizontal="left"/>
    </xf>
    <xf numFmtId="0" fontId="13" fillId="0" borderId="56" xfId="0" applyFont="1" applyFill="1" applyBorder="1" applyAlignment="1">
      <alignment horizontal="left"/>
    </xf>
    <xf numFmtId="174" fontId="50" fillId="0" borderId="61" xfId="0" applyNumberFormat="1" applyFont="1" applyFill="1" applyBorder="1" applyAlignment="1">
      <alignment horizontal="center"/>
    </xf>
    <xf numFmtId="174" fontId="50" fillId="0" borderId="72" xfId="0" applyNumberFormat="1" applyFont="1" applyFill="1" applyBorder="1" applyAlignment="1">
      <alignment horizontal="center"/>
    </xf>
    <xf numFmtId="0" fontId="11" fillId="0" borderId="53" xfId="0" applyFont="1" applyBorder="1" applyAlignment="1">
      <alignment horizontal="left" wrapText="1"/>
    </xf>
    <xf numFmtId="0" fontId="11" fillId="0" borderId="1" xfId="0" applyFont="1" applyBorder="1" applyAlignment="1">
      <alignment horizontal="left" wrapText="1"/>
    </xf>
    <xf numFmtId="0" fontId="11" fillId="0" borderId="54" xfId="0" applyFont="1" applyBorder="1" applyAlignment="1">
      <alignment horizontal="left" wrapText="1"/>
    </xf>
    <xf numFmtId="174" fontId="11" fillId="0" borderId="53" xfId="0" applyNumberFormat="1" applyFont="1" applyFill="1" applyBorder="1" applyAlignment="1">
      <alignment horizontal="center"/>
    </xf>
    <xf numFmtId="174" fontId="11" fillId="0" borderId="6" xfId="0" applyNumberFormat="1" applyFont="1" applyFill="1" applyBorder="1" applyAlignment="1">
      <alignment horizontal="center"/>
    </xf>
    <xf numFmtId="174" fontId="115" fillId="17" borderId="53" xfId="0" applyNumberFormat="1" applyFont="1" applyFill="1" applyBorder="1" applyAlignment="1">
      <alignment horizontal="center"/>
    </xf>
    <xf numFmtId="174" fontId="115" fillId="17" borderId="54" xfId="0" applyNumberFormat="1" applyFont="1" applyFill="1" applyBorder="1" applyAlignment="1">
      <alignment horizontal="center"/>
    </xf>
    <xf numFmtId="174" fontId="11" fillId="0" borderId="54" xfId="0" applyNumberFormat="1" applyFont="1" applyFill="1" applyBorder="1" applyAlignment="1">
      <alignment horizontal="center"/>
    </xf>
    <xf numFmtId="174" fontId="11" fillId="17" borderId="53" xfId="0" applyNumberFormat="1" applyFont="1" applyFill="1" applyBorder="1" applyAlignment="1">
      <alignment horizontal="center"/>
    </xf>
    <xf numFmtId="174" fontId="11" fillId="17" borderId="54" xfId="0" applyNumberFormat="1" applyFont="1" applyFill="1" applyBorder="1" applyAlignment="1">
      <alignment horizontal="center"/>
    </xf>
    <xf numFmtId="174" fontId="11" fillId="0" borderId="55" xfId="0" applyNumberFormat="1" applyFont="1" applyFill="1" applyBorder="1" applyAlignment="1">
      <alignment horizontal="center"/>
    </xf>
    <xf numFmtId="174" fontId="11" fillId="0" borderId="18" xfId="0" applyNumberFormat="1" applyFont="1" applyFill="1" applyBorder="1" applyAlignment="1">
      <alignment horizontal="center"/>
    </xf>
    <xf numFmtId="0" fontId="11" fillId="0" borderId="55" xfId="0" applyFont="1" applyBorder="1" applyAlignment="1">
      <alignment horizontal="left" wrapText="1"/>
    </xf>
    <xf numFmtId="0" fontId="11" fillId="0" borderId="37" xfId="0" applyFont="1" applyBorder="1" applyAlignment="1">
      <alignment horizontal="left" wrapText="1"/>
    </xf>
    <xf numFmtId="0" fontId="11" fillId="0" borderId="56" xfId="0" applyFont="1" applyBorder="1" applyAlignment="1">
      <alignment horizontal="left" wrapText="1"/>
    </xf>
    <xf numFmtId="0" fontId="115" fillId="0" borderId="53" xfId="0" applyFont="1" applyBorder="1" applyAlignment="1">
      <alignment horizontal="left" wrapText="1"/>
    </xf>
    <xf numFmtId="0" fontId="115" fillId="0" borderId="1" xfId="0" applyFont="1" applyBorder="1" applyAlignment="1">
      <alignment horizontal="left" wrapText="1"/>
    </xf>
    <xf numFmtId="0" fontId="115" fillId="0" borderId="54" xfId="0" applyFont="1" applyBorder="1" applyAlignment="1">
      <alignment horizontal="left" wrapText="1"/>
    </xf>
    <xf numFmtId="174" fontId="50" fillId="17" borderId="53" xfId="0" applyNumberFormat="1" applyFont="1" applyFill="1" applyBorder="1" applyAlignment="1">
      <alignment horizontal="center"/>
    </xf>
    <xf numFmtId="174" fontId="50" fillId="17" borderId="6" xfId="0" applyNumberFormat="1" applyFont="1" applyFill="1" applyBorder="1" applyAlignment="1">
      <alignment horizontal="center"/>
    </xf>
    <xf numFmtId="174" fontId="11" fillId="17" borderId="6" xfId="0" applyNumberFormat="1" applyFont="1" applyFill="1" applyBorder="1" applyAlignment="1">
      <alignment horizontal="center"/>
    </xf>
    <xf numFmtId="174" fontId="11" fillId="17" borderId="55" xfId="0" applyNumberFormat="1" applyFont="1" applyFill="1" applyBorder="1" applyAlignment="1">
      <alignment horizontal="center"/>
    </xf>
    <xf numFmtId="174" fontId="11" fillId="17" borderId="56" xfId="0" applyNumberFormat="1" applyFont="1" applyFill="1" applyBorder="1" applyAlignment="1">
      <alignment horizontal="center"/>
    </xf>
    <xf numFmtId="0" fontId="116" fillId="17" borderId="13" xfId="0" applyFont="1" applyFill="1" applyBorder="1" applyAlignment="1">
      <alignment horizontal="center"/>
    </xf>
    <xf numFmtId="0" fontId="116" fillId="17" borderId="14" xfId="0" applyFont="1" applyFill="1" applyBorder="1" applyAlignment="1">
      <alignment horizontal="center"/>
    </xf>
    <xf numFmtId="174" fontId="116" fillId="17" borderId="33" xfId="0" applyNumberFormat="1" applyFont="1" applyFill="1" applyBorder="1" applyAlignment="1">
      <alignment horizontal="center"/>
    </xf>
    <xf numFmtId="174" fontId="116" fillId="17" borderId="71" xfId="0" applyNumberFormat="1" applyFont="1" applyFill="1" applyBorder="1" applyAlignment="1">
      <alignment horizontal="center"/>
    </xf>
    <xf numFmtId="0" fontId="55" fillId="0" borderId="0" xfId="0" applyFont="1" applyAlignment="1">
      <alignment horizontal="left"/>
    </xf>
    <xf numFmtId="0" fontId="56" fillId="17" borderId="41" xfId="0" applyFont="1" applyFill="1" applyBorder="1" applyAlignment="1">
      <alignment horizontal="center" vertical="center" wrapText="1"/>
    </xf>
    <xf numFmtId="0" fontId="56" fillId="17" borderId="42" xfId="0" applyFont="1" applyFill="1" applyBorder="1" applyAlignment="1">
      <alignment horizontal="center" vertical="center" wrapText="1"/>
    </xf>
    <xf numFmtId="0" fontId="56" fillId="17" borderId="43" xfId="0" applyFont="1" applyFill="1" applyBorder="1" applyAlignment="1">
      <alignment horizontal="center" vertical="center" wrapText="1"/>
    </xf>
    <xf numFmtId="0" fontId="56" fillId="17" borderId="33" xfId="0" applyFont="1" applyFill="1" applyBorder="1" applyAlignment="1">
      <alignment horizontal="center" vertical="center" wrapText="1"/>
    </xf>
    <xf numFmtId="0" fontId="56" fillId="17" borderId="45" xfId="0" applyFont="1" applyFill="1" applyBorder="1" applyAlignment="1">
      <alignment horizontal="center" vertical="center" wrapText="1"/>
    </xf>
    <xf numFmtId="0" fontId="56" fillId="17" borderId="71" xfId="0" applyFont="1" applyFill="1" applyBorder="1" applyAlignment="1">
      <alignment horizontal="center" vertical="center" wrapText="1"/>
    </xf>
    <xf numFmtId="0" fontId="56" fillId="17" borderId="12" xfId="0" applyFont="1" applyFill="1" applyBorder="1" applyAlignment="1">
      <alignment horizontal="center" vertical="center" wrapText="1"/>
    </xf>
    <xf numFmtId="0" fontId="56" fillId="17" borderId="22" xfId="0" applyFont="1" applyFill="1" applyBorder="1" applyAlignment="1">
      <alignment horizontal="center" vertical="center" wrapText="1"/>
    </xf>
    <xf numFmtId="0" fontId="56" fillId="17" borderId="16" xfId="0" applyFont="1" applyFill="1" applyBorder="1" applyAlignment="1">
      <alignment horizontal="center" vertical="center" wrapText="1"/>
    </xf>
    <xf numFmtId="174" fontId="50" fillId="0" borderId="53" xfId="0" applyNumberFormat="1" applyFont="1" applyFill="1" applyBorder="1" applyAlignment="1">
      <alignment horizontal="center"/>
    </xf>
    <xf numFmtId="174" fontId="50" fillId="0" borderId="6" xfId="0" applyNumberFormat="1" applyFont="1" applyFill="1" applyBorder="1" applyAlignment="1">
      <alignment horizontal="center"/>
    </xf>
    <xf numFmtId="174" fontId="50" fillId="17" borderId="66" xfId="0" applyNumberFormat="1" applyFont="1" applyFill="1" applyBorder="1" applyAlignment="1">
      <alignment horizontal="center"/>
    </xf>
    <xf numFmtId="174" fontId="50" fillId="17" borderId="23" xfId="0" applyNumberFormat="1" applyFont="1" applyFill="1" applyBorder="1" applyAlignment="1">
      <alignment horizontal="center"/>
    </xf>
    <xf numFmtId="0" fontId="50" fillId="0" borderId="61" xfId="0" applyFont="1" applyBorder="1" applyAlignment="1">
      <alignment horizontal="left" wrapText="1"/>
    </xf>
    <xf numFmtId="0" fontId="50" fillId="0" borderId="39" xfId="0" applyFont="1" applyBorder="1" applyAlignment="1">
      <alignment horizontal="left" wrapText="1"/>
    </xf>
    <xf numFmtId="0" fontId="50" fillId="0" borderId="72" xfId="0" applyFont="1" applyBorder="1" applyAlignment="1">
      <alignment horizontal="left" wrapText="1"/>
    </xf>
    <xf numFmtId="0" fontId="55" fillId="0" borderId="0" xfId="0" applyFont="1" applyFill="1" applyBorder="1" applyAlignment="1">
      <alignment horizontal="center"/>
    </xf>
    <xf numFmtId="0" fontId="13" fillId="0" borderId="61" xfId="0" applyFont="1" applyBorder="1" applyAlignment="1">
      <alignment horizontal="left"/>
    </xf>
    <xf numFmtId="0" fontId="13" fillId="0" borderId="39" xfId="0" applyFont="1" applyBorder="1" applyAlignment="1">
      <alignment horizontal="left"/>
    </xf>
    <xf numFmtId="0" fontId="13" fillId="0" borderId="72" xfId="0" applyFont="1" applyBorder="1" applyAlignment="1">
      <alignment horizontal="left"/>
    </xf>
    <xf numFmtId="0" fontId="13" fillId="0" borderId="53" xfId="0" applyFont="1" applyBorder="1" applyAlignment="1">
      <alignment horizontal="left"/>
    </xf>
    <xf numFmtId="0" fontId="13" fillId="0" borderId="1" xfId="0" applyFont="1" applyBorder="1" applyAlignment="1">
      <alignment horizontal="left"/>
    </xf>
    <xf numFmtId="0" fontId="13" fillId="0" borderId="54" xfId="0" applyFont="1" applyBorder="1" applyAlignment="1">
      <alignment horizontal="left"/>
    </xf>
    <xf numFmtId="0" fontId="53" fillId="0" borderId="53" xfId="0" applyFont="1" applyBorder="1" applyAlignment="1">
      <alignment horizontal="left" vertical="center" wrapText="1"/>
    </xf>
    <xf numFmtId="0" fontId="53" fillId="0" borderId="1" xfId="0" applyFont="1" applyBorder="1" applyAlignment="1">
      <alignment horizontal="left" vertical="center" wrapText="1"/>
    </xf>
    <xf numFmtId="0" fontId="53" fillId="0" borderId="54" xfId="0" applyFont="1" applyBorder="1" applyAlignment="1">
      <alignment horizontal="left" vertical="center" wrapText="1"/>
    </xf>
    <xf numFmtId="0" fontId="13" fillId="0" borderId="66" xfId="0" applyFont="1" applyBorder="1" applyAlignment="1">
      <alignment horizontal="left" vertical="center" wrapText="1"/>
    </xf>
    <xf numFmtId="0" fontId="13" fillId="0" borderId="7" xfId="0" applyFont="1" applyBorder="1" applyAlignment="1">
      <alignment horizontal="left" vertical="center" wrapText="1"/>
    </xf>
    <xf numFmtId="0" fontId="13" fillId="0" borderId="23" xfId="0" applyFont="1" applyBorder="1" applyAlignment="1">
      <alignment horizontal="left" vertical="center" wrapText="1"/>
    </xf>
    <xf numFmtId="0" fontId="13" fillId="0" borderId="53" xfId="0" applyFont="1" applyBorder="1" applyAlignment="1">
      <alignment horizontal="left" vertical="center" wrapText="1"/>
    </xf>
    <xf numFmtId="0" fontId="13" fillId="0" borderId="1" xfId="0" applyFont="1" applyBorder="1" applyAlignment="1">
      <alignment horizontal="left" vertical="center" wrapText="1"/>
    </xf>
    <xf numFmtId="0" fontId="13" fillId="0" borderId="54" xfId="0" applyFont="1" applyBorder="1" applyAlignment="1">
      <alignment horizontal="left" vertical="center" wrapText="1"/>
    </xf>
    <xf numFmtId="0" fontId="59" fillId="0" borderId="41" xfId="0" applyFont="1" applyBorder="1" applyAlignment="1">
      <alignment horizontal="center"/>
    </xf>
    <xf numFmtId="0" fontId="59" fillId="0" borderId="43" xfId="0" applyFont="1" applyBorder="1" applyAlignment="1">
      <alignment horizontal="center"/>
    </xf>
    <xf numFmtId="0" fontId="53" fillId="0" borderId="53" xfId="0" applyFont="1" applyBorder="1" applyAlignment="1">
      <alignment horizontal="left"/>
    </xf>
    <xf numFmtId="0" fontId="53" fillId="0" borderId="1" xfId="0" applyFont="1" applyBorder="1" applyAlignment="1">
      <alignment horizontal="left"/>
    </xf>
    <xf numFmtId="0" fontId="53" fillId="0" borderId="54" xfId="0" applyFont="1" applyBorder="1" applyAlignment="1">
      <alignment horizontal="left"/>
    </xf>
    <xf numFmtId="0" fontId="53" fillId="0" borderId="55" xfId="0" applyFont="1" applyBorder="1" applyAlignment="1">
      <alignment horizontal="left"/>
    </xf>
    <xf numFmtId="0" fontId="53" fillId="0" borderId="37" xfId="0" applyFont="1" applyBorder="1" applyAlignment="1">
      <alignment horizontal="left"/>
    </xf>
    <xf numFmtId="0" fontId="53" fillId="0" borderId="56" xfId="0" applyFont="1" applyBorder="1" applyAlignment="1">
      <alignment horizontal="left"/>
    </xf>
    <xf numFmtId="0" fontId="55" fillId="17" borderId="69" xfId="0" applyFont="1" applyFill="1" applyBorder="1" applyAlignment="1">
      <alignment horizontal="center" vertical="center" wrapText="1"/>
    </xf>
    <xf numFmtId="0" fontId="55" fillId="17" borderId="73" xfId="0" applyFont="1" applyFill="1" applyBorder="1" applyAlignment="1">
      <alignment horizontal="center" vertical="center" wrapText="1"/>
    </xf>
    <xf numFmtId="0" fontId="55" fillId="17" borderId="70" xfId="0" applyFont="1" applyFill="1" applyBorder="1" applyAlignment="1">
      <alignment horizontal="center" vertical="center" wrapText="1"/>
    </xf>
    <xf numFmtId="0" fontId="12" fillId="0" borderId="53" xfId="0" applyFont="1" applyBorder="1" applyAlignment="1">
      <alignment horizontal="left" vertical="center" wrapText="1"/>
    </xf>
    <xf numFmtId="0" fontId="12" fillId="0" borderId="1" xfId="0" applyFont="1" applyBorder="1" applyAlignment="1">
      <alignment horizontal="left" vertical="center" wrapText="1"/>
    </xf>
    <xf numFmtId="0" fontId="12" fillId="0" borderId="54" xfId="0" applyFont="1" applyBorder="1" applyAlignment="1">
      <alignment horizontal="left" vertical="center" wrapText="1"/>
    </xf>
    <xf numFmtId="0" fontId="56" fillId="17" borderId="10" xfId="0" applyFont="1" applyFill="1" applyBorder="1" applyAlignment="1">
      <alignment horizontal="center" vertical="center" wrapText="1"/>
    </xf>
    <xf numFmtId="0" fontId="59" fillId="0" borderId="13" xfId="0" applyFont="1" applyBorder="1" applyAlignment="1">
      <alignment horizontal="center"/>
    </xf>
    <xf numFmtId="0" fontId="59" fillId="0" borderId="14" xfId="0" applyFont="1" applyBorder="1" applyAlignment="1">
      <alignment horizontal="center"/>
    </xf>
    <xf numFmtId="0" fontId="59" fillId="0" borderId="33" xfId="0" applyFont="1" applyBorder="1" applyAlignment="1">
      <alignment horizontal="center"/>
    </xf>
    <xf numFmtId="0" fontId="59" fillId="0" borderId="71" xfId="0" applyFont="1" applyBorder="1" applyAlignment="1">
      <alignment horizontal="center"/>
    </xf>
    <xf numFmtId="174" fontId="59" fillId="0" borderId="41" xfId="0" applyNumberFormat="1" applyFont="1" applyBorder="1" applyAlignment="1">
      <alignment horizontal="center"/>
    </xf>
    <xf numFmtId="174" fontId="59" fillId="0" borderId="43" xfId="0" applyNumberFormat="1" applyFont="1" applyBorder="1" applyAlignment="1">
      <alignment horizontal="center"/>
    </xf>
    <xf numFmtId="174" fontId="59" fillId="0" borderId="13" xfId="0" applyNumberFormat="1" applyFont="1" applyBorder="1" applyAlignment="1">
      <alignment horizontal="center"/>
    </xf>
    <xf numFmtId="174" fontId="59" fillId="0" borderId="14" xfId="0" applyNumberFormat="1" applyFont="1" applyBorder="1" applyAlignment="1">
      <alignment horizontal="center"/>
    </xf>
    <xf numFmtId="174" fontId="59" fillId="0" borderId="33" xfId="0" applyNumberFormat="1" applyFont="1" applyBorder="1" applyAlignment="1">
      <alignment horizontal="center"/>
    </xf>
    <xf numFmtId="174" fontId="59" fillId="0" borderId="71" xfId="0" applyNumberFormat="1" applyFont="1" applyBorder="1" applyAlignment="1">
      <alignment horizontal="center"/>
    </xf>
    <xf numFmtId="0" fontId="87" fillId="16" borderId="1" xfId="155" applyFont="1" applyFill="1" applyBorder="1" applyAlignment="1">
      <alignment horizontal="left" vertical="center" wrapText="1"/>
    </xf>
    <xf numFmtId="0" fontId="87" fillId="0" borderId="0" xfId="0" applyFont="1" applyFill="1" applyAlignment="1">
      <alignment horizontal="center"/>
    </xf>
    <xf numFmtId="0" fontId="0" fillId="0" borderId="6" xfId="0" applyFont="1" applyBorder="1" applyAlignment="1">
      <alignment horizontal="justify" vertical="center" wrapText="1"/>
    </xf>
    <xf numFmtId="0" fontId="0" fillId="0" borderId="7" xfId="0" applyFont="1" applyBorder="1" applyAlignment="1">
      <alignment horizontal="justify" vertical="center" wrapText="1"/>
    </xf>
    <xf numFmtId="0" fontId="0" fillId="0" borderId="3" xfId="0" applyFont="1" applyBorder="1" applyAlignment="1">
      <alignment horizontal="justify" vertical="center" wrapText="1"/>
    </xf>
    <xf numFmtId="0" fontId="0" fillId="0" borderId="21" xfId="0" applyBorder="1" applyAlignment="1">
      <alignment horizontal="center" wrapText="1"/>
    </xf>
    <xf numFmtId="0" fontId="0" fillId="0" borderId="8" xfId="0" applyFont="1" applyBorder="1" applyAlignment="1">
      <alignment horizontal="center" wrapText="1"/>
    </xf>
    <xf numFmtId="0" fontId="0" fillId="0" borderId="20" xfId="0" applyFont="1" applyBorder="1" applyAlignment="1">
      <alignment horizontal="center" wrapText="1"/>
    </xf>
    <xf numFmtId="0" fontId="88" fillId="0" borderId="40" xfId="0" applyFont="1" applyBorder="1" applyAlignment="1">
      <alignment horizontal="center" vertical="top" wrapText="1"/>
    </xf>
    <xf numFmtId="0" fontId="88" fillId="0" borderId="16" xfId="0" applyFont="1" applyBorder="1" applyAlignment="1">
      <alignment horizontal="center" vertical="top" wrapText="1"/>
    </xf>
    <xf numFmtId="0" fontId="88" fillId="0" borderId="52" xfId="0" applyFont="1" applyBorder="1" applyAlignment="1">
      <alignment horizontal="center" vertical="top" wrapText="1"/>
    </xf>
    <xf numFmtId="0" fontId="87" fillId="0" borderId="0" xfId="0" applyFont="1" applyAlignment="1">
      <alignment horizontal="center" vertical="justify" wrapText="1"/>
    </xf>
    <xf numFmtId="0" fontId="1" fillId="0" borderId="1" xfId="0" applyFont="1" applyBorder="1" applyAlignment="1">
      <alignment horizontal="justify" vertical="center" wrapText="1"/>
    </xf>
    <xf numFmtId="0" fontId="0" fillId="0" borderId="1" xfId="0" applyFont="1" applyBorder="1" applyAlignment="1">
      <alignment horizontal="justify" vertical="center" wrapText="1"/>
    </xf>
    <xf numFmtId="0" fontId="49" fillId="39" borderId="1" xfId="0" applyFont="1" applyFill="1" applyBorder="1" applyAlignment="1">
      <alignment horizontal="center"/>
    </xf>
    <xf numFmtId="0" fontId="0" fillId="39" borderId="1" xfId="0" applyFill="1" applyBorder="1" applyAlignment="1">
      <alignment horizontal="center"/>
    </xf>
    <xf numFmtId="0" fontId="87" fillId="44" borderId="0" xfId="0" applyFont="1" applyFill="1" applyAlignment="1">
      <alignment horizontal="center" vertical="justify" wrapText="1"/>
    </xf>
    <xf numFmtId="0" fontId="1" fillId="41" borderId="1" xfId="0" applyFont="1" applyFill="1" applyBorder="1" applyAlignment="1">
      <alignment horizontal="justify" vertical="center" wrapText="1"/>
    </xf>
    <xf numFmtId="0" fontId="0" fillId="41" borderId="1" xfId="0" applyFont="1" applyFill="1" applyBorder="1" applyAlignment="1">
      <alignment horizontal="justify" vertical="center" wrapText="1"/>
    </xf>
    <xf numFmtId="0" fontId="87" fillId="25" borderId="6" xfId="135" applyFont="1" applyFill="1" applyBorder="1" applyAlignment="1">
      <alignment horizontal="center" vertical="center"/>
    </xf>
    <xf numFmtId="0" fontId="87" fillId="25" borderId="7" xfId="135" applyFont="1" applyFill="1" applyBorder="1" applyAlignment="1">
      <alignment horizontal="center" vertical="center"/>
    </xf>
    <xf numFmtId="0" fontId="87" fillId="25" borderId="3" xfId="135" applyFont="1" applyFill="1" applyBorder="1" applyAlignment="1">
      <alignment horizontal="center" vertical="center"/>
    </xf>
    <xf numFmtId="0" fontId="105" fillId="24" borderId="1" xfId="138" applyFont="1" applyFill="1" applyBorder="1" applyAlignment="1">
      <alignment vertical="center" wrapText="1"/>
    </xf>
    <xf numFmtId="0" fontId="42" fillId="16" borderId="6" xfId="138" applyFont="1" applyFill="1" applyBorder="1" applyAlignment="1">
      <alignment horizontal="left" vertical="center"/>
    </xf>
    <xf numFmtId="0" fontId="42" fillId="16" borderId="7" xfId="138" applyFont="1" applyFill="1" applyBorder="1" applyAlignment="1">
      <alignment horizontal="left" vertical="center"/>
    </xf>
    <xf numFmtId="0" fontId="42" fillId="16" borderId="3" xfId="138" applyFont="1" applyFill="1" applyBorder="1" applyAlignment="1">
      <alignment horizontal="left" vertical="center"/>
    </xf>
    <xf numFmtId="0" fontId="49" fillId="16" borderId="6" xfId="138" applyFont="1" applyFill="1" applyBorder="1" applyAlignment="1">
      <alignment horizontal="left" vertical="center"/>
    </xf>
    <xf numFmtId="0" fontId="49" fillId="16" borderId="7" xfId="138" applyFont="1" applyFill="1" applyBorder="1" applyAlignment="1">
      <alignment horizontal="left" vertical="center"/>
    </xf>
    <xf numFmtId="0" fontId="49" fillId="16" borderId="3" xfId="138" applyFont="1" applyFill="1" applyBorder="1" applyAlignment="1">
      <alignment horizontal="left" vertical="center"/>
    </xf>
    <xf numFmtId="0" fontId="105" fillId="25" borderId="6" xfId="138" applyFont="1" applyFill="1" applyBorder="1" applyAlignment="1">
      <alignment horizontal="center" vertical="center" wrapText="1"/>
    </xf>
    <xf numFmtId="0" fontId="105" fillId="25" borderId="3" xfId="138" applyFont="1" applyFill="1" applyBorder="1" applyAlignment="1">
      <alignment horizontal="center" vertical="center" wrapText="1"/>
    </xf>
    <xf numFmtId="0" fontId="93" fillId="0" borderId="1" xfId="138" applyFont="1" applyBorder="1" applyAlignment="1">
      <alignment horizontal="center" vertical="center"/>
    </xf>
    <xf numFmtId="0" fontId="105" fillId="30" borderId="1" xfId="138" applyFont="1" applyFill="1" applyBorder="1" applyAlignment="1">
      <alignment horizontal="center" vertical="center" wrapText="1"/>
    </xf>
    <xf numFmtId="0" fontId="105" fillId="30" borderId="21" xfId="138" applyFont="1" applyFill="1" applyBorder="1" applyAlignment="1">
      <alignment horizontal="center" vertical="center" wrapText="1"/>
    </xf>
    <xf numFmtId="0" fontId="105" fillId="30" borderId="40" xfId="138" applyFont="1" applyFill="1" applyBorder="1" applyAlignment="1">
      <alignment horizontal="center" vertical="center" wrapText="1"/>
    </xf>
    <xf numFmtId="0" fontId="105" fillId="30" borderId="6" xfId="138" applyFont="1" applyFill="1" applyBorder="1" applyAlignment="1">
      <alignment horizontal="center" vertical="center" wrapText="1"/>
    </xf>
    <xf numFmtId="0" fontId="105" fillId="30" borderId="3" xfId="138" applyFont="1" applyFill="1" applyBorder="1" applyAlignment="1">
      <alignment horizontal="center" vertical="center" wrapText="1"/>
    </xf>
    <xf numFmtId="0" fontId="105" fillId="30" borderId="51" xfId="138" applyFont="1" applyFill="1" applyBorder="1" applyAlignment="1">
      <alignment horizontal="center" vertical="center" wrapText="1"/>
    </xf>
    <xf numFmtId="0" fontId="105" fillId="30" borderId="0" xfId="138" applyFont="1" applyFill="1" applyBorder="1" applyAlignment="1">
      <alignment horizontal="center" vertical="center" wrapText="1"/>
    </xf>
    <xf numFmtId="0" fontId="105" fillId="24" borderId="2" xfId="138" applyFont="1" applyFill="1" applyBorder="1" applyAlignment="1">
      <alignment horizontal="left" vertical="center" wrapText="1"/>
    </xf>
    <xf numFmtId="0" fontId="105" fillId="24" borderId="46" xfId="138" applyFont="1" applyFill="1" applyBorder="1" applyAlignment="1">
      <alignment horizontal="left" vertical="center" wrapText="1"/>
    </xf>
    <xf numFmtId="0" fontId="105" fillId="24" borderId="39" xfId="138" applyFont="1" applyFill="1" applyBorder="1" applyAlignment="1">
      <alignment horizontal="left" vertical="center" wrapText="1"/>
    </xf>
    <xf numFmtId="0" fontId="105" fillId="30" borderId="16" xfId="138" applyFont="1" applyFill="1" applyBorder="1" applyAlignment="1">
      <alignment horizontal="center" vertical="center" wrapText="1"/>
    </xf>
    <xf numFmtId="183" fontId="84" fillId="17" borderId="6" xfId="140" applyNumberFormat="1" applyFont="1" applyFill="1" applyBorder="1" applyAlignment="1">
      <alignment horizontal="left" vertical="center"/>
    </xf>
    <xf numFmtId="183" fontId="84" fillId="17" borderId="7" xfId="140" applyNumberFormat="1" applyFont="1" applyFill="1" applyBorder="1" applyAlignment="1">
      <alignment horizontal="left" vertical="center"/>
    </xf>
    <xf numFmtId="183" fontId="84" fillId="17" borderId="3" xfId="140" applyNumberFormat="1" applyFont="1" applyFill="1" applyBorder="1" applyAlignment="1">
      <alignment horizontal="left" vertical="center"/>
    </xf>
    <xf numFmtId="197" fontId="108" fillId="0" borderId="0" xfId="140" applyNumberFormat="1" applyFont="1" applyFill="1" applyAlignment="1">
      <alignment horizontal="center"/>
    </xf>
    <xf numFmtId="0" fontId="82" fillId="0" borderId="0" xfId="144" applyFont="1" applyAlignment="1">
      <alignment horizontal="center" wrapText="1"/>
    </xf>
    <xf numFmtId="0" fontId="84" fillId="17" borderId="1" xfId="140" applyFont="1" applyFill="1" applyBorder="1" applyAlignment="1">
      <alignment horizontal="center" vertical="center"/>
    </xf>
    <xf numFmtId="0" fontId="84" fillId="25" borderId="2" xfId="0" applyFont="1" applyFill="1" applyBorder="1" applyAlignment="1">
      <alignment horizontal="center" vertical="center" wrapText="1"/>
    </xf>
    <xf numFmtId="0" fontId="84" fillId="25" borderId="39" xfId="0" applyFont="1" applyFill="1" applyBorder="1" applyAlignment="1">
      <alignment horizontal="center" vertical="center" wrapText="1"/>
    </xf>
    <xf numFmtId="0" fontId="82" fillId="17" borderId="1" xfId="157" applyFont="1" applyFill="1" applyBorder="1" applyAlignment="1">
      <alignment horizontal="left" vertical="center" wrapText="1"/>
    </xf>
    <xf numFmtId="0" fontId="84" fillId="17" borderId="2" xfId="0" applyFont="1" applyFill="1" applyBorder="1" applyAlignment="1">
      <alignment horizontal="center" vertical="center" wrapText="1"/>
    </xf>
    <xf numFmtId="0" fontId="84" fillId="17" borderId="39" xfId="0" applyFont="1" applyFill="1" applyBorder="1" applyAlignment="1">
      <alignment horizontal="center" vertical="center" wrapText="1"/>
    </xf>
    <xf numFmtId="0" fontId="84" fillId="17" borderId="46" xfId="0" applyFont="1" applyFill="1" applyBorder="1" applyAlignment="1">
      <alignment horizontal="center" vertical="center" wrapText="1"/>
    </xf>
    <xf numFmtId="0" fontId="84" fillId="17" borderId="1" xfId="0" applyFont="1" applyFill="1" applyBorder="1" applyAlignment="1">
      <alignment horizontal="center" vertical="center"/>
    </xf>
    <xf numFmtId="0" fontId="84" fillId="17" borderId="2" xfId="0" applyFont="1" applyFill="1" applyBorder="1" applyAlignment="1">
      <alignment horizontal="center" vertical="center"/>
    </xf>
    <xf numFmtId="0" fontId="84" fillId="17" borderId="1" xfId="0" applyFont="1" applyFill="1" applyBorder="1" applyAlignment="1">
      <alignment horizontal="center" vertical="center" wrapText="1"/>
    </xf>
    <xf numFmtId="1" fontId="84" fillId="17" borderId="39" xfId="0" applyNumberFormat="1" applyFont="1" applyFill="1" applyBorder="1" applyAlignment="1">
      <alignment horizontal="center" vertical="center" wrapText="1"/>
    </xf>
    <xf numFmtId="1" fontId="84" fillId="17" borderId="1" xfId="0" applyNumberFormat="1" applyFont="1" applyFill="1" applyBorder="1" applyAlignment="1">
      <alignment horizontal="center" vertical="center" wrapText="1"/>
    </xf>
    <xf numFmtId="0" fontId="49" fillId="16" borderId="6" xfId="0" applyFont="1" applyFill="1" applyBorder="1" applyAlignment="1">
      <alignment horizontal="left" vertical="center"/>
    </xf>
    <xf numFmtId="0" fontId="49" fillId="16" borderId="7" xfId="0" applyFont="1" applyFill="1" applyBorder="1" applyAlignment="1">
      <alignment horizontal="left" vertical="center"/>
    </xf>
    <xf numFmtId="0" fontId="49" fillId="16" borderId="3" xfId="0" applyFont="1" applyFill="1" applyBorder="1" applyAlignment="1">
      <alignment horizontal="left" vertical="center"/>
    </xf>
    <xf numFmtId="0" fontId="49" fillId="17" borderId="6" xfId="0" applyFont="1" applyFill="1" applyBorder="1" applyAlignment="1">
      <alignment horizontal="center" vertical="center"/>
    </xf>
    <xf numFmtId="0" fontId="49" fillId="17" borderId="7" xfId="0" applyFont="1" applyFill="1" applyBorder="1" applyAlignment="1">
      <alignment horizontal="center" vertical="center"/>
    </xf>
    <xf numFmtId="0" fontId="49" fillId="17" borderId="3" xfId="0" applyFont="1" applyFill="1" applyBorder="1" applyAlignment="1">
      <alignment horizontal="center" vertical="center"/>
    </xf>
    <xf numFmtId="0" fontId="49" fillId="17" borderId="6" xfId="0" applyFont="1" applyFill="1" applyBorder="1" applyAlignment="1">
      <alignment horizontal="left" vertical="center"/>
    </xf>
    <xf numFmtId="0" fontId="49" fillId="17" borderId="7" xfId="0" applyFont="1" applyFill="1" applyBorder="1" applyAlignment="1">
      <alignment horizontal="left" vertical="center"/>
    </xf>
    <xf numFmtId="0" fontId="49" fillId="17" borderId="3" xfId="0" applyFont="1" applyFill="1" applyBorder="1" applyAlignment="1">
      <alignment horizontal="left" vertical="center"/>
    </xf>
    <xf numFmtId="0" fontId="49" fillId="25" borderId="6" xfId="0" applyFont="1" applyFill="1" applyBorder="1" applyAlignment="1">
      <alignment horizontal="center" vertical="center"/>
    </xf>
    <xf numFmtId="0" fontId="49" fillId="25" borderId="7" xfId="0" applyFont="1" applyFill="1" applyBorder="1" applyAlignment="1">
      <alignment horizontal="center" vertical="center"/>
    </xf>
    <xf numFmtId="0" fontId="49" fillId="25" borderId="3" xfId="0" applyFont="1" applyFill="1" applyBorder="1" applyAlignment="1">
      <alignment horizontal="center" vertical="center"/>
    </xf>
    <xf numFmtId="0" fontId="117" fillId="0" borderId="20" xfId="0" applyFont="1" applyBorder="1" applyAlignment="1">
      <alignment horizontal="left" vertical="center"/>
    </xf>
    <xf numFmtId="0" fontId="117" fillId="0" borderId="52" xfId="0" applyFont="1" applyBorder="1" applyAlignment="1">
      <alignment horizontal="left" vertical="center"/>
    </xf>
    <xf numFmtId="174" fontId="42" fillId="0" borderId="2" xfId="93" applyNumberFormat="1" applyFont="1" applyFill="1" applyBorder="1" applyAlignment="1">
      <alignment horizontal="center" vertical="center"/>
    </xf>
    <xf numFmtId="174" fontId="42" fillId="0" borderId="39" xfId="93" applyNumberFormat="1" applyFont="1" applyFill="1" applyBorder="1" applyAlignment="1">
      <alignment horizontal="center" vertical="center"/>
    </xf>
    <xf numFmtId="168" fontId="42" fillId="0" borderId="2" xfId="8" applyFont="1" applyFill="1" applyBorder="1" applyAlignment="1">
      <alignment horizontal="center" vertical="center"/>
    </xf>
    <xf numFmtId="168" fontId="42" fillId="0" borderId="39" xfId="8" applyFont="1" applyFill="1" applyBorder="1" applyAlignment="1">
      <alignment horizontal="center" vertical="center"/>
    </xf>
    <xf numFmtId="185" fontId="0" fillId="0" borderId="2" xfId="0" applyNumberFormat="1" applyFont="1" applyFill="1" applyBorder="1" applyAlignment="1">
      <alignment horizontal="center" vertical="center"/>
    </xf>
    <xf numFmtId="185" fontId="0" fillId="0" borderId="39" xfId="0" applyNumberFormat="1" applyFont="1" applyFill="1" applyBorder="1" applyAlignment="1">
      <alignment horizontal="center" vertical="center"/>
    </xf>
    <xf numFmtId="201" fontId="81" fillId="0" borderId="0" xfId="0" applyNumberFormat="1" applyFont="1" applyAlignment="1">
      <alignment horizontal="center"/>
    </xf>
    <xf numFmtId="0" fontId="82" fillId="23" borderId="0" xfId="0" applyFont="1" applyFill="1" applyAlignment="1">
      <alignment horizontal="center" vertical="justify"/>
    </xf>
    <xf numFmtId="0" fontId="82" fillId="23" borderId="0" xfId="0" applyFont="1" applyFill="1" applyBorder="1" applyAlignment="1">
      <alignment horizontal="center" vertical="justify"/>
    </xf>
    <xf numFmtId="0" fontId="84" fillId="23" borderId="0" xfId="0" applyFont="1" applyFill="1" applyBorder="1" applyAlignment="1">
      <alignment horizontal="center" vertical="justify"/>
    </xf>
    <xf numFmtId="0" fontId="84" fillId="23" borderId="0" xfId="0" applyFont="1" applyFill="1" applyBorder="1" applyAlignment="1">
      <alignment horizontal="center"/>
    </xf>
    <xf numFmtId="0" fontId="84" fillId="17" borderId="6" xfId="0" applyFont="1" applyFill="1" applyBorder="1" applyAlignment="1">
      <alignment horizontal="center" vertical="center"/>
    </xf>
    <xf numFmtId="0" fontId="84" fillId="17" borderId="7" xfId="0" applyFont="1" applyFill="1" applyBorder="1" applyAlignment="1">
      <alignment horizontal="center" vertical="center"/>
    </xf>
    <xf numFmtId="0" fontId="84" fillId="17" borderId="3" xfId="0" applyFont="1" applyFill="1" applyBorder="1" applyAlignment="1">
      <alignment horizontal="center" vertical="center"/>
    </xf>
    <xf numFmtId="0" fontId="84" fillId="17" borderId="6" xfId="0" applyFont="1" applyFill="1" applyBorder="1" applyAlignment="1">
      <alignment horizontal="left" vertical="center"/>
    </xf>
    <xf numFmtId="0" fontId="84" fillId="17" borderId="7" xfId="0" applyFont="1" applyFill="1" applyBorder="1" applyAlignment="1">
      <alignment horizontal="left" vertical="center"/>
    </xf>
    <xf numFmtId="0" fontId="84" fillId="17" borderId="3" xfId="0" applyFont="1" applyFill="1" applyBorder="1" applyAlignment="1">
      <alignment horizontal="left" vertical="center"/>
    </xf>
    <xf numFmtId="183" fontId="82" fillId="17" borderId="6" xfId="102" applyNumberFormat="1" applyFont="1" applyFill="1" applyBorder="1" applyAlignment="1">
      <alignment horizontal="left" vertical="center"/>
    </xf>
    <xf numFmtId="183" fontId="82" fillId="17" borderId="7" xfId="102" applyNumberFormat="1" applyFont="1" applyFill="1" applyBorder="1" applyAlignment="1">
      <alignment horizontal="left" vertical="center"/>
    </xf>
    <xf numFmtId="183" fontId="82" fillId="17" borderId="3" xfId="102" applyNumberFormat="1" applyFont="1" applyFill="1" applyBorder="1" applyAlignment="1">
      <alignment horizontal="left" vertical="center"/>
    </xf>
    <xf numFmtId="0" fontId="118" fillId="0" borderId="0" xfId="131" applyFont="1" applyAlignment="1">
      <alignment horizontal="center"/>
    </xf>
    <xf numFmtId="0" fontId="118" fillId="0" borderId="0" xfId="131" applyFont="1" applyBorder="1" applyAlignment="1">
      <alignment horizontal="center"/>
    </xf>
    <xf numFmtId="0" fontId="82" fillId="17" borderId="6" xfId="131" applyFont="1" applyFill="1" applyBorder="1" applyAlignment="1">
      <alignment horizontal="center" vertical="center"/>
    </xf>
    <xf numFmtId="0" fontId="82" fillId="17" borderId="7" xfId="131" applyFont="1" applyFill="1" applyBorder="1" applyAlignment="1">
      <alignment horizontal="center" vertical="center"/>
    </xf>
    <xf numFmtId="0" fontId="82" fillId="17" borderId="3" xfId="131" applyFont="1" applyFill="1" applyBorder="1" applyAlignment="1">
      <alignment horizontal="center" vertical="center"/>
    </xf>
    <xf numFmtId="0" fontId="82" fillId="17" borderId="6" xfId="131" applyFont="1" applyFill="1" applyBorder="1" applyAlignment="1">
      <alignment horizontal="center" vertical="center" wrapText="1"/>
    </xf>
    <xf numFmtId="0" fontId="82" fillId="17" borderId="7" xfId="131" applyFont="1" applyFill="1" applyBorder="1" applyAlignment="1">
      <alignment horizontal="center" vertical="center" wrapText="1"/>
    </xf>
    <xf numFmtId="0" fontId="82" fillId="17" borderId="3" xfId="131" applyFont="1" applyFill="1" applyBorder="1" applyAlignment="1">
      <alignment horizontal="center" vertical="center" wrapText="1"/>
    </xf>
    <xf numFmtId="0" fontId="82" fillId="0" borderId="0" xfId="0" applyFont="1" applyFill="1" applyBorder="1" applyAlignment="1">
      <alignment horizontal="left" vertical="center" wrapText="1"/>
    </xf>
    <xf numFmtId="183" fontId="82" fillId="17" borderId="1" xfId="91" applyNumberFormat="1" applyFont="1" applyFill="1" applyBorder="1" applyAlignment="1">
      <alignment horizontal="left" vertical="center"/>
    </xf>
    <xf numFmtId="0" fontId="118" fillId="0" borderId="0" xfId="0" applyFont="1" applyAlignment="1">
      <alignment horizontal="center"/>
    </xf>
    <xf numFmtId="0" fontId="118" fillId="0" borderId="0" xfId="0" applyFont="1" applyBorder="1" applyAlignment="1">
      <alignment horizontal="center"/>
    </xf>
    <xf numFmtId="0" fontId="82" fillId="17" borderId="1" xfId="0" applyFont="1" applyFill="1" applyBorder="1" applyAlignment="1">
      <alignment horizontal="center" vertical="center" wrapText="1"/>
    </xf>
    <xf numFmtId="0" fontId="83" fillId="17" borderId="6" xfId="0" applyFont="1" applyFill="1" applyBorder="1" applyAlignment="1">
      <alignment horizontal="left" vertical="center" wrapText="1"/>
    </xf>
    <xf numFmtId="0" fontId="83" fillId="17" borderId="7" xfId="0" applyFont="1" applyFill="1" applyBorder="1" applyAlignment="1">
      <alignment horizontal="left" vertical="center" wrapText="1"/>
    </xf>
    <xf numFmtId="0" fontId="83" fillId="17" borderId="3" xfId="0" applyFont="1" applyFill="1" applyBorder="1" applyAlignment="1">
      <alignment horizontal="left" vertical="center" wrapText="1"/>
    </xf>
    <xf numFmtId="0" fontId="82" fillId="0" borderId="0" xfId="0" applyFont="1" applyAlignment="1">
      <alignment horizontal="center" vertical="center"/>
    </xf>
    <xf numFmtId="0" fontId="82" fillId="0" borderId="0" xfId="0" applyFont="1" applyBorder="1" applyAlignment="1">
      <alignment horizontal="center" vertical="center"/>
    </xf>
    <xf numFmtId="0" fontId="82" fillId="17" borderId="1" xfId="0" applyFont="1" applyFill="1" applyBorder="1" applyAlignment="1">
      <alignment horizontal="center" vertical="center"/>
    </xf>
    <xf numFmtId="0" fontId="83" fillId="17" borderId="40" xfId="0" applyFont="1" applyFill="1" applyBorder="1" applyAlignment="1">
      <alignment horizontal="left" vertical="center" wrapText="1"/>
    </xf>
    <xf numFmtId="0" fontId="83" fillId="17" borderId="16" xfId="0" applyFont="1" applyFill="1" applyBorder="1" applyAlignment="1">
      <alignment horizontal="left" vertical="center" wrapText="1"/>
    </xf>
    <xf numFmtId="0" fontId="84" fillId="16" borderId="6" xfId="0" applyFont="1" applyFill="1" applyBorder="1" applyAlignment="1">
      <alignment horizontal="left" vertical="center"/>
    </xf>
    <xf numFmtId="0" fontId="84" fillId="16" borderId="7" xfId="0" applyFont="1" applyFill="1" applyBorder="1" applyAlignment="1">
      <alignment horizontal="left" vertical="center"/>
    </xf>
    <xf numFmtId="0" fontId="84" fillId="16" borderId="6" xfId="0" applyFont="1" applyFill="1" applyBorder="1" applyAlignment="1">
      <alignment horizontal="center" vertical="center"/>
    </xf>
    <xf numFmtId="0" fontId="84" fillId="16" borderId="7" xfId="0" applyFont="1" applyFill="1" applyBorder="1" applyAlignment="1">
      <alignment horizontal="center" vertical="center"/>
    </xf>
    <xf numFmtId="0" fontId="84" fillId="16" borderId="3" xfId="0" applyFont="1" applyFill="1" applyBorder="1" applyAlignment="1">
      <alignment horizontal="center" vertical="center"/>
    </xf>
    <xf numFmtId="0" fontId="101" fillId="0" borderId="2" xfId="0" applyFont="1" applyBorder="1" applyAlignment="1">
      <alignment horizontal="left" vertical="center" wrapText="1"/>
    </xf>
    <xf numFmtId="0" fontId="101" fillId="0" borderId="39" xfId="0" applyFont="1" applyBorder="1" applyAlignment="1">
      <alignment horizontal="left" vertical="center" wrapText="1"/>
    </xf>
    <xf numFmtId="173" fontId="86" fillId="0" borderId="2" xfId="15" applyNumberFormat="1" applyFont="1" applyFill="1" applyBorder="1" applyAlignment="1">
      <alignment horizontal="center" vertical="center" wrapText="1"/>
    </xf>
    <xf numFmtId="173" fontId="86" fillId="0" borderId="39" xfId="15" applyNumberFormat="1" applyFont="1" applyFill="1" applyBorder="1" applyAlignment="1">
      <alignment horizontal="center" vertical="center" wrapText="1"/>
    </xf>
    <xf numFmtId="183" fontId="86" fillId="0" borderId="2" xfId="91" applyNumberFormat="1" applyFont="1" applyFill="1" applyBorder="1" applyAlignment="1">
      <alignment horizontal="center" vertical="center"/>
    </xf>
    <xf numFmtId="183" fontId="86" fillId="0" borderId="39" xfId="91" applyNumberFormat="1" applyFont="1" applyFill="1" applyBorder="1" applyAlignment="1">
      <alignment horizontal="center" vertical="center"/>
    </xf>
    <xf numFmtId="0" fontId="82" fillId="17" borderId="1" xfId="0" applyFont="1" applyFill="1" applyBorder="1" applyAlignment="1">
      <alignment horizontal="left" vertical="center"/>
    </xf>
    <xf numFmtId="0" fontId="82" fillId="17" borderId="6" xfId="0" applyFont="1" applyFill="1" applyBorder="1" applyAlignment="1">
      <alignment horizontal="center" vertical="center"/>
    </xf>
    <xf numFmtId="0" fontId="82" fillId="17" borderId="7" xfId="0" applyFont="1" applyFill="1" applyBorder="1" applyAlignment="1">
      <alignment horizontal="center" vertical="center"/>
    </xf>
    <xf numFmtId="183" fontId="81" fillId="0" borderId="2" xfId="91" applyNumberFormat="1" applyFont="1" applyFill="1" applyBorder="1" applyAlignment="1">
      <alignment horizontal="center" vertical="center"/>
    </xf>
    <xf numFmtId="183" fontId="81" fillId="0" borderId="39" xfId="91" applyNumberFormat="1" applyFont="1" applyFill="1" applyBorder="1" applyAlignment="1">
      <alignment horizontal="center" vertical="center"/>
    </xf>
    <xf numFmtId="0" fontId="84" fillId="16" borderId="3" xfId="0" applyFont="1" applyFill="1" applyBorder="1" applyAlignment="1">
      <alignment horizontal="left" vertical="center"/>
    </xf>
    <xf numFmtId="0" fontId="81" fillId="0" borderId="2" xfId="131" applyFont="1" applyFill="1" applyBorder="1" applyAlignment="1">
      <alignment horizontal="left" vertical="center" wrapText="1"/>
    </xf>
    <xf numFmtId="0" fontId="81" fillId="0" borderId="39" xfId="131" applyFont="1" applyFill="1" applyBorder="1" applyAlignment="1">
      <alignment horizontal="left" vertical="center" wrapText="1"/>
    </xf>
    <xf numFmtId="0" fontId="81" fillId="0" borderId="2" xfId="131" applyFont="1" applyFill="1" applyBorder="1" applyAlignment="1">
      <alignment horizontal="center" vertical="center" wrapText="1"/>
    </xf>
    <xf numFmtId="0" fontId="81" fillId="0" borderId="39" xfId="131" applyFont="1" applyFill="1" applyBorder="1" applyAlignment="1">
      <alignment horizontal="center" vertical="center" wrapText="1"/>
    </xf>
    <xf numFmtId="183" fontId="81" fillId="0" borderId="2" xfId="102" applyNumberFormat="1" applyFont="1" applyFill="1" applyBorder="1" applyAlignment="1">
      <alignment horizontal="center" vertical="center" wrapText="1"/>
    </xf>
    <xf numFmtId="183" fontId="81" fillId="0" borderId="39" xfId="102" applyNumberFormat="1" applyFont="1" applyFill="1" applyBorder="1" applyAlignment="1">
      <alignment horizontal="center" vertical="center" wrapText="1"/>
    </xf>
    <xf numFmtId="183" fontId="86" fillId="0" borderId="2" xfId="102" quotePrefix="1" applyNumberFormat="1" applyFont="1" applyFill="1" applyBorder="1" applyAlignment="1">
      <alignment horizontal="center" vertical="center"/>
    </xf>
    <xf numFmtId="183" fontId="86" fillId="0" borderId="39" xfId="102" quotePrefix="1" applyNumberFormat="1" applyFont="1" applyFill="1" applyBorder="1" applyAlignment="1">
      <alignment horizontal="center" vertical="center"/>
    </xf>
    <xf numFmtId="0" fontId="36" fillId="0" borderId="0" xfId="0" applyFont="1" applyAlignment="1">
      <alignment horizontal="center"/>
    </xf>
    <xf numFmtId="0" fontId="7" fillId="2" borderId="2" xfId="0" applyFont="1" applyFill="1" applyBorder="1" applyAlignment="1">
      <alignment horizontal="center" vertical="center" wrapText="1"/>
    </xf>
    <xf numFmtId="0" fontId="7" fillId="2" borderId="39" xfId="0" applyFont="1" applyFill="1" applyBorder="1" applyAlignment="1">
      <alignment horizontal="center" vertical="center" wrapText="1"/>
    </xf>
    <xf numFmtId="170" fontId="49" fillId="2" borderId="2" xfId="7" applyNumberFormat="1" applyFont="1" applyFill="1" applyBorder="1" applyAlignment="1">
      <alignment horizontal="center" vertical="center" wrapText="1"/>
    </xf>
    <xf numFmtId="170" fontId="49" fillId="2" borderId="39" xfId="7" applyNumberFormat="1" applyFont="1" applyFill="1" applyBorder="1" applyAlignment="1">
      <alignment horizontal="center" vertical="center" wrapText="1"/>
    </xf>
    <xf numFmtId="0" fontId="74" fillId="0" borderId="0" xfId="0" applyFont="1" applyAlignment="1">
      <alignment horizontal="center"/>
    </xf>
    <xf numFmtId="0" fontId="74" fillId="8" borderId="6" xfId="0" applyFont="1" applyFill="1" applyBorder="1" applyAlignment="1">
      <alignment horizontal="center" vertical="center"/>
    </xf>
    <xf numFmtId="0" fontId="74" fillId="8" borderId="7" xfId="0" applyFont="1" applyFill="1" applyBorder="1" applyAlignment="1">
      <alignment horizontal="center" vertical="center"/>
    </xf>
    <xf numFmtId="0" fontId="74" fillId="8" borderId="3" xfId="0" applyFont="1" applyFill="1" applyBorder="1" applyAlignment="1">
      <alignment horizontal="center" vertical="center"/>
    </xf>
    <xf numFmtId="0" fontId="74" fillId="0" borderId="0" xfId="0" applyFont="1" applyFill="1" applyBorder="1" applyAlignment="1">
      <alignment horizontal="left"/>
    </xf>
    <xf numFmtId="0" fontId="74" fillId="0" borderId="8" xfId="0" applyFont="1" applyFill="1" applyBorder="1" applyAlignment="1">
      <alignment horizontal="center"/>
    </xf>
    <xf numFmtId="0" fontId="73" fillId="0" borderId="1" xfId="0" applyFont="1" applyBorder="1" applyAlignment="1">
      <alignment horizontal="center" vertical="center" wrapText="1"/>
    </xf>
    <xf numFmtId="2" fontId="74" fillId="0" borderId="21" xfId="0" applyNumberFormat="1" applyFont="1" applyBorder="1" applyAlignment="1">
      <alignment horizontal="center" vertical="center" wrapText="1"/>
    </xf>
    <xf numFmtId="0" fontId="73" fillId="0" borderId="20" xfId="0" applyFont="1" applyBorder="1" applyAlignment="1">
      <alignment horizontal="center" vertical="center" wrapText="1"/>
    </xf>
    <xf numFmtId="2" fontId="74" fillId="0" borderId="51" xfId="0" applyNumberFormat="1" applyFont="1" applyBorder="1" applyAlignment="1">
      <alignment horizontal="center" vertical="center" wrapText="1"/>
    </xf>
    <xf numFmtId="0" fontId="73" fillId="0" borderId="50" xfId="0" applyFont="1" applyBorder="1" applyAlignment="1">
      <alignment horizontal="center" vertical="center" wrapText="1"/>
    </xf>
    <xf numFmtId="0" fontId="73" fillId="0" borderId="40" xfId="0" applyFont="1" applyBorder="1" applyAlignment="1">
      <alignment horizontal="center" vertical="center" wrapText="1"/>
    </xf>
    <xf numFmtId="0" fontId="73" fillId="0" borderId="52" xfId="0" applyFont="1" applyBorder="1" applyAlignment="1">
      <alignment horizontal="center" vertical="center" wrapText="1"/>
    </xf>
    <xf numFmtId="0" fontId="74" fillId="8" borderId="1" xfId="0" applyFont="1" applyFill="1" applyBorder="1" applyAlignment="1">
      <alignment horizontal="center" vertical="center"/>
    </xf>
    <xf numFmtId="0" fontId="74" fillId="0" borderId="6" xfId="0" applyFont="1" applyFill="1" applyBorder="1" applyAlignment="1">
      <alignment horizontal="center" vertical="center"/>
    </xf>
    <xf numFmtId="0" fontId="74" fillId="0" borderId="7" xfId="0" applyFont="1" applyFill="1" applyBorder="1" applyAlignment="1">
      <alignment horizontal="center" vertical="center"/>
    </xf>
    <xf numFmtId="0" fontId="74" fillId="0" borderId="3" xfId="0" applyFont="1" applyFill="1" applyBorder="1" applyAlignment="1">
      <alignment horizontal="center" vertical="center"/>
    </xf>
    <xf numFmtId="0" fontId="74" fillId="0" borderId="0" xfId="0" applyFont="1" applyFill="1" applyBorder="1" applyAlignment="1">
      <alignment horizontal="center" vertical="center" wrapText="1"/>
    </xf>
    <xf numFmtId="0" fontId="72" fillId="0" borderId="0" xfId="0" applyFont="1" applyFill="1" applyBorder="1" applyAlignment="1">
      <alignment horizontal="center" vertical="center" wrapText="1"/>
    </xf>
    <xf numFmtId="0" fontId="76" fillId="0" borderId="0" xfId="0" applyFont="1" applyFill="1" applyBorder="1" applyAlignment="1">
      <alignment horizontal="center" vertical="center" wrapText="1"/>
    </xf>
    <xf numFmtId="0" fontId="75" fillId="0" borderId="0" xfId="0" applyFont="1" applyFill="1" applyBorder="1" applyAlignment="1">
      <alignment horizontal="center" vertical="center" wrapText="1"/>
    </xf>
    <xf numFmtId="0" fontId="74" fillId="0" borderId="0" xfId="0" applyFont="1" applyBorder="1" applyAlignment="1">
      <alignment horizontal="center" vertical="center" wrapText="1"/>
    </xf>
    <xf numFmtId="0" fontId="72" fillId="0" borderId="0" xfId="0" applyFont="1" applyBorder="1" applyAlignment="1">
      <alignment horizontal="center" vertical="center" wrapText="1"/>
    </xf>
    <xf numFmtId="0" fontId="74" fillId="0" borderId="21" xfId="0" applyFont="1" applyFill="1" applyBorder="1" applyAlignment="1">
      <alignment horizontal="center" vertical="center" wrapText="1"/>
    </xf>
    <xf numFmtId="0" fontId="73" fillId="0" borderId="51" xfId="0" applyFont="1" applyBorder="1" applyAlignment="1">
      <alignment horizontal="center" vertical="center" wrapText="1"/>
    </xf>
    <xf numFmtId="0" fontId="74" fillId="0" borderId="8" xfId="0" applyFont="1" applyFill="1" applyBorder="1" applyAlignment="1">
      <alignment horizontal="center" vertical="center" wrapText="1"/>
    </xf>
    <xf numFmtId="0" fontId="74" fillId="0" borderId="20" xfId="0" applyFont="1" applyFill="1" applyBorder="1" applyAlignment="1">
      <alignment horizontal="center" vertical="center" wrapText="1"/>
    </xf>
    <xf numFmtId="0" fontId="74" fillId="0" borderId="0" xfId="0" applyFont="1" applyFill="1" applyBorder="1" applyAlignment="1">
      <alignment horizontal="center"/>
    </xf>
    <xf numFmtId="0" fontId="76" fillId="0" borderId="0" xfId="0" applyFont="1" applyFill="1" applyBorder="1" applyAlignment="1">
      <alignment horizontal="center"/>
    </xf>
    <xf numFmtId="0" fontId="74" fillId="0" borderId="1" xfId="0" applyFont="1" applyFill="1" applyBorder="1" applyAlignment="1">
      <alignment horizontal="center" vertical="center" wrapText="1"/>
    </xf>
    <xf numFmtId="0" fontId="76" fillId="0" borderId="51" xfId="0" applyFont="1" applyFill="1" applyBorder="1" applyAlignment="1">
      <alignment horizontal="center" vertical="center" wrapText="1"/>
    </xf>
    <xf numFmtId="0" fontId="74" fillId="0" borderId="8" xfId="0" applyFont="1" applyFill="1" applyBorder="1" applyAlignment="1">
      <alignment horizontal="center" vertical="center"/>
    </xf>
    <xf numFmtId="0" fontId="74" fillId="0" borderId="21" xfId="0" applyFont="1" applyFill="1" applyBorder="1" applyAlignment="1">
      <alignment horizontal="center" vertical="center"/>
    </xf>
    <xf numFmtId="0" fontId="74" fillId="0" borderId="20" xfId="0" applyFont="1" applyFill="1" applyBorder="1" applyAlignment="1">
      <alignment horizontal="center" vertical="center"/>
    </xf>
    <xf numFmtId="0" fontId="9" fillId="0" borderId="0" xfId="0" applyFont="1" applyAlignment="1">
      <alignment horizontal="center"/>
    </xf>
    <xf numFmtId="0" fontId="9" fillId="0" borderId="16" xfId="0" applyFont="1" applyBorder="1" applyAlignment="1">
      <alignment horizontal="center"/>
    </xf>
    <xf numFmtId="0" fontId="10" fillId="8" borderId="6" xfId="0" applyFont="1" applyFill="1" applyBorder="1" applyAlignment="1">
      <alignment horizontal="center"/>
    </xf>
    <xf numFmtId="0" fontId="10" fillId="8" borderId="7" xfId="0" applyFont="1" applyFill="1" applyBorder="1" applyAlignment="1">
      <alignment horizontal="center"/>
    </xf>
    <xf numFmtId="0" fontId="10" fillId="8" borderId="3" xfId="0" applyFont="1" applyFill="1" applyBorder="1" applyAlignment="1">
      <alignment horizontal="center"/>
    </xf>
    <xf numFmtId="0" fontId="9" fillId="0" borderId="21"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0" fillId="0" borderId="1" xfId="0" applyFont="1" applyFill="1" applyBorder="1" applyAlignment="1">
      <alignment horizontal="left" vertical="center" wrapText="1"/>
    </xf>
    <xf numFmtId="183" fontId="21" fillId="17" borderId="6" xfId="91" applyNumberFormat="1" applyFont="1" applyFill="1" applyBorder="1" applyAlignment="1">
      <alignment horizontal="left" vertical="center"/>
    </xf>
    <xf numFmtId="183" fontId="21" fillId="17" borderId="3" xfId="91" applyNumberFormat="1" applyFont="1" applyFill="1" applyBorder="1" applyAlignment="1">
      <alignment horizontal="left" vertical="center"/>
    </xf>
    <xf numFmtId="0" fontId="24" fillId="17" borderId="1" xfId="142" applyFont="1" applyFill="1" applyBorder="1" applyAlignment="1">
      <alignment horizontal="center" vertical="center" wrapText="1"/>
    </xf>
    <xf numFmtId="0" fontId="119" fillId="0" borderId="0" xfId="0" applyFont="1" applyBorder="1" applyAlignment="1">
      <alignment horizontal="center"/>
    </xf>
    <xf numFmtId="0" fontId="119" fillId="0" borderId="0" xfId="0" applyFont="1" applyAlignment="1">
      <alignment horizontal="center"/>
    </xf>
    <xf numFmtId="0" fontId="24" fillId="17" borderId="2" xfId="142" applyFont="1" applyFill="1" applyBorder="1" applyAlignment="1">
      <alignment horizontal="center" vertical="center" wrapText="1"/>
    </xf>
    <xf numFmtId="0" fontId="24" fillId="17" borderId="39" xfId="142" applyFont="1" applyFill="1" applyBorder="1" applyAlignment="1">
      <alignment horizontal="center" vertical="center" wrapText="1"/>
    </xf>
    <xf numFmtId="0" fontId="22" fillId="17" borderId="6" xfId="0" applyFont="1" applyFill="1" applyBorder="1" applyAlignment="1">
      <alignment horizontal="center" vertical="center"/>
    </xf>
    <xf numFmtId="0" fontId="22" fillId="17" borderId="7" xfId="0" applyFont="1" applyFill="1" applyBorder="1" applyAlignment="1">
      <alignment horizontal="center" vertical="center"/>
    </xf>
    <xf numFmtId="0" fontId="22" fillId="17" borderId="3" xfId="0" applyFont="1" applyFill="1" applyBorder="1" applyAlignment="1">
      <alignment horizontal="center" vertical="center"/>
    </xf>
    <xf numFmtId="0" fontId="82" fillId="17" borderId="6" xfId="157" applyFont="1" applyFill="1" applyBorder="1" applyAlignment="1">
      <alignment horizontal="center" vertical="center" wrapText="1"/>
    </xf>
    <xf numFmtId="0" fontId="82" fillId="17" borderId="7" xfId="157" applyFont="1" applyFill="1" applyBorder="1" applyAlignment="1">
      <alignment horizontal="center" vertical="center" wrapText="1"/>
    </xf>
    <xf numFmtId="0" fontId="82" fillId="17" borderId="3" xfId="157" applyFont="1" applyFill="1" applyBorder="1" applyAlignment="1">
      <alignment horizontal="center" vertical="center" wrapText="1"/>
    </xf>
    <xf numFmtId="0" fontId="120" fillId="34" borderId="82" xfId="0" applyFont="1" applyFill="1" applyBorder="1" applyAlignment="1">
      <alignment horizontal="center" vertical="center"/>
    </xf>
    <xf numFmtId="0" fontId="120" fillId="34" borderId="83" xfId="0" applyFont="1" applyFill="1" applyBorder="1" applyAlignment="1">
      <alignment horizontal="center" vertical="center"/>
    </xf>
    <xf numFmtId="0" fontId="109" fillId="0" borderId="80" xfId="0" applyFont="1" applyBorder="1" applyAlignment="1">
      <alignment horizontal="center" vertical="center" wrapText="1"/>
    </xf>
    <xf numFmtId="0" fontId="109" fillId="0" borderId="78" xfId="0" applyFont="1" applyBorder="1" applyAlignment="1">
      <alignment horizontal="center" vertical="center" wrapText="1"/>
    </xf>
    <xf numFmtId="0" fontId="109" fillId="0" borderId="81" xfId="0" applyFont="1" applyBorder="1" applyAlignment="1">
      <alignment horizontal="center" vertical="center" wrapText="1"/>
    </xf>
    <xf numFmtId="0" fontId="109" fillId="0" borderId="79" xfId="0" applyFont="1" applyBorder="1" applyAlignment="1">
      <alignment horizontal="center" vertical="center" wrapText="1"/>
    </xf>
    <xf numFmtId="183" fontId="84" fillId="17" borderId="6" xfId="144" applyNumberFormat="1" applyFont="1" applyFill="1" applyBorder="1" applyAlignment="1">
      <alignment horizontal="left" vertical="center"/>
    </xf>
    <xf numFmtId="183" fontId="84" fillId="17" borderId="7" xfId="144" applyNumberFormat="1" applyFont="1" applyFill="1" applyBorder="1" applyAlignment="1">
      <alignment horizontal="left" vertical="center"/>
    </xf>
    <xf numFmtId="183" fontId="84" fillId="17" borderId="3" xfId="144" applyNumberFormat="1" applyFont="1" applyFill="1" applyBorder="1" applyAlignment="1">
      <alignment horizontal="left" vertical="center"/>
    </xf>
    <xf numFmtId="0" fontId="84" fillId="17" borderId="1" xfId="144" applyFont="1" applyFill="1" applyBorder="1" applyAlignment="1">
      <alignment horizontal="center" vertical="center"/>
    </xf>
    <xf numFmtId="0" fontId="15" fillId="0" borderId="0" xfId="0" applyFont="1" applyAlignment="1">
      <alignment horizontal="center"/>
    </xf>
    <xf numFmtId="1" fontId="10" fillId="3" borderId="1" xfId="112" applyNumberFormat="1" applyFont="1" applyFill="1" applyBorder="1" applyAlignment="1">
      <alignment horizontal="center" vertical="center" wrapText="1"/>
    </xf>
    <xf numFmtId="10" fontId="61" fillId="23" borderId="37" xfId="177" applyNumberFormat="1" applyFont="1" applyFill="1" applyBorder="1" applyAlignment="1">
      <alignment horizontal="center" vertical="center" wrapText="1"/>
    </xf>
    <xf numFmtId="10" fontId="61" fillId="23" borderId="56" xfId="177" applyNumberFormat="1" applyFont="1" applyFill="1" applyBorder="1" applyAlignment="1">
      <alignment horizontal="center" vertical="center" wrapText="1"/>
    </xf>
    <xf numFmtId="0" fontId="61" fillId="16" borderId="53" xfId="175" applyFont="1" applyFill="1" applyBorder="1" applyAlignment="1">
      <alignment horizontal="center" vertical="center" wrapText="1"/>
    </xf>
    <xf numFmtId="0" fontId="61" fillId="16" borderId="54" xfId="175" applyFont="1" applyFill="1" applyBorder="1" applyAlignment="1">
      <alignment horizontal="center" vertical="center" wrapText="1"/>
    </xf>
    <xf numFmtId="10" fontId="61" fillId="23" borderId="17" xfId="177" applyNumberFormat="1" applyFont="1" applyFill="1" applyBorder="1" applyAlignment="1">
      <alignment horizontal="center" vertical="center" wrapText="1"/>
    </xf>
    <xf numFmtId="10" fontId="61" fillId="23" borderId="39" xfId="177" applyNumberFormat="1" applyFont="1" applyFill="1" applyBorder="1" applyAlignment="1">
      <alignment horizontal="center" vertical="center" wrapText="1"/>
    </xf>
    <xf numFmtId="10" fontId="61" fillId="23" borderId="72" xfId="177" applyNumberFormat="1" applyFont="1" applyFill="1" applyBorder="1" applyAlignment="1">
      <alignment horizontal="center" vertical="center" wrapText="1"/>
    </xf>
    <xf numFmtId="10" fontId="61" fillId="23" borderId="3" xfId="177" applyNumberFormat="1" applyFont="1" applyFill="1" applyBorder="1" applyAlignment="1">
      <alignment horizontal="center" vertical="center" wrapText="1"/>
    </xf>
    <xf numFmtId="10" fontId="61" fillId="23" borderId="1" xfId="177" applyNumberFormat="1" applyFont="1" applyFill="1" applyBorder="1" applyAlignment="1">
      <alignment horizontal="center" vertical="center" wrapText="1"/>
    </xf>
    <xf numFmtId="10" fontId="61" fillId="23" borderId="54" xfId="177" applyNumberFormat="1" applyFont="1" applyFill="1" applyBorder="1" applyAlignment="1">
      <alignment horizontal="center" vertical="center" wrapText="1"/>
    </xf>
    <xf numFmtId="0" fontId="61" fillId="16" borderId="73" xfId="175" applyFont="1" applyFill="1" applyBorder="1" applyAlignment="1">
      <alignment horizontal="center" vertical="center" wrapText="1"/>
    </xf>
    <xf numFmtId="177" fontId="61" fillId="16" borderId="55" xfId="112" applyNumberFormat="1" applyFont="1" applyFill="1" applyBorder="1" applyAlignment="1">
      <alignment horizontal="center" vertical="center" wrapText="1"/>
    </xf>
    <xf numFmtId="177" fontId="61" fillId="16" borderId="56" xfId="112" applyNumberFormat="1" applyFont="1" applyFill="1" applyBorder="1" applyAlignment="1">
      <alignment horizontal="center" vertical="center" wrapText="1"/>
    </xf>
    <xf numFmtId="0" fontId="61" fillId="16" borderId="70" xfId="175" applyFont="1" applyFill="1" applyBorder="1" applyAlignment="1">
      <alignment horizontal="center" vertical="center" wrapText="1"/>
    </xf>
    <xf numFmtId="0" fontId="10" fillId="23" borderId="0" xfId="175" applyFont="1" applyFill="1" applyAlignment="1">
      <alignment horizontal="center" vertical="center" wrapText="1"/>
    </xf>
    <xf numFmtId="0" fontId="15" fillId="23" borderId="0" xfId="175" applyFont="1" applyFill="1" applyAlignment="1">
      <alignment horizontal="center" vertical="center" wrapText="1"/>
    </xf>
    <xf numFmtId="177" fontId="61" fillId="23" borderId="0" xfId="112" applyNumberFormat="1" applyFont="1" applyFill="1" applyBorder="1" applyAlignment="1">
      <alignment horizontal="center" vertical="center" wrapText="1"/>
    </xf>
    <xf numFmtId="0" fontId="61" fillId="16" borderId="69" xfId="175" applyFont="1" applyFill="1" applyBorder="1" applyAlignment="1">
      <alignment horizontal="center" vertical="center" wrapText="1"/>
    </xf>
    <xf numFmtId="10" fontId="61" fillId="23" borderId="52" xfId="177" applyNumberFormat="1" applyFont="1" applyFill="1" applyBorder="1" applyAlignment="1">
      <alignment horizontal="center" vertical="center" wrapText="1"/>
    </xf>
    <xf numFmtId="177" fontId="61" fillId="16" borderId="41" xfId="112" applyNumberFormat="1" applyFont="1" applyFill="1" applyBorder="1" applyAlignment="1">
      <alignment horizontal="center" vertical="center" wrapText="1"/>
    </xf>
    <xf numFmtId="177" fontId="61" fillId="16" borderId="43" xfId="112" applyNumberFormat="1" applyFont="1" applyFill="1" applyBorder="1" applyAlignment="1">
      <alignment horizontal="center" vertical="center" wrapText="1"/>
    </xf>
    <xf numFmtId="0" fontId="10" fillId="0" borderId="67" xfId="175" applyFont="1" applyBorder="1" applyAlignment="1">
      <alignment horizontal="center" vertical="center"/>
    </xf>
    <xf numFmtId="0" fontId="10" fillId="7" borderId="35" xfId="175" applyFont="1" applyFill="1" applyBorder="1" applyAlignment="1">
      <alignment horizontal="center" vertical="center"/>
    </xf>
    <xf numFmtId="177" fontId="10" fillId="3" borderId="35" xfId="112" applyNumberFormat="1" applyFont="1" applyFill="1" applyBorder="1" applyAlignment="1">
      <alignment horizontal="center" vertical="center" wrapText="1"/>
    </xf>
    <xf numFmtId="177" fontId="10" fillId="3" borderId="58" xfId="112" applyNumberFormat="1" applyFont="1" applyFill="1" applyBorder="1" applyAlignment="1">
      <alignment horizontal="center" vertical="center" wrapText="1"/>
    </xf>
    <xf numFmtId="1" fontId="10" fillId="3" borderId="54" xfId="112" applyNumberFormat="1" applyFont="1" applyFill="1" applyBorder="1" applyAlignment="1">
      <alignment horizontal="center" vertical="center" wrapText="1"/>
    </xf>
  </cellXfs>
  <cellStyles count="187">
    <cellStyle name="Euro" xfId="1"/>
    <cellStyle name="Euro 2" xfId="2"/>
    <cellStyle name="Excel Built-in Normal" xfId="3"/>
    <cellStyle name="Excel Built-in Normal 2" xfId="4"/>
    <cellStyle name="Hipervínculo" xfId="5" builtinId="8"/>
    <cellStyle name="Hipervínculo 2" xfId="6"/>
    <cellStyle name="Millares" xfId="7" builtinId="3"/>
    <cellStyle name="Millares [0]" xfId="8" builtinId="6"/>
    <cellStyle name="Millares [0] 2" xfId="9"/>
    <cellStyle name="Millares [0] 2 2" xfId="10"/>
    <cellStyle name="Millares [0] 3" xfId="11"/>
    <cellStyle name="Millares [0] 3 2" xfId="12"/>
    <cellStyle name="Millares [0] 3 2 2" xfId="13"/>
    <cellStyle name="Millares [0] 4" xfId="14"/>
    <cellStyle name="Millares 10" xfId="15"/>
    <cellStyle name="Millares 10 2" xfId="16"/>
    <cellStyle name="Millares 10 8" xfId="17"/>
    <cellStyle name="Millares 10 8 2" xfId="18"/>
    <cellStyle name="Millares 11" xfId="19"/>
    <cellStyle name="Millares 11 2" xfId="20"/>
    <cellStyle name="Millares 12" xfId="21"/>
    <cellStyle name="Millares 12 2" xfId="22"/>
    <cellStyle name="Millares 13" xfId="23"/>
    <cellStyle name="Millares 14" xfId="24"/>
    <cellStyle name="Millares 15" xfId="25"/>
    <cellStyle name="Millares 15 2" xfId="26"/>
    <cellStyle name="Millares 18" xfId="27"/>
    <cellStyle name="Millares 18 2" xfId="28"/>
    <cellStyle name="Millares 2" xfId="29"/>
    <cellStyle name="Millares 2 2" xfId="30"/>
    <cellStyle name="Millares 2 2 2" xfId="31"/>
    <cellStyle name="Millares 2 2 2 2" xfId="32"/>
    <cellStyle name="Millares 2 2 2 2 2" xfId="33"/>
    <cellStyle name="Millares 2 2 3" xfId="34"/>
    <cellStyle name="Millares 2 2 4" xfId="35"/>
    <cellStyle name="Millares 2 2 4 2" xfId="36"/>
    <cellStyle name="Millares 2 3" xfId="37"/>
    <cellStyle name="Millares 2 3 2" xfId="38"/>
    <cellStyle name="Millares 2 3 2 2" xfId="39"/>
    <cellStyle name="Millares 2 3 3" xfId="40"/>
    <cellStyle name="Millares 2 3 3 2" xfId="41"/>
    <cellStyle name="Millares 2 4" xfId="42"/>
    <cellStyle name="Millares 2 4 2" xfId="43"/>
    <cellStyle name="Millares 2 5" xfId="44"/>
    <cellStyle name="Millares 2 5 2" xfId="45"/>
    <cellStyle name="Millares 3" xfId="46"/>
    <cellStyle name="Millares 3 2" xfId="47"/>
    <cellStyle name="Millares 3 2 2" xfId="48"/>
    <cellStyle name="Millares 3 2 3" xfId="49"/>
    <cellStyle name="Millares 3 2 3 2" xfId="50"/>
    <cellStyle name="Millares 3 2 3 2 2" xfId="51"/>
    <cellStyle name="Millares 3 2 3 3" xfId="52"/>
    <cellStyle name="Millares 3 2 4" xfId="53"/>
    <cellStyle name="Millares 3 2 5" xfId="54"/>
    <cellStyle name="Millares 3 2 6" xfId="55"/>
    <cellStyle name="Millares 3 3" xfId="56"/>
    <cellStyle name="Millares 3 3 2" xfId="57"/>
    <cellStyle name="Millares 3 4" xfId="58"/>
    <cellStyle name="Millares 3 5" xfId="59"/>
    <cellStyle name="Millares 4" xfId="60"/>
    <cellStyle name="Millares 4 2" xfId="61"/>
    <cellStyle name="Millares 4 2 2" xfId="62"/>
    <cellStyle name="Millares 4 3" xfId="63"/>
    <cellStyle name="Millares 4 3 2" xfId="64"/>
    <cellStyle name="Millares 4 4" xfId="65"/>
    <cellStyle name="Millares 5" xfId="66"/>
    <cellStyle name="Millares 5 2" xfId="67"/>
    <cellStyle name="Millares 5 2 2" xfId="68"/>
    <cellStyle name="Millares 5 2 2 2" xfId="69"/>
    <cellStyle name="Millares 5 2 3" xfId="70"/>
    <cellStyle name="Millares 5 3" xfId="71"/>
    <cellStyle name="Millares 5 3 2" xfId="72"/>
    <cellStyle name="Millares 5 4" xfId="73"/>
    <cellStyle name="Millares 5 4 2" xfId="74"/>
    <cellStyle name="Millares 5 5" xfId="75"/>
    <cellStyle name="Millares 6" xfId="76"/>
    <cellStyle name="Millares 6 2" xfId="77"/>
    <cellStyle name="Millares 6 3" xfId="78"/>
    <cellStyle name="Millares 7" xfId="79"/>
    <cellStyle name="Millares 7 2" xfId="80"/>
    <cellStyle name="Millares 7 2 2" xfId="81"/>
    <cellStyle name="Millares 7 3" xfId="82"/>
    <cellStyle name="Millares 7 3 2" xfId="83"/>
    <cellStyle name="Millares 7 4" xfId="84"/>
    <cellStyle name="Millares 7 4 2" xfId="85"/>
    <cellStyle name="Millares 7 5" xfId="86"/>
    <cellStyle name="Millares 8" xfId="87"/>
    <cellStyle name="Millares 8 2" xfId="88"/>
    <cellStyle name="Millares 9" xfId="89"/>
    <cellStyle name="Millares 9 2" xfId="90"/>
    <cellStyle name="Moneda" xfId="91" builtinId="4"/>
    <cellStyle name="Moneda [0]" xfId="92" builtinId="7"/>
    <cellStyle name="Moneda [0] 2" xfId="93"/>
    <cellStyle name="Moneda 10" xfId="94"/>
    <cellStyle name="Moneda 10 2" xfId="95"/>
    <cellStyle name="Moneda 11" xfId="96"/>
    <cellStyle name="Moneda 11 2" xfId="97"/>
    <cellStyle name="Moneda 12" xfId="98"/>
    <cellStyle name="Moneda 12 2" xfId="99"/>
    <cellStyle name="Moneda 13" xfId="100"/>
    <cellStyle name="Moneda 13 2" xfId="101"/>
    <cellStyle name="Moneda 14" xfId="102"/>
    <cellStyle name="Moneda 14 2" xfId="103"/>
    <cellStyle name="Moneda 18" xfId="104"/>
    <cellStyle name="Moneda 2" xfId="105"/>
    <cellStyle name="Moneda 2 2" xfId="106"/>
    <cellStyle name="Moneda 2 3" xfId="107"/>
    <cellStyle name="Moneda 3" xfId="108"/>
    <cellStyle name="Moneda 3 2" xfId="109"/>
    <cellStyle name="Moneda 3 3" xfId="110"/>
    <cellStyle name="Moneda 4" xfId="111"/>
    <cellStyle name="Moneda 4 2" xfId="112"/>
    <cellStyle name="Moneda 4 2 2" xfId="113"/>
    <cellStyle name="Moneda 4 3" xfId="114"/>
    <cellStyle name="Moneda 5" xfId="115"/>
    <cellStyle name="Moneda 5 2" xfId="116"/>
    <cellStyle name="Moneda 6" xfId="117"/>
    <cellStyle name="Moneda 6 2" xfId="118"/>
    <cellStyle name="Moneda 7" xfId="119"/>
    <cellStyle name="Moneda 7 2" xfId="120"/>
    <cellStyle name="Moneda 8" xfId="121"/>
    <cellStyle name="Moneda 8 2" xfId="122"/>
    <cellStyle name="Moneda 9" xfId="123"/>
    <cellStyle name="Moneda 9 2" xfId="124"/>
    <cellStyle name="Normal" xfId="0" builtinId="0"/>
    <cellStyle name="Normal 10" xfId="125"/>
    <cellStyle name="Normal 10 2" xfId="126"/>
    <cellStyle name="Normal 11" xfId="127"/>
    <cellStyle name="Normal 11 2" xfId="128"/>
    <cellStyle name="Normal 12" xfId="129"/>
    <cellStyle name="Normal 12 2" xfId="130"/>
    <cellStyle name="Normal 13" xfId="131"/>
    <cellStyle name="Normal 13 3" xfId="132"/>
    <cellStyle name="Normal 14" xfId="133"/>
    <cellStyle name="Normal 14 2" xfId="134"/>
    <cellStyle name="Normal 15" xfId="135"/>
    <cellStyle name="Normal 16" xfId="136"/>
    <cellStyle name="Normal 16 2" xfId="137"/>
    <cellStyle name="Normal 17" xfId="138"/>
    <cellStyle name="Normal 17 2" xfId="139"/>
    <cellStyle name="Normal 19 2" xfId="140"/>
    <cellStyle name="Normal 2" xfId="141"/>
    <cellStyle name="Normal 2 2" xfId="142"/>
    <cellStyle name="Normal 2 2 2" xfId="143"/>
    <cellStyle name="Normal 2 2 2 2" xfId="144"/>
    <cellStyle name="Normal 2 2 3" xfId="145"/>
    <cellStyle name="Normal 2 2 4" xfId="146"/>
    <cellStyle name="Normal 2 3" xfId="147"/>
    <cellStyle name="Normal 2 3 2" xfId="148"/>
    <cellStyle name="Normal 2 4" xfId="149"/>
    <cellStyle name="Normal 2 4 2" xfId="150"/>
    <cellStyle name="Normal 2 4 3" xfId="151"/>
    <cellStyle name="Normal 2 5" xfId="152"/>
    <cellStyle name="Normal 2 6" xfId="153"/>
    <cellStyle name="Normal 20" xfId="154"/>
    <cellStyle name="Normal 3" xfId="155"/>
    <cellStyle name="Normal 3 2" xfId="156"/>
    <cellStyle name="Normal 3 3" xfId="157"/>
    <cellStyle name="Normal 3 4" xfId="158"/>
    <cellStyle name="Normal 3_ESTUDIO DE COSTOS INTERVENTORIA  2011 nov_10 v1(1)" xfId="159"/>
    <cellStyle name="Normal 4" xfId="160"/>
    <cellStyle name="Normal 4 2" xfId="161"/>
    <cellStyle name="Normal 4 2 7" xfId="162"/>
    <cellStyle name="Normal 4 3" xfId="163"/>
    <cellStyle name="Normal 4_ESTUDIO DE COSTOS INTERVENTORIA  2011 nov_10 v1(1)" xfId="164"/>
    <cellStyle name="Normal 5" xfId="165"/>
    <cellStyle name="Normal 5 2" xfId="166"/>
    <cellStyle name="Normal 5 3" xfId="167"/>
    <cellStyle name="Normal 6" xfId="168"/>
    <cellStyle name="Normal 6 2" xfId="169"/>
    <cellStyle name="Normal 66" xfId="170"/>
    <cellStyle name="Normal 7" xfId="171"/>
    <cellStyle name="Normal 7 2" xfId="172"/>
    <cellStyle name="Normal 7 3" xfId="173"/>
    <cellStyle name="Normal 8" xfId="174"/>
    <cellStyle name="Normal 9" xfId="175"/>
    <cellStyle name="Normal_CAMBIOS EN LA METODOLOGÍA B Y  EBI" xfId="176"/>
    <cellStyle name="Porcentaje" xfId="177" builtinId="5"/>
    <cellStyle name="Porcentaje 2" xfId="178"/>
    <cellStyle name="Porcentaje 2 2" xfId="179"/>
    <cellStyle name="Porcentual 2" xfId="180"/>
    <cellStyle name="Porcentual 2 2" xfId="181"/>
    <cellStyle name="Porcentual 3" xfId="182"/>
    <cellStyle name="Porcentual 4" xfId="183"/>
    <cellStyle name="Porcentual 4 2" xfId="184"/>
    <cellStyle name="Porcentual 7" xfId="185"/>
    <cellStyle name="Título 1" xfId="186" builtinId="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externalLink" Target="externalLinks/externalLink9.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externalLink" Target="externalLinks/externalLink10.xml"/><Relationship Id="rId8" Type="http://schemas.openxmlformats.org/officeDocument/2006/relationships/worksheet" Target="worksheets/sheet8.xml"/><Relationship Id="rId51"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stos_2017\Peso_Alimentos\Peso_Aliment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E_Costos_2015\Saciar\Convenio_Sacia_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E_costos_2016\Fubam\Fubam_2015_V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2013\Ciudad_Ni&#241;os_Ni&#241;as_2013.xlsx.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Acompa&#241;amiento\ECACOMPA&#209;AMIENTO_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sers\Usuario\Desktop\papeleri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BIENESTAR%20SOCIAL%202012\USA2012\ALBERGUE%20TEMPORAL\E.PRECIO0201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Costos2018\Acciones_Educativas\costos%20acciones%20educativas_2018_Fin_V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InclusionSocial2013\Ni&#241;ez2013\PedagogiaVivencial\Pedagogia_Vivencial_2013%20(Autoguardad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Users\70562680\AppData\Local\Microsoft\Windows\Temporary%20Internet%20Files\Content.Outlook\H476EWCZ\EQUINOTERAPIA%202012%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L_2017"/>
      <sheetName val="Rac_ind_17"/>
      <sheetName val="Alm_2017"/>
      <sheetName val="Am_Pm_2017"/>
      <sheetName val="Resumen (2)"/>
      <sheetName val="Paq_MG"/>
      <sheetName val="Paq_Lici"/>
      <sheetName val="Vitanut y Mezcla"/>
      <sheetName val="Paq_Vic "/>
      <sheetName val="Paq_FV"/>
      <sheetName val="Paq PP"/>
      <sheetName val="Bono PP"/>
      <sheetName val="Resumen"/>
    </sheetNames>
    <sheetDataSet>
      <sheetData sheetId="0"/>
      <sheetData sheetId="1"/>
      <sheetData sheetId="2"/>
      <sheetData sheetId="3"/>
      <sheetData sheetId="4"/>
      <sheetData sheetId="5"/>
      <sheetData sheetId="6"/>
      <sheetData sheetId="7"/>
      <sheetData sheetId="8">
        <row r="31">
          <cell r="H31">
            <v>25255</v>
          </cell>
        </row>
      </sheetData>
      <sheetData sheetId="9">
        <row r="28">
          <cell r="J28">
            <v>9420</v>
          </cell>
        </row>
      </sheetData>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PP-2"/>
      <sheetName val="Consolidado_Fin"/>
      <sheetName val="Consolidado"/>
      <sheetName val="Recursos PP"/>
      <sheetName val="Hoja1"/>
      <sheetName val="Resump"/>
      <sheetName val="R.H."/>
      <sheetName val="Logistica"/>
      <sheetName val="Estudiomdo"/>
      <sheetName val="Individ"/>
      <sheetName val="IndPP"/>
      <sheetName val="Com_Adul"/>
      <sheetName val="Hoja2"/>
      <sheetName val="Com_Niño"/>
      <sheetName val="Alqact"/>
      <sheetName val="Paquete"/>
      <sheetName val="Paquete_50"/>
      <sheetName val="Imp_Corr"/>
      <sheetName val="Bono"/>
      <sheetName val="Dotacion"/>
      <sheetName val="Papelería "/>
      <sheetName val="Bodega"/>
      <sheetName val="FamPP"/>
      <sheetName val="TipoA"/>
      <sheetName val="TipoB"/>
      <sheetName val="Tipoc"/>
      <sheetName val="Transporte"/>
      <sheetName val="Empaque"/>
      <sheetName val="Indir"/>
      <sheetName val="c.i  Ali"/>
      <sheetName val="Poliz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9">
          <cell r="A9" t="str">
            <v>Aceite</v>
          </cell>
          <cell r="B9">
            <v>1000</v>
          </cell>
          <cell r="C9">
            <v>4690</v>
          </cell>
          <cell r="D9">
            <v>5224</v>
          </cell>
          <cell r="E9">
            <v>4750</v>
          </cell>
          <cell r="F9">
            <v>4690</v>
          </cell>
          <cell r="G9">
            <v>0</v>
          </cell>
          <cell r="H9">
            <v>0</v>
          </cell>
          <cell r="I9">
            <v>4721.0200000000004</v>
          </cell>
        </row>
        <row r="10">
          <cell r="A10" t="str">
            <v>Ahuyama</v>
          </cell>
          <cell r="B10">
            <v>1000</v>
          </cell>
          <cell r="C10">
            <v>1150</v>
          </cell>
          <cell r="D10">
            <v>1100</v>
          </cell>
          <cell r="E10">
            <v>1920</v>
          </cell>
          <cell r="F10">
            <v>0</v>
          </cell>
          <cell r="G10">
            <v>1500</v>
          </cell>
          <cell r="H10">
            <v>600</v>
          </cell>
          <cell r="I10">
            <v>612</v>
          </cell>
        </row>
        <row r="11">
          <cell r="A11" t="str">
            <v>Arepa</v>
          </cell>
          <cell r="B11">
            <v>700</v>
          </cell>
          <cell r="C11">
            <v>2840</v>
          </cell>
          <cell r="D11">
            <v>0</v>
          </cell>
          <cell r="E11">
            <v>2960</v>
          </cell>
          <cell r="F11">
            <v>0</v>
          </cell>
          <cell r="G11">
            <v>3840</v>
          </cell>
          <cell r="H11">
            <v>0</v>
          </cell>
          <cell r="I11">
            <v>2901.02</v>
          </cell>
        </row>
        <row r="12">
          <cell r="A12" t="str">
            <v>Arroz</v>
          </cell>
          <cell r="B12">
            <v>500</v>
          </cell>
          <cell r="C12">
            <v>1240</v>
          </cell>
          <cell r="D12">
            <v>1330</v>
          </cell>
          <cell r="E12">
            <v>1120</v>
          </cell>
          <cell r="F12">
            <v>1190</v>
          </cell>
          <cell r="G12">
            <v>1090</v>
          </cell>
          <cell r="H12">
            <v>0</v>
          </cell>
          <cell r="I12">
            <v>1156</v>
          </cell>
        </row>
        <row r="13">
          <cell r="A13" t="str">
            <v>Arveja seca</v>
          </cell>
          <cell r="B13">
            <v>500</v>
          </cell>
          <cell r="C13">
            <v>1550</v>
          </cell>
          <cell r="D13">
            <v>1490</v>
          </cell>
          <cell r="E13">
            <v>1470</v>
          </cell>
          <cell r="F13">
            <v>0</v>
          </cell>
          <cell r="G13">
            <v>1020</v>
          </cell>
          <cell r="H13">
            <v>0</v>
          </cell>
          <cell r="I13">
            <v>1040.4000000000001</v>
          </cell>
        </row>
        <row r="14">
          <cell r="A14" t="str">
            <v>Atun Aceite</v>
          </cell>
          <cell r="B14">
            <v>170</v>
          </cell>
          <cell r="C14">
            <v>3150</v>
          </cell>
          <cell r="D14">
            <v>3830</v>
          </cell>
          <cell r="E14">
            <v>3370</v>
          </cell>
          <cell r="F14">
            <v>0</v>
          </cell>
          <cell r="G14">
            <v>3300</v>
          </cell>
          <cell r="H14">
            <v>0</v>
          </cell>
          <cell r="I14">
            <v>3338.8</v>
          </cell>
        </row>
        <row r="15">
          <cell r="A15" t="str">
            <v>Avena Molida</v>
          </cell>
          <cell r="B15">
            <v>250</v>
          </cell>
          <cell r="C15">
            <v>1190</v>
          </cell>
          <cell r="D15">
            <v>2310</v>
          </cell>
          <cell r="E15">
            <v>1230</v>
          </cell>
          <cell r="F15">
            <v>0</v>
          </cell>
          <cell r="G15">
            <v>0</v>
          </cell>
          <cell r="H15">
            <v>0</v>
          </cell>
          <cell r="I15">
            <v>1234.2</v>
          </cell>
        </row>
        <row r="16">
          <cell r="A16" t="str">
            <v>Azúcar</v>
          </cell>
          <cell r="B16">
            <v>500</v>
          </cell>
          <cell r="C16">
            <v>930</v>
          </cell>
          <cell r="D16">
            <v>950</v>
          </cell>
          <cell r="E16">
            <v>920</v>
          </cell>
          <cell r="F16">
            <v>1000</v>
          </cell>
          <cell r="G16">
            <v>919.6</v>
          </cell>
          <cell r="H16">
            <v>0</v>
          </cell>
          <cell r="I16">
            <v>962.79840000000013</v>
          </cell>
        </row>
        <row r="17">
          <cell r="A17" t="str">
            <v>Banano</v>
          </cell>
          <cell r="B17">
            <v>1000</v>
          </cell>
          <cell r="C17">
            <v>1200</v>
          </cell>
          <cell r="D17">
            <v>1300</v>
          </cell>
          <cell r="E17">
            <v>0</v>
          </cell>
          <cell r="F17">
            <v>0</v>
          </cell>
          <cell r="G17">
            <v>1000</v>
          </cell>
          <cell r="H17">
            <v>800</v>
          </cell>
          <cell r="I17">
            <v>800</v>
          </cell>
        </row>
        <row r="18">
          <cell r="A18" t="str">
            <v>Bebida Achocolatada</v>
          </cell>
          <cell r="B18">
            <v>250</v>
          </cell>
          <cell r="C18">
            <v>2700</v>
          </cell>
          <cell r="D18">
            <v>2980</v>
          </cell>
          <cell r="E18">
            <v>2650</v>
          </cell>
          <cell r="F18">
            <v>0</v>
          </cell>
          <cell r="G18">
            <v>0</v>
          </cell>
          <cell r="H18">
            <v>0</v>
          </cell>
          <cell r="I18">
            <v>2832.2</v>
          </cell>
        </row>
        <row r="19">
          <cell r="A19" t="str">
            <v>Caldo concentrado</v>
          </cell>
          <cell r="B19">
            <v>528</v>
          </cell>
          <cell r="C19">
            <v>10150</v>
          </cell>
          <cell r="D19">
            <v>12880</v>
          </cell>
          <cell r="E19">
            <v>10300</v>
          </cell>
          <cell r="F19">
            <v>0</v>
          </cell>
          <cell r="G19">
            <v>10400</v>
          </cell>
          <cell r="H19">
            <v>0</v>
          </cell>
          <cell r="I19">
            <v>10489</v>
          </cell>
        </row>
        <row r="20">
          <cell r="A20" t="str">
            <v>Carne molida</v>
          </cell>
          <cell r="B20">
            <v>1000</v>
          </cell>
          <cell r="C20">
            <v>0</v>
          </cell>
          <cell r="D20">
            <v>11200</v>
          </cell>
          <cell r="E20">
            <v>11200</v>
          </cell>
          <cell r="F20">
            <v>0</v>
          </cell>
          <cell r="G20">
            <v>11500</v>
          </cell>
          <cell r="H20">
            <v>0</v>
          </cell>
          <cell r="I20">
            <v>11526</v>
          </cell>
        </row>
        <row r="21">
          <cell r="A21" t="str">
            <v>Cebolla de huevo</v>
          </cell>
          <cell r="B21">
            <v>1000</v>
          </cell>
          <cell r="C21">
            <v>1860</v>
          </cell>
          <cell r="D21">
            <v>0</v>
          </cell>
          <cell r="E21">
            <v>1420</v>
          </cell>
          <cell r="F21">
            <v>0</v>
          </cell>
          <cell r="G21">
            <v>1800</v>
          </cell>
          <cell r="H21">
            <v>1200</v>
          </cell>
          <cell r="I21">
            <v>1224</v>
          </cell>
        </row>
        <row r="22">
          <cell r="A22" t="str">
            <v>Cebolla Junca</v>
          </cell>
          <cell r="B22">
            <v>1000</v>
          </cell>
          <cell r="C22">
            <v>3150</v>
          </cell>
          <cell r="D22">
            <v>3000</v>
          </cell>
          <cell r="E22">
            <v>2940</v>
          </cell>
          <cell r="F22">
            <v>0</v>
          </cell>
          <cell r="G22">
            <v>0</v>
          </cell>
          <cell r="H22">
            <v>1600</v>
          </cell>
          <cell r="I22">
            <v>1632</v>
          </cell>
        </row>
        <row r="23">
          <cell r="A23" t="str">
            <v>Chicharrón carnudo</v>
          </cell>
          <cell r="B23">
            <v>1000</v>
          </cell>
          <cell r="C23">
            <v>0</v>
          </cell>
          <cell r="D23">
            <v>13300</v>
          </cell>
          <cell r="E23">
            <v>12000</v>
          </cell>
          <cell r="F23">
            <v>0</v>
          </cell>
          <cell r="G23">
            <v>11000</v>
          </cell>
          <cell r="H23">
            <v>0</v>
          </cell>
          <cell r="I23">
            <v>11220</v>
          </cell>
        </row>
        <row r="24">
          <cell r="A24" t="str">
            <v>Chocolate Cocoa</v>
          </cell>
          <cell r="B24">
            <v>1000</v>
          </cell>
          <cell r="C24">
            <v>19080</v>
          </cell>
          <cell r="D24">
            <v>0</v>
          </cell>
          <cell r="E24">
            <v>17420</v>
          </cell>
          <cell r="F24">
            <v>0</v>
          </cell>
          <cell r="G24">
            <v>15190</v>
          </cell>
          <cell r="H24">
            <v>0</v>
          </cell>
          <cell r="I24">
            <v>15493.800000000001</v>
          </cell>
        </row>
        <row r="25">
          <cell r="A25" t="str">
            <v>Cilantro</v>
          </cell>
          <cell r="B25">
            <v>1000</v>
          </cell>
          <cell r="C25">
            <v>4600</v>
          </cell>
          <cell r="D25">
            <v>0</v>
          </cell>
          <cell r="E25">
            <v>0</v>
          </cell>
          <cell r="F25">
            <v>0</v>
          </cell>
          <cell r="G25">
            <v>3750</v>
          </cell>
          <cell r="H25">
            <v>3500</v>
          </cell>
          <cell r="I25">
            <v>3570</v>
          </cell>
        </row>
        <row r="26">
          <cell r="A26" t="str">
            <v>Fríjol cargamanto</v>
          </cell>
          <cell r="B26">
            <v>1000</v>
          </cell>
          <cell r="C26">
            <v>5780</v>
          </cell>
          <cell r="D26">
            <v>0</v>
          </cell>
          <cell r="E26">
            <v>6060</v>
          </cell>
          <cell r="F26">
            <v>0</v>
          </cell>
          <cell r="G26">
            <v>6750</v>
          </cell>
          <cell r="H26">
            <v>0</v>
          </cell>
          <cell r="I26">
            <v>6038.4000000000005</v>
          </cell>
        </row>
        <row r="27">
          <cell r="A27" t="str">
            <v>Espaguetis</v>
          </cell>
          <cell r="B27">
            <v>250</v>
          </cell>
          <cell r="C27">
            <v>820</v>
          </cell>
          <cell r="D27">
            <v>1340</v>
          </cell>
          <cell r="E27">
            <v>810</v>
          </cell>
          <cell r="F27">
            <v>0</v>
          </cell>
          <cell r="G27">
            <v>682.91666666666663</v>
          </cell>
          <cell r="H27">
            <v>0</v>
          </cell>
          <cell r="I27">
            <v>696.57499999999993</v>
          </cell>
        </row>
        <row r="28">
          <cell r="A28" t="str">
            <v>Fruta</v>
          </cell>
          <cell r="B28">
            <v>1000</v>
          </cell>
          <cell r="C28">
            <v>0</v>
          </cell>
          <cell r="D28">
            <v>0</v>
          </cell>
          <cell r="E28">
            <v>0</v>
          </cell>
          <cell r="F28">
            <v>0</v>
          </cell>
          <cell r="G28">
            <v>0</v>
          </cell>
          <cell r="H28">
            <v>0</v>
          </cell>
          <cell r="I28">
            <v>1674.84</v>
          </cell>
        </row>
        <row r="29">
          <cell r="A29" t="str">
            <v>Galleta ducal</v>
          </cell>
          <cell r="B29">
            <v>312</v>
          </cell>
          <cell r="C29">
            <v>3350</v>
          </cell>
          <cell r="D29">
            <v>3050</v>
          </cell>
          <cell r="E29">
            <v>3300</v>
          </cell>
          <cell r="F29">
            <v>0</v>
          </cell>
          <cell r="G29">
            <v>0</v>
          </cell>
          <cell r="H29">
            <v>0</v>
          </cell>
          <cell r="I29">
            <v>3298</v>
          </cell>
        </row>
        <row r="30">
          <cell r="A30" t="str">
            <v>Galleta saltín</v>
          </cell>
          <cell r="B30">
            <v>315</v>
          </cell>
          <cell r="C30">
            <v>2290</v>
          </cell>
          <cell r="D30">
            <v>2520</v>
          </cell>
          <cell r="E30">
            <v>2670</v>
          </cell>
          <cell r="F30">
            <v>0</v>
          </cell>
          <cell r="G30">
            <v>0</v>
          </cell>
          <cell r="H30">
            <v>0</v>
          </cell>
          <cell r="I30">
            <v>2335.8000000000002</v>
          </cell>
        </row>
        <row r="31">
          <cell r="A31" t="str">
            <v>Garbanzo</v>
          </cell>
          <cell r="B31">
            <v>500</v>
          </cell>
          <cell r="C31">
            <v>1420</v>
          </cell>
          <cell r="D31">
            <v>1830</v>
          </cell>
          <cell r="E31">
            <v>1460</v>
          </cell>
          <cell r="F31">
            <v>0</v>
          </cell>
          <cell r="G31">
            <v>0</v>
          </cell>
          <cell r="H31">
            <v>0</v>
          </cell>
          <cell r="I31">
            <v>1468.8</v>
          </cell>
        </row>
        <row r="32">
          <cell r="A32" t="str">
            <v>Carne de res en trozos</v>
          </cell>
          <cell r="B32">
            <v>1000</v>
          </cell>
          <cell r="C32">
            <v>0</v>
          </cell>
          <cell r="D32">
            <v>0</v>
          </cell>
          <cell r="E32">
            <v>0</v>
          </cell>
          <cell r="F32">
            <v>0</v>
          </cell>
          <cell r="G32">
            <v>11500</v>
          </cell>
          <cell r="H32">
            <v>0</v>
          </cell>
          <cell r="I32">
            <v>11730</v>
          </cell>
        </row>
        <row r="33">
          <cell r="A33" t="str">
            <v>Guineo</v>
          </cell>
          <cell r="B33">
            <v>1000</v>
          </cell>
          <cell r="C33">
            <v>1140</v>
          </cell>
          <cell r="D33">
            <v>1000</v>
          </cell>
          <cell r="E33">
            <v>0</v>
          </cell>
          <cell r="F33">
            <v>0</v>
          </cell>
          <cell r="G33">
            <v>1490</v>
          </cell>
          <cell r="H33">
            <v>900</v>
          </cell>
          <cell r="I33">
            <v>918</v>
          </cell>
        </row>
        <row r="34">
          <cell r="A34" t="str">
            <v>Habichuela</v>
          </cell>
          <cell r="B34">
            <v>1000</v>
          </cell>
          <cell r="C34">
            <v>1700</v>
          </cell>
          <cell r="D34">
            <v>2071.4285714285716</v>
          </cell>
          <cell r="G34">
            <v>1990</v>
          </cell>
          <cell r="H34">
            <v>700</v>
          </cell>
          <cell r="I34">
            <v>714</v>
          </cell>
        </row>
        <row r="35">
          <cell r="A35" t="str">
            <v>Harina de trigo</v>
          </cell>
          <cell r="B35">
            <v>1000</v>
          </cell>
          <cell r="C35">
            <v>2670</v>
          </cell>
          <cell r="D35">
            <v>2430</v>
          </cell>
          <cell r="E35">
            <v>2640</v>
          </cell>
          <cell r="G35">
            <v>3645</v>
          </cell>
          <cell r="H35">
            <v>0</v>
          </cell>
          <cell r="I35">
            <v>2631.6</v>
          </cell>
        </row>
        <row r="36">
          <cell r="A36" t="str">
            <v>Harina para Arepas</v>
          </cell>
          <cell r="B36">
            <v>500</v>
          </cell>
          <cell r="C36">
            <v>1250</v>
          </cell>
          <cell r="D36">
            <v>1690</v>
          </cell>
          <cell r="E36">
            <v>1270</v>
          </cell>
          <cell r="G36">
            <v>1495</v>
          </cell>
          <cell r="H36">
            <v>0</v>
          </cell>
          <cell r="I36">
            <v>1365.1</v>
          </cell>
        </row>
        <row r="37">
          <cell r="A37" t="str">
            <v>Huevo (unidad x 50grs)</v>
          </cell>
          <cell r="B37">
            <v>50</v>
          </cell>
          <cell r="C37">
            <v>250</v>
          </cell>
          <cell r="D37">
            <v>215</v>
          </cell>
          <cell r="E37">
            <v>0</v>
          </cell>
          <cell r="F37">
            <v>0</v>
          </cell>
          <cell r="G37">
            <v>260</v>
          </cell>
          <cell r="H37">
            <v>0</v>
          </cell>
          <cell r="I37">
            <v>255</v>
          </cell>
        </row>
        <row r="38">
          <cell r="A38" t="str">
            <v>Leche en polvo</v>
          </cell>
          <cell r="B38">
            <v>1000</v>
          </cell>
          <cell r="C38">
            <v>15830</v>
          </cell>
          <cell r="D38">
            <v>15850</v>
          </cell>
          <cell r="E38">
            <v>13520</v>
          </cell>
          <cell r="F38">
            <v>0</v>
          </cell>
          <cell r="G38">
            <v>15800</v>
          </cell>
          <cell r="H38">
            <v>0</v>
          </cell>
          <cell r="I38">
            <v>16131.300000000001</v>
          </cell>
        </row>
        <row r="39">
          <cell r="A39" t="str">
            <v>Leche en polvo _P</v>
          </cell>
          <cell r="B39">
            <v>380</v>
          </cell>
          <cell r="C39">
            <v>5990</v>
          </cell>
          <cell r="D39">
            <v>6490</v>
          </cell>
          <cell r="E39">
            <v>0</v>
          </cell>
          <cell r="F39">
            <v>5950</v>
          </cell>
          <cell r="G39">
            <v>6533.333333333333</v>
          </cell>
          <cell r="H39">
            <v>0</v>
          </cell>
          <cell r="I39">
            <v>6266.2</v>
          </cell>
        </row>
        <row r="40">
          <cell r="A40" t="str">
            <v>Lechuga criolla</v>
          </cell>
          <cell r="B40">
            <v>1000</v>
          </cell>
          <cell r="C40">
            <v>1710</v>
          </cell>
          <cell r="G40">
            <v>1400</v>
          </cell>
          <cell r="H40">
            <v>1700</v>
          </cell>
          <cell r="I40">
            <v>1734</v>
          </cell>
        </row>
        <row r="41">
          <cell r="A41" t="str">
            <v>Lenteja</v>
          </cell>
          <cell r="B41">
            <v>500</v>
          </cell>
          <cell r="C41">
            <v>1200</v>
          </cell>
          <cell r="D41">
            <v>2270</v>
          </cell>
          <cell r="E41">
            <v>1520</v>
          </cell>
          <cell r="G41">
            <v>1436</v>
          </cell>
          <cell r="H41">
            <v>0</v>
          </cell>
          <cell r="I41">
            <v>1344.3600000000001</v>
          </cell>
        </row>
        <row r="42">
          <cell r="A42" t="str">
            <v>Limón</v>
          </cell>
          <cell r="B42">
            <v>1000</v>
          </cell>
          <cell r="C42">
            <v>1430</v>
          </cell>
          <cell r="D42">
            <v>0</v>
          </cell>
          <cell r="E42">
            <v>0</v>
          </cell>
          <cell r="G42">
            <v>1740</v>
          </cell>
          <cell r="H42">
            <v>1400</v>
          </cell>
          <cell r="I42">
            <v>1428</v>
          </cell>
        </row>
        <row r="43">
          <cell r="A43" t="str">
            <v>Margarina</v>
          </cell>
          <cell r="B43">
            <v>500</v>
          </cell>
          <cell r="C43">
            <v>5260</v>
          </cell>
          <cell r="D43">
            <v>5400</v>
          </cell>
          <cell r="E43">
            <v>5740</v>
          </cell>
          <cell r="G43">
            <v>6300</v>
          </cell>
          <cell r="H43">
            <v>0</v>
          </cell>
          <cell r="I43">
            <v>5436.6</v>
          </cell>
        </row>
        <row r="44">
          <cell r="A44" t="str">
            <v>Mayonesa</v>
          </cell>
          <cell r="B44">
            <v>1000</v>
          </cell>
          <cell r="C44">
            <v>4680</v>
          </cell>
          <cell r="D44">
            <v>0</v>
          </cell>
          <cell r="E44">
            <v>5450</v>
          </cell>
          <cell r="G44">
            <v>6950</v>
          </cell>
          <cell r="H44">
            <v>0</v>
          </cell>
          <cell r="I44">
            <v>5166.3</v>
          </cell>
        </row>
        <row r="45">
          <cell r="A45" t="str">
            <v>Mermelada</v>
          </cell>
          <cell r="B45">
            <v>1000</v>
          </cell>
          <cell r="C45">
            <v>1880</v>
          </cell>
          <cell r="D45">
            <v>1880</v>
          </cell>
          <cell r="E45">
            <v>2140</v>
          </cell>
          <cell r="G45">
            <v>1457.9166666666667</v>
          </cell>
          <cell r="H45">
            <v>0</v>
          </cell>
          <cell r="I45">
            <v>1487.075</v>
          </cell>
        </row>
        <row r="46">
          <cell r="A46" t="str">
            <v>Molipollo</v>
          </cell>
          <cell r="B46">
            <v>500</v>
          </cell>
          <cell r="C46">
            <v>2660</v>
          </cell>
          <cell r="D46">
            <v>2220</v>
          </cell>
          <cell r="E46">
            <v>4200</v>
          </cell>
          <cell r="G46">
            <v>0</v>
          </cell>
          <cell r="H46">
            <v>0</v>
          </cell>
          <cell r="I46">
            <v>2488.8000000000002</v>
          </cell>
        </row>
        <row r="47">
          <cell r="A47" t="str">
            <v>Mortadela</v>
          </cell>
          <cell r="B47">
            <v>600</v>
          </cell>
          <cell r="C47">
            <v>5030</v>
          </cell>
          <cell r="D47">
            <v>0</v>
          </cell>
          <cell r="E47">
            <v>5860</v>
          </cell>
          <cell r="F47">
            <v>0</v>
          </cell>
          <cell r="G47">
            <v>5490</v>
          </cell>
          <cell r="H47">
            <v>0</v>
          </cell>
          <cell r="I47">
            <v>5365.2</v>
          </cell>
        </row>
        <row r="48">
          <cell r="A48" t="str">
            <v>Paletero</v>
          </cell>
          <cell r="B48">
            <v>1000</v>
          </cell>
          <cell r="C48">
            <v>0</v>
          </cell>
          <cell r="D48">
            <v>12980</v>
          </cell>
          <cell r="E48">
            <v>14200</v>
          </cell>
          <cell r="G48">
            <v>14600</v>
          </cell>
          <cell r="H48">
            <v>13600</v>
          </cell>
          <cell r="I48">
            <v>13555.800000000001</v>
          </cell>
        </row>
        <row r="49">
          <cell r="A49" t="str">
            <v>Pan leche</v>
          </cell>
          <cell r="B49">
            <v>180</v>
          </cell>
          <cell r="C49">
            <v>2630</v>
          </cell>
          <cell r="D49">
            <v>3070</v>
          </cell>
          <cell r="E49">
            <v>2990</v>
          </cell>
          <cell r="F49">
            <v>0</v>
          </cell>
          <cell r="G49">
            <v>0</v>
          </cell>
          <cell r="H49">
            <v>0</v>
          </cell>
          <cell r="I49">
            <v>2682.6</v>
          </cell>
        </row>
        <row r="50">
          <cell r="A50" t="str">
            <v>Pan perro</v>
          </cell>
          <cell r="B50">
            <v>275</v>
          </cell>
          <cell r="C50">
            <v>2260</v>
          </cell>
          <cell r="D50">
            <v>2210</v>
          </cell>
          <cell r="E50">
            <v>2260</v>
          </cell>
          <cell r="F50">
            <v>0</v>
          </cell>
          <cell r="G50">
            <v>0</v>
          </cell>
          <cell r="H50">
            <v>0</v>
          </cell>
          <cell r="I50">
            <v>2288.2000000000003</v>
          </cell>
        </row>
        <row r="51">
          <cell r="A51" t="str">
            <v>Pan tajado</v>
          </cell>
          <cell r="B51">
            <v>450</v>
          </cell>
          <cell r="C51">
            <v>1960</v>
          </cell>
          <cell r="D51">
            <v>2080</v>
          </cell>
          <cell r="E51">
            <v>2310</v>
          </cell>
          <cell r="F51">
            <v>0</v>
          </cell>
          <cell r="G51">
            <v>0</v>
          </cell>
          <cell r="H51">
            <v>0</v>
          </cell>
          <cell r="I51">
            <v>2060.4</v>
          </cell>
        </row>
        <row r="52">
          <cell r="A52" t="str">
            <v>Panela</v>
          </cell>
          <cell r="B52">
            <v>1000</v>
          </cell>
          <cell r="C52">
            <v>2110</v>
          </cell>
          <cell r="D52">
            <v>0</v>
          </cell>
          <cell r="E52">
            <v>2300</v>
          </cell>
          <cell r="F52">
            <v>0</v>
          </cell>
          <cell r="G52">
            <v>1760</v>
          </cell>
          <cell r="H52">
            <v>0</v>
          </cell>
          <cell r="I52">
            <v>1795.2</v>
          </cell>
        </row>
        <row r="53">
          <cell r="A53" t="str">
            <v>Papa común</v>
          </cell>
          <cell r="B53">
            <v>1000</v>
          </cell>
          <cell r="C53">
            <v>1400</v>
          </cell>
          <cell r="E53">
            <v>0</v>
          </cell>
          <cell r="G53">
            <v>1350</v>
          </cell>
          <cell r="H53">
            <v>900</v>
          </cell>
          <cell r="I53">
            <v>918</v>
          </cell>
        </row>
        <row r="54">
          <cell r="A54" t="str">
            <v>Papa criolla</v>
          </cell>
          <cell r="B54">
            <v>1000</v>
          </cell>
          <cell r="C54">
            <v>3430</v>
          </cell>
          <cell r="G54">
            <v>3400</v>
          </cell>
          <cell r="H54">
            <v>1000</v>
          </cell>
          <cell r="I54">
            <v>1020</v>
          </cell>
        </row>
        <row r="55">
          <cell r="A55" t="str">
            <v>Pastas</v>
          </cell>
          <cell r="B55">
            <v>250</v>
          </cell>
          <cell r="C55">
            <v>820</v>
          </cell>
          <cell r="D55">
            <v>1300</v>
          </cell>
          <cell r="E55">
            <v>810</v>
          </cell>
          <cell r="F55">
            <v>0</v>
          </cell>
          <cell r="G55">
            <v>0</v>
          </cell>
          <cell r="H55">
            <v>0</v>
          </cell>
          <cell r="I55">
            <v>831.30000000000007</v>
          </cell>
        </row>
        <row r="56">
          <cell r="A56" t="str">
            <v>Pepino</v>
          </cell>
          <cell r="B56">
            <v>1000</v>
          </cell>
          <cell r="C56">
            <v>1150</v>
          </cell>
          <cell r="D56">
            <v>0</v>
          </cell>
          <cell r="E56">
            <v>0</v>
          </cell>
          <cell r="G56">
            <v>1500</v>
          </cell>
          <cell r="H56">
            <v>700</v>
          </cell>
          <cell r="I56">
            <v>714</v>
          </cell>
        </row>
        <row r="57">
          <cell r="A57" t="str">
            <v>Pierna de cerdo</v>
          </cell>
          <cell r="B57">
            <v>1000</v>
          </cell>
          <cell r="C57">
            <v>0</v>
          </cell>
          <cell r="D57">
            <v>14950</v>
          </cell>
          <cell r="E57">
            <v>11000</v>
          </cell>
          <cell r="G57">
            <v>11400</v>
          </cell>
          <cell r="H57">
            <v>0</v>
          </cell>
          <cell r="I57">
            <v>11424</v>
          </cell>
        </row>
        <row r="58">
          <cell r="A58" t="str">
            <v>Pimentón rojo</v>
          </cell>
          <cell r="B58">
            <v>1000</v>
          </cell>
          <cell r="C58">
            <v>4150</v>
          </cell>
          <cell r="D58">
            <v>0</v>
          </cell>
          <cell r="E58">
            <v>0</v>
          </cell>
          <cell r="G58">
            <v>2990</v>
          </cell>
          <cell r="H58">
            <v>2500</v>
          </cell>
          <cell r="I58">
            <v>2550</v>
          </cell>
        </row>
        <row r="59">
          <cell r="A59" t="str">
            <v>Plátano maduro</v>
          </cell>
          <cell r="B59">
            <v>1000</v>
          </cell>
          <cell r="C59">
            <v>1710</v>
          </cell>
          <cell r="D59">
            <v>0</v>
          </cell>
          <cell r="G59">
            <v>1220</v>
          </cell>
          <cell r="H59">
            <v>1200</v>
          </cell>
          <cell r="I59">
            <v>1224</v>
          </cell>
        </row>
        <row r="60">
          <cell r="A60" t="str">
            <v>Plátano verde</v>
          </cell>
          <cell r="B60">
            <v>1000</v>
          </cell>
          <cell r="C60">
            <v>1800</v>
          </cell>
          <cell r="D60">
            <v>0</v>
          </cell>
          <cell r="G60">
            <v>1220</v>
          </cell>
          <cell r="H60">
            <v>1200</v>
          </cell>
          <cell r="I60">
            <v>1224</v>
          </cell>
        </row>
        <row r="61">
          <cell r="A61" t="str">
            <v>Quesito</v>
          </cell>
          <cell r="B61">
            <v>400</v>
          </cell>
          <cell r="C61">
            <v>4000</v>
          </cell>
          <cell r="D61">
            <v>0</v>
          </cell>
          <cell r="E61">
            <v>3950</v>
          </cell>
          <cell r="F61">
            <v>0</v>
          </cell>
          <cell r="G61">
            <v>2800</v>
          </cell>
          <cell r="H61">
            <v>0</v>
          </cell>
          <cell r="I61">
            <v>2856</v>
          </cell>
        </row>
        <row r="62">
          <cell r="A62" t="str">
            <v>Repollo blanco</v>
          </cell>
          <cell r="B62">
            <v>1000</v>
          </cell>
          <cell r="C62">
            <v>2070</v>
          </cell>
          <cell r="D62">
            <v>0</v>
          </cell>
          <cell r="E62">
            <v>0</v>
          </cell>
          <cell r="G62">
            <v>3200</v>
          </cell>
          <cell r="H62">
            <v>1000</v>
          </cell>
          <cell r="I62">
            <v>1020</v>
          </cell>
        </row>
        <row r="63">
          <cell r="A63" t="str">
            <v>Repollo Morado</v>
          </cell>
          <cell r="B63">
            <v>1000</v>
          </cell>
          <cell r="C63">
            <v>1490</v>
          </cell>
          <cell r="D63">
            <v>0</v>
          </cell>
          <cell r="E63">
            <v>0</v>
          </cell>
          <cell r="F63">
            <v>1650</v>
          </cell>
          <cell r="G63">
            <v>1960</v>
          </cell>
          <cell r="H63">
            <v>1030</v>
          </cell>
          <cell r="I63">
            <v>1050.5999999999999</v>
          </cell>
        </row>
        <row r="64">
          <cell r="A64" t="str">
            <v>Sal</v>
          </cell>
          <cell r="B64">
            <v>1000</v>
          </cell>
          <cell r="C64">
            <v>900</v>
          </cell>
          <cell r="D64">
            <v>760</v>
          </cell>
          <cell r="E64">
            <v>870</v>
          </cell>
          <cell r="G64">
            <v>700</v>
          </cell>
          <cell r="H64">
            <v>0</v>
          </cell>
          <cell r="I64">
            <v>744.6</v>
          </cell>
        </row>
        <row r="65">
          <cell r="A65" t="str">
            <v>Salchicha</v>
          </cell>
          <cell r="B65">
            <v>450</v>
          </cell>
          <cell r="C65">
            <v>6040</v>
          </cell>
          <cell r="D65">
            <v>0</v>
          </cell>
          <cell r="E65">
            <v>5980</v>
          </cell>
          <cell r="G65">
            <v>6350</v>
          </cell>
          <cell r="H65">
            <v>0</v>
          </cell>
          <cell r="I65">
            <v>6245.8</v>
          </cell>
        </row>
        <row r="66">
          <cell r="A66" t="str">
            <v>Salsa de tomate</v>
          </cell>
          <cell r="B66">
            <v>1000</v>
          </cell>
          <cell r="C66">
            <v>4070</v>
          </cell>
          <cell r="D66">
            <v>0</v>
          </cell>
          <cell r="E66">
            <v>4740</v>
          </cell>
          <cell r="G66">
            <v>5900</v>
          </cell>
          <cell r="H66">
            <v>0</v>
          </cell>
          <cell r="I66">
            <v>4151.3999999999996</v>
          </cell>
        </row>
        <row r="67">
          <cell r="A67" t="str">
            <v>Sardina en Salsa</v>
          </cell>
          <cell r="B67">
            <v>425</v>
          </cell>
          <cell r="C67">
            <v>3050</v>
          </cell>
          <cell r="D67">
            <v>3740</v>
          </cell>
          <cell r="E67">
            <v>2850</v>
          </cell>
          <cell r="G67">
            <v>3950</v>
          </cell>
          <cell r="H67">
            <v>0</v>
          </cell>
          <cell r="I67">
            <v>3009</v>
          </cell>
        </row>
        <row r="68">
          <cell r="A68" t="str">
            <v>Tomate</v>
          </cell>
          <cell r="B68">
            <v>1000</v>
          </cell>
          <cell r="C68">
            <v>1710</v>
          </cell>
          <cell r="D68">
            <v>0</v>
          </cell>
          <cell r="E68">
            <v>0</v>
          </cell>
          <cell r="G68">
            <v>1730</v>
          </cell>
          <cell r="H68">
            <v>1300</v>
          </cell>
          <cell r="I68">
            <v>1326</v>
          </cell>
        </row>
        <row r="69">
          <cell r="A69" t="str">
            <v>Tostada</v>
          </cell>
          <cell r="B69">
            <v>120</v>
          </cell>
          <cell r="C69">
            <v>1250</v>
          </cell>
          <cell r="D69">
            <v>1340</v>
          </cell>
          <cell r="E69">
            <v>1350</v>
          </cell>
          <cell r="F69">
            <v>0</v>
          </cell>
          <cell r="G69">
            <v>0</v>
          </cell>
          <cell r="H69">
            <v>0</v>
          </cell>
          <cell r="I69">
            <v>1339.6</v>
          </cell>
        </row>
        <row r="70">
          <cell r="A70" t="str">
            <v>Yuca</v>
          </cell>
          <cell r="B70">
            <v>1000</v>
          </cell>
          <cell r="C70">
            <v>1640</v>
          </cell>
          <cell r="E70">
            <v>0</v>
          </cell>
          <cell r="G70">
            <v>2090</v>
          </cell>
          <cell r="H70">
            <v>1300</v>
          </cell>
          <cell r="I70">
            <v>1326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2)"/>
      <sheetName val="KIT agrop.."/>
      <sheetName val="ELECTROD - Gerencia"/>
      <sheetName val="Insumos"/>
      <sheetName val="Herram."/>
      <sheetName val="Partic (3)"/>
      <sheetName val="Partic (4)"/>
      <sheetName val="Partic (2)"/>
      <sheetName val="Consolidado "/>
      <sheetName val="Partic"/>
      <sheetName val="Hoja1"/>
      <sheetName val="R.H."/>
      <sheetName val="Estudiomdo"/>
      <sheetName val="Paquete"/>
      <sheetName val="Empaque"/>
      <sheetName val="Transp"/>
      <sheetName val="Alquiact"/>
      <sheetName val="KitBebe"/>
      <sheetName val="Kitescolar"/>
      <sheetName val="Gtodesp"/>
      <sheetName val="Papelería "/>
      <sheetName val="Compota"/>
      <sheetName val="Vitanut y Mezcla"/>
      <sheetName val="Bodeg y Log"/>
      <sheetName val="Bodega"/>
      <sheetName val="E. Precios"/>
      <sheetName val="Grupos"/>
      <sheetName val="Alimentacion"/>
      <sheetName val="PAPELERIA"/>
      <sheetName val="Indire"/>
      <sheetName val="Poliza"/>
      <sheetName val="SAL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5">
          <cell r="L25">
            <v>53330.954999999994</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Hno"/>
      <sheetName val="papant"/>
      <sheetName val="DOTACION"/>
      <sheetName val="Transp"/>
      <sheetName val="Refrig"/>
      <sheetName val="Papel"/>
      <sheetName val="Dotac"/>
      <sheetName val="Web"/>
      <sheetName val="COMUNICAC"/>
      <sheetName val="Indir"/>
      <sheetName val="Poliza"/>
    </sheetNames>
    <sheetDataSet>
      <sheetData sheetId="0" refreshError="1"/>
      <sheetData sheetId="1" refreshError="1">
        <row r="2">
          <cell r="A2" t="str">
            <v>Secretaria de Inclusion Social y Familia</v>
          </cell>
        </row>
      </sheetData>
      <sheetData sheetId="2" refreshError="1"/>
      <sheetData sheetId="3" refreshError="1"/>
      <sheetData sheetId="4" refreshError="1"/>
      <sheetData sheetId="5" refreshError="1"/>
      <sheetData sheetId="6" refreshError="1"/>
      <sheetData sheetId="7" refreshError="1"/>
      <sheetData sheetId="8" refreshError="1">
        <row r="1">
          <cell r="A1" t="str">
            <v>Municipio de Medellin</v>
          </cell>
        </row>
        <row r="5">
          <cell r="A5" t="str">
            <v>Estudio de Costos</v>
          </cell>
        </row>
      </sheetData>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Rhumano (2)"/>
      <sheetName val="Salarios"/>
      <sheetName val="CONSOLIDADO"/>
      <sheetName val="Rhumano"/>
      <sheetName val="Transporte"/>
      <sheetName val="Alquiact"/>
      <sheetName val="Papelería "/>
      <sheetName val="Dotación"/>
      <sheetName val="ASEO"/>
      <sheetName val="Log"/>
      <sheetName val="Apol"/>
      <sheetName val="Apoylog"/>
      <sheetName val="Gtosofic"/>
      <sheetName val="Matereduc"/>
      <sheetName val="AUXTRA"/>
      <sheetName val="Bodega"/>
      <sheetName val="R.H"/>
      <sheetName val="Equipos de Bodega"/>
      <sheetName val="Cocina Móvil"/>
      <sheetName val="Apoyo Logistico"/>
      <sheetName val="Implementos Complemento"/>
      <sheetName val="Maeduc"/>
      <sheetName val="C. Indirectos"/>
      <sheetName val="POLIZAS"/>
    </sheetNames>
    <sheetDataSet>
      <sheetData sheetId="0"/>
      <sheetData sheetId="1"/>
      <sheetData sheetId="2"/>
      <sheetData sheetId="3"/>
      <sheetData sheetId="4"/>
      <sheetData sheetId="5"/>
      <sheetData sheetId="6">
        <row r="16">
          <cell r="B16">
            <v>41507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pelería "/>
    </sheetNames>
    <sheetDataSet>
      <sheetData sheetId="0" refreshError="1">
        <row r="2">
          <cell r="A2" t="str">
            <v xml:space="preserve">Almohadilla Humecedora </v>
          </cell>
          <cell r="B2" t="str">
            <v>Unidad</v>
          </cell>
        </row>
        <row r="3">
          <cell r="A3" t="str">
            <v>AZ</v>
          </cell>
          <cell r="B3" t="str">
            <v>Unidad Oficio</v>
          </cell>
        </row>
        <row r="4">
          <cell r="A4" t="str">
            <v>Block iris</v>
          </cell>
          <cell r="B4" t="str">
            <v>Unidad tamaño Carta</v>
          </cell>
        </row>
        <row r="5">
          <cell r="A5" t="str">
            <v xml:space="preserve">Boligrafo Negro </v>
          </cell>
          <cell r="B5" t="str">
            <v>Caja x 12 Unds</v>
          </cell>
        </row>
        <row r="6">
          <cell r="A6" t="str">
            <v>Borrador  tablero seco</v>
          </cell>
          <cell r="B6" t="str">
            <v>Unidad</v>
          </cell>
        </row>
        <row r="7">
          <cell r="A7" t="str">
            <v>Borrador de Nata</v>
          </cell>
          <cell r="B7" t="str">
            <v>Unidad</v>
          </cell>
        </row>
        <row r="8">
          <cell r="A8" t="str">
            <v>Calculadora</v>
          </cell>
          <cell r="B8" t="str">
            <v>Unidad</v>
          </cell>
        </row>
        <row r="9">
          <cell r="A9" t="str">
            <v>Carpeta Plastica</v>
          </cell>
          <cell r="B9" t="str">
            <v>Unidad</v>
          </cell>
        </row>
        <row r="10">
          <cell r="A10" t="str">
            <v>Carpetas de Carton</v>
          </cell>
          <cell r="B10" t="str">
            <v>Unidad</v>
          </cell>
        </row>
        <row r="11">
          <cell r="A11" t="str">
            <v>Cartón Paja</v>
          </cell>
          <cell r="B11" t="str">
            <v>Pliego</v>
          </cell>
        </row>
        <row r="12">
          <cell r="A12" t="str">
            <v>Cartulina</v>
          </cell>
          <cell r="B12" t="str">
            <v>Pliego</v>
          </cell>
        </row>
        <row r="13">
          <cell r="A13" t="str">
            <v>Cartulina legajadora para Archivar</v>
          </cell>
          <cell r="B13" t="str">
            <v>Pquetes de 50 Unidades tamaño Oficio</v>
          </cell>
        </row>
        <row r="14">
          <cell r="A14" t="str">
            <v>CD</v>
          </cell>
          <cell r="B14" t="str">
            <v xml:space="preserve">x 100 Unds </v>
          </cell>
        </row>
        <row r="15">
          <cell r="A15" t="str">
            <v>Cinta de Embalaje para empacar</v>
          </cell>
          <cell r="B15" t="str">
            <v>Rollos</v>
          </cell>
        </row>
        <row r="16">
          <cell r="A16" t="str">
            <v>Cinta Enmascarar</v>
          </cell>
          <cell r="B16" t="str">
            <v>Unidad</v>
          </cell>
        </row>
        <row r="17">
          <cell r="A17" t="str">
            <v>Clip Mariposa</v>
          </cell>
          <cell r="B17" t="str">
            <v>caja</v>
          </cell>
        </row>
        <row r="18">
          <cell r="A18" t="str">
            <v>Clip Pequeño</v>
          </cell>
          <cell r="B18" t="str">
            <v>caja</v>
          </cell>
        </row>
        <row r="19">
          <cell r="A19" t="str">
            <v>Colores</v>
          </cell>
          <cell r="B19" t="str">
            <v>Caja x 12</v>
          </cell>
        </row>
        <row r="20">
          <cell r="A20" t="str">
            <v>Corrector</v>
          </cell>
          <cell r="B20" t="str">
            <v>Unidad</v>
          </cell>
        </row>
        <row r="21">
          <cell r="A21" t="str">
            <v>Crayolas</v>
          </cell>
          <cell r="B21" t="str">
            <v>Caja x 10</v>
          </cell>
        </row>
        <row r="22">
          <cell r="A22" t="str">
            <v>Cuaderno 50 hojas</v>
          </cell>
          <cell r="B22" t="str">
            <v>unidad</v>
          </cell>
        </row>
        <row r="23">
          <cell r="A23" t="str">
            <v>DVD</v>
          </cell>
          <cell r="B23" t="str">
            <v>Unidad</v>
          </cell>
        </row>
        <row r="24">
          <cell r="A24" t="str">
            <v>Estuche para CD</v>
          </cell>
          <cell r="B24" t="str">
            <v>x 100 Unds</v>
          </cell>
        </row>
        <row r="25">
          <cell r="A25" t="str">
            <v>Fichas Bibliograficas</v>
          </cell>
          <cell r="B25" t="str">
            <v>Paquete</v>
          </cell>
        </row>
        <row r="26">
          <cell r="A26" t="str">
            <v>Fomi</v>
          </cell>
          <cell r="B26" t="str">
            <v>Lámina pliego, 2.0 mm, de colores</v>
          </cell>
        </row>
        <row r="27">
          <cell r="A27" t="str">
            <v>Ganchos Cosedora</v>
          </cell>
          <cell r="B27" t="str">
            <v>caja</v>
          </cell>
        </row>
        <row r="28">
          <cell r="A28" t="str">
            <v>Ganchos legajador</v>
          </cell>
          <cell r="B28" t="str">
            <v>Caja</v>
          </cell>
        </row>
        <row r="29">
          <cell r="A29" t="str">
            <v>Grapadora</v>
          </cell>
          <cell r="B29" t="str">
            <v>Unidad</v>
          </cell>
        </row>
        <row r="30">
          <cell r="A30" t="str">
            <v>Grapadora</v>
          </cell>
          <cell r="B30" t="str">
            <v>Unidad</v>
          </cell>
        </row>
        <row r="31">
          <cell r="A31" t="str">
            <v>Huelleros</v>
          </cell>
          <cell r="B31" t="str">
            <v>Unidad</v>
          </cell>
        </row>
        <row r="32">
          <cell r="A32" t="str">
            <v>Lapiz No 2</v>
          </cell>
          <cell r="B32" t="str">
            <v>Unidad</v>
          </cell>
        </row>
        <row r="33">
          <cell r="A33" t="str">
            <v>Marcador Borrable</v>
          </cell>
          <cell r="B33" t="str">
            <v>Unidad</v>
          </cell>
        </row>
        <row r="34">
          <cell r="A34" t="str">
            <v>Marcador Permanente</v>
          </cell>
          <cell r="B34" t="str">
            <v>Unidad</v>
          </cell>
        </row>
        <row r="35">
          <cell r="A35" t="str">
            <v>Marcadores para CD</v>
          </cell>
          <cell r="B35" t="str">
            <v>Unidad</v>
          </cell>
        </row>
        <row r="36">
          <cell r="A36" t="str">
            <v>Papel Bond Carta</v>
          </cell>
          <cell r="B36" t="str">
            <v>Resma carta</v>
          </cell>
        </row>
        <row r="37">
          <cell r="A37" t="str">
            <v>Papel Bond Oficio</v>
          </cell>
          <cell r="B37" t="str">
            <v>Resma Oficio</v>
          </cell>
        </row>
        <row r="38">
          <cell r="A38" t="str">
            <v>Papel Contac</v>
          </cell>
          <cell r="B38" t="str">
            <v>Pliego</v>
          </cell>
        </row>
        <row r="39">
          <cell r="A39" t="str">
            <v>Papel Craf</v>
          </cell>
          <cell r="B39" t="str">
            <v>Pliego</v>
          </cell>
        </row>
        <row r="40">
          <cell r="A40" t="str">
            <v>Papel Periodico</v>
          </cell>
          <cell r="B40" t="str">
            <v>Pliego (70 x 100)</v>
          </cell>
        </row>
        <row r="41">
          <cell r="A41" t="str">
            <v>Pegante Colbon</v>
          </cell>
          <cell r="B41" t="str">
            <v>Unidad x 225 Grs</v>
          </cell>
        </row>
        <row r="42">
          <cell r="A42" t="str">
            <v>Pegante Colbon</v>
          </cell>
          <cell r="B42" t="str">
            <v>Unidad</v>
          </cell>
        </row>
        <row r="43">
          <cell r="A43" t="str">
            <v>Pegastic</v>
          </cell>
          <cell r="B43" t="str">
            <v>Unidad 40 Grs</v>
          </cell>
        </row>
        <row r="44">
          <cell r="A44" t="str">
            <v xml:space="preserve">Perforadora </v>
          </cell>
          <cell r="B44" t="str">
            <v>Unidad</v>
          </cell>
        </row>
        <row r="45">
          <cell r="A45" t="str">
            <v>Pincel</v>
          </cell>
          <cell r="B45" t="str">
            <v>Unidad</v>
          </cell>
        </row>
        <row r="46">
          <cell r="A46" t="str">
            <v>Plastilina</v>
          </cell>
          <cell r="B46" t="str">
            <v>caja x 12</v>
          </cell>
        </row>
        <row r="47">
          <cell r="A47" t="str">
            <v>Plumón</v>
          </cell>
          <cell r="B47" t="str">
            <v>Caja x 12</v>
          </cell>
        </row>
        <row r="48">
          <cell r="A48" t="str">
            <v>Post It Guia</v>
          </cell>
          <cell r="B48" t="str">
            <v>unidad</v>
          </cell>
        </row>
        <row r="49">
          <cell r="A49" t="str">
            <v>Recarga de Toner</v>
          </cell>
          <cell r="B49">
            <v>0</v>
          </cell>
        </row>
        <row r="50">
          <cell r="A50" t="str">
            <v>Regla</v>
          </cell>
          <cell r="B50" t="str">
            <v>Unidad x 50 Cms</v>
          </cell>
        </row>
        <row r="51">
          <cell r="A51" t="str">
            <v>Resaltadores</v>
          </cell>
          <cell r="B51" t="str">
            <v>Unidad</v>
          </cell>
        </row>
        <row r="52">
          <cell r="A52" t="str">
            <v>Sacagrapa</v>
          </cell>
          <cell r="B52" t="str">
            <v>Unidad</v>
          </cell>
        </row>
        <row r="53">
          <cell r="A53" t="str">
            <v>Sacapuntas Metalico</v>
          </cell>
          <cell r="B53" t="str">
            <v>Unidad</v>
          </cell>
        </row>
        <row r="54">
          <cell r="A54" t="str">
            <v>Sellos con frase alusiva a alimentacion y nutricion</v>
          </cell>
          <cell r="B54" t="str">
            <v>unidad</v>
          </cell>
        </row>
        <row r="55">
          <cell r="A55" t="str">
            <v>Sobre manila carta</v>
          </cell>
          <cell r="B55" t="str">
            <v>Unidades</v>
          </cell>
        </row>
        <row r="56">
          <cell r="A56" t="str">
            <v>Sobre manila oficio</v>
          </cell>
          <cell r="B56" t="str">
            <v>Unidades x 100</v>
          </cell>
        </row>
        <row r="57">
          <cell r="A57" t="str">
            <v>Sobre manila oficio</v>
          </cell>
          <cell r="B57" t="str">
            <v>Unidad</v>
          </cell>
        </row>
        <row r="58">
          <cell r="A58" t="str">
            <v>Tabla de Apoyo Oficio</v>
          </cell>
          <cell r="B58" t="str">
            <v>Unidad</v>
          </cell>
        </row>
        <row r="59">
          <cell r="A59" t="str">
            <v>Tablero Acrilico</v>
          </cell>
          <cell r="B59" t="str">
            <v>Unidad</v>
          </cell>
        </row>
        <row r="60">
          <cell r="A60" t="str">
            <v>Tijera</v>
          </cell>
          <cell r="B60" t="str">
            <v>Unidad</v>
          </cell>
        </row>
        <row r="61">
          <cell r="A61" t="str">
            <v>Tinta para sellos colores variados</v>
          </cell>
          <cell r="B61" t="str">
            <v>unidad</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E.PRECIOS"/>
      <sheetName val="Resumen E.P"/>
      <sheetName val="GRUPOS"/>
      <sheetName val="Hoja2"/>
    </sheetNames>
    <sheetDataSet>
      <sheetData sheetId="0">
        <row r="6">
          <cell r="A6" t="str">
            <v>Aceite</v>
          </cell>
          <cell r="B6" t="str">
            <v>Cm3</v>
          </cell>
          <cell r="AM6">
            <v>0</v>
          </cell>
          <cell r="AN6">
            <v>6105.333333333333</v>
          </cell>
          <cell r="AO6">
            <v>6282</v>
          </cell>
          <cell r="AP6">
            <v>6170</v>
          </cell>
          <cell r="AQ6">
            <v>7016.666666666667</v>
          </cell>
          <cell r="AR6">
            <v>6393.5</v>
          </cell>
          <cell r="AS6">
            <v>6.3935000000000004</v>
          </cell>
        </row>
        <row r="7">
          <cell r="A7" t="str">
            <v>Acelga</v>
          </cell>
          <cell r="AM7">
            <v>1000</v>
          </cell>
          <cell r="AN7">
            <v>0</v>
          </cell>
          <cell r="AO7">
            <v>0</v>
          </cell>
          <cell r="AP7">
            <v>0</v>
          </cell>
          <cell r="AQ7">
            <v>0</v>
          </cell>
          <cell r="AR7">
            <v>1000</v>
          </cell>
          <cell r="AS7">
            <v>1</v>
          </cell>
        </row>
        <row r="8">
          <cell r="A8" t="str">
            <v>Agua</v>
          </cell>
          <cell r="B8" t="str">
            <v>Cm3</v>
          </cell>
          <cell r="AM8">
            <v>0</v>
          </cell>
          <cell r="AN8">
            <v>1330</v>
          </cell>
          <cell r="AO8">
            <v>0</v>
          </cell>
          <cell r="AP8">
            <v>4490</v>
          </cell>
          <cell r="AQ8">
            <v>4440</v>
          </cell>
          <cell r="AR8">
            <v>3420</v>
          </cell>
          <cell r="AS8">
            <v>0.68400000000000005</v>
          </cell>
        </row>
        <row r="9">
          <cell r="A9" t="str">
            <v>Ahuyama</v>
          </cell>
          <cell r="B9" t="str">
            <v>Kilogramo</v>
          </cell>
          <cell r="AM9">
            <v>0</v>
          </cell>
          <cell r="AN9">
            <v>1200</v>
          </cell>
          <cell r="AO9">
            <v>1350</v>
          </cell>
          <cell r="AP9">
            <v>680</v>
          </cell>
          <cell r="AQ9">
            <v>580</v>
          </cell>
          <cell r="AR9">
            <v>952.5</v>
          </cell>
          <cell r="AS9">
            <v>0.95250000000000001</v>
          </cell>
        </row>
        <row r="10">
          <cell r="A10" t="str">
            <v>Ajo</v>
          </cell>
          <cell r="B10" t="str">
            <v>Gramos</v>
          </cell>
          <cell r="AM10">
            <v>0</v>
          </cell>
          <cell r="AN10">
            <v>246</v>
          </cell>
          <cell r="AO10">
            <v>400</v>
          </cell>
          <cell r="AP10">
            <v>810</v>
          </cell>
          <cell r="AQ10">
            <v>7933.333333333333</v>
          </cell>
          <cell r="AR10">
            <v>2347.333333333333</v>
          </cell>
          <cell r="AS10">
            <v>46.946666666666658</v>
          </cell>
        </row>
        <row r="11">
          <cell r="A11" t="str">
            <v>Almojabana</v>
          </cell>
          <cell r="B11" t="str">
            <v>unidades</v>
          </cell>
          <cell r="AM11">
            <v>0</v>
          </cell>
          <cell r="AN11">
            <v>1272.6666666666667</v>
          </cell>
          <cell r="AO11">
            <v>1178</v>
          </cell>
          <cell r="AP11">
            <v>969.44444444444434</v>
          </cell>
          <cell r="AQ11">
            <v>1286.6666666666667</v>
          </cell>
          <cell r="AR11">
            <v>1176.6944444444446</v>
          </cell>
          <cell r="AS11">
            <v>1176.6944444444446</v>
          </cell>
        </row>
        <row r="12">
          <cell r="A12" t="str">
            <v>Apio</v>
          </cell>
          <cell r="B12" t="str">
            <v>Kilogramo</v>
          </cell>
          <cell r="AM12">
            <v>800</v>
          </cell>
          <cell r="AN12">
            <v>0</v>
          </cell>
          <cell r="AO12">
            <v>0</v>
          </cell>
          <cell r="AP12">
            <v>0</v>
          </cell>
          <cell r="AQ12">
            <v>0</v>
          </cell>
          <cell r="AR12">
            <v>800</v>
          </cell>
          <cell r="AS12">
            <v>0.8</v>
          </cell>
        </row>
        <row r="13">
          <cell r="A13" t="str">
            <v>Arepa de chocolo</v>
          </cell>
          <cell r="B13" t="str">
            <v>Gramos</v>
          </cell>
          <cell r="AM13">
            <v>0</v>
          </cell>
          <cell r="AN13">
            <v>2450</v>
          </cell>
          <cell r="AO13">
            <v>2143</v>
          </cell>
          <cell r="AP13">
            <v>3403.3333333333335</v>
          </cell>
          <cell r="AQ13">
            <v>1753.3333333333333</v>
          </cell>
          <cell r="AR13">
            <v>2437.416666666667</v>
          </cell>
          <cell r="AS13">
            <v>8.1247222222222231</v>
          </cell>
        </row>
        <row r="14">
          <cell r="A14" t="str">
            <v>Arepa redonda</v>
          </cell>
          <cell r="B14" t="str">
            <v>Gramos</v>
          </cell>
          <cell r="AM14">
            <v>0</v>
          </cell>
          <cell r="AN14">
            <v>1756.6666666666667</v>
          </cell>
          <cell r="AO14">
            <v>1870</v>
          </cell>
          <cell r="AP14">
            <v>1560</v>
          </cell>
          <cell r="AQ14">
            <v>1500</v>
          </cell>
          <cell r="AR14">
            <v>1671.6666666666667</v>
          </cell>
          <cell r="AS14">
            <v>4.1791666666666671</v>
          </cell>
        </row>
        <row r="15">
          <cell r="A15" t="str">
            <v>Arepa tela</v>
          </cell>
          <cell r="B15" t="str">
            <v>Gramos</v>
          </cell>
          <cell r="AM15">
            <v>0</v>
          </cell>
          <cell r="AN15">
            <v>2890.3333333333335</v>
          </cell>
          <cell r="AO15">
            <v>2852</v>
          </cell>
          <cell r="AP15">
            <v>0</v>
          </cell>
          <cell r="AQ15">
            <v>2810</v>
          </cell>
          <cell r="AR15">
            <v>2850.7777777777778</v>
          </cell>
          <cell r="AS15">
            <v>4.0725396825396825</v>
          </cell>
        </row>
        <row r="16">
          <cell r="A16" t="str">
            <v>Arequipe</v>
          </cell>
          <cell r="B16" t="str">
            <v>Gramos</v>
          </cell>
          <cell r="AM16">
            <v>0</v>
          </cell>
          <cell r="AN16">
            <v>3260</v>
          </cell>
          <cell r="AO16">
            <v>3088.3333333333335</v>
          </cell>
          <cell r="AP16">
            <v>2990</v>
          </cell>
          <cell r="AQ16">
            <v>2715</v>
          </cell>
          <cell r="AR16">
            <v>3013.3333333333335</v>
          </cell>
          <cell r="AS16">
            <v>12.053333333333335</v>
          </cell>
        </row>
        <row r="17">
          <cell r="A17" t="str">
            <v>Arracacha</v>
          </cell>
          <cell r="B17" t="str">
            <v>Kilogramo</v>
          </cell>
          <cell r="AM17">
            <v>0</v>
          </cell>
          <cell r="AN17">
            <v>2570</v>
          </cell>
          <cell r="AO17">
            <v>4000</v>
          </cell>
          <cell r="AP17">
            <v>1880</v>
          </cell>
          <cell r="AQ17">
            <v>0</v>
          </cell>
          <cell r="AR17">
            <v>2816.6666666666665</v>
          </cell>
          <cell r="AS17">
            <v>2.8166666666666664</v>
          </cell>
        </row>
        <row r="18">
          <cell r="A18" t="str">
            <v>Arroz</v>
          </cell>
          <cell r="B18" t="str">
            <v>Kilogramo</v>
          </cell>
          <cell r="AM18">
            <v>0</v>
          </cell>
          <cell r="AN18">
            <v>2763.3333333333335</v>
          </cell>
          <cell r="AO18">
            <v>3006.6666666666665</v>
          </cell>
          <cell r="AP18">
            <v>3480</v>
          </cell>
          <cell r="AQ18">
            <v>2383.3333333333335</v>
          </cell>
          <cell r="AR18">
            <v>2908.3333333333335</v>
          </cell>
          <cell r="AS18">
            <v>2.9083333333333337</v>
          </cell>
        </row>
        <row r="19">
          <cell r="A19" t="str">
            <v>Arveja seca</v>
          </cell>
          <cell r="B19" t="str">
            <v>Kilogramo</v>
          </cell>
          <cell r="AM19">
            <v>0</v>
          </cell>
          <cell r="AN19">
            <v>1020</v>
          </cell>
          <cell r="AO19">
            <v>2720</v>
          </cell>
          <cell r="AP19">
            <v>2780</v>
          </cell>
          <cell r="AQ19">
            <v>2340</v>
          </cell>
          <cell r="AR19">
            <v>2215</v>
          </cell>
          <cell r="AS19">
            <v>2.2149999999999999</v>
          </cell>
        </row>
        <row r="20">
          <cell r="A20" t="str">
            <v>Arveja verde</v>
          </cell>
          <cell r="B20" t="str">
            <v>Kilogramo</v>
          </cell>
          <cell r="AM20">
            <v>0</v>
          </cell>
          <cell r="AN20">
            <v>5730</v>
          </cell>
          <cell r="AO20">
            <v>0</v>
          </cell>
          <cell r="AP20">
            <v>17500</v>
          </cell>
          <cell r="AQ20">
            <v>16300</v>
          </cell>
          <cell r="AR20">
            <v>13176.666666666666</v>
          </cell>
          <cell r="AS20">
            <v>13.176666666666666</v>
          </cell>
        </row>
        <row r="21">
          <cell r="A21" t="str">
            <v>Atún en aceite</v>
          </cell>
          <cell r="B21" t="str">
            <v>Gramos</v>
          </cell>
          <cell r="AM21">
            <v>0</v>
          </cell>
          <cell r="AN21">
            <v>3346.6666666666665</v>
          </cell>
          <cell r="AO21">
            <v>3491.3333333333335</v>
          </cell>
          <cell r="AP21">
            <v>3085</v>
          </cell>
          <cell r="AQ21">
            <v>3221.6666666666665</v>
          </cell>
          <cell r="AR21">
            <v>3286.1666666666665</v>
          </cell>
          <cell r="AS21">
            <v>17.859601449275363</v>
          </cell>
        </row>
        <row r="22">
          <cell r="A22" t="str">
            <v>Avena comercial</v>
          </cell>
          <cell r="B22" t="str">
            <v>Cm3</v>
          </cell>
          <cell r="AM22">
            <v>0</v>
          </cell>
          <cell r="AN22">
            <v>1015</v>
          </cell>
          <cell r="AO22">
            <v>0</v>
          </cell>
          <cell r="AP22">
            <v>873.33333333333337</v>
          </cell>
          <cell r="AQ22">
            <v>853.33333333333337</v>
          </cell>
          <cell r="AR22">
            <v>913.88888888888903</v>
          </cell>
          <cell r="AS22">
            <v>4.5694444444444455</v>
          </cell>
        </row>
        <row r="23">
          <cell r="A23" t="str">
            <v>Avena en hojuelas</v>
          </cell>
          <cell r="B23" t="str">
            <v>Gramos</v>
          </cell>
          <cell r="AM23">
            <v>0</v>
          </cell>
          <cell r="AN23">
            <v>2109.3333333333335</v>
          </cell>
          <cell r="AO23">
            <v>2555.3333333333335</v>
          </cell>
          <cell r="AP23">
            <v>1390</v>
          </cell>
          <cell r="AQ23">
            <v>1834.0740740740741</v>
          </cell>
          <cell r="AR23">
            <v>1972.1851851851852</v>
          </cell>
          <cell r="AS23">
            <v>7.8887407407407411</v>
          </cell>
        </row>
        <row r="24">
          <cell r="A24" t="str">
            <v>Avena en polvo</v>
          </cell>
          <cell r="B24" t="str">
            <v>Gramos</v>
          </cell>
          <cell r="AM24">
            <v>0</v>
          </cell>
          <cell r="AN24">
            <v>2424</v>
          </cell>
          <cell r="AO24">
            <v>2895</v>
          </cell>
          <cell r="AP24">
            <v>2741.1428571428573</v>
          </cell>
          <cell r="AQ24">
            <v>4616.666666666667</v>
          </cell>
          <cell r="AR24">
            <v>3169.2023809523807</v>
          </cell>
          <cell r="AS24">
            <v>10.564007936507936</v>
          </cell>
        </row>
        <row r="25">
          <cell r="A25" t="str">
            <v>Azúcar</v>
          </cell>
          <cell r="B25" t="str">
            <v>Gramos</v>
          </cell>
          <cell r="AM25">
            <v>0</v>
          </cell>
          <cell r="AN25">
            <v>2116.6666666666665</v>
          </cell>
          <cell r="AO25">
            <v>2596.6666666666665</v>
          </cell>
          <cell r="AP25">
            <v>2240</v>
          </cell>
          <cell r="AQ25">
            <v>2110</v>
          </cell>
          <cell r="AR25">
            <v>2265.833333333333</v>
          </cell>
          <cell r="AS25">
            <v>2.2658333333333331</v>
          </cell>
        </row>
        <row r="26">
          <cell r="A26" t="str">
            <v>Banano</v>
          </cell>
          <cell r="B26" t="str">
            <v>Kilogramo</v>
          </cell>
          <cell r="AM26">
            <v>0</v>
          </cell>
          <cell r="AN26">
            <v>1220</v>
          </cell>
          <cell r="AO26">
            <v>1350</v>
          </cell>
          <cell r="AP26">
            <v>1190</v>
          </cell>
          <cell r="AQ26">
            <v>1230</v>
          </cell>
          <cell r="AR26">
            <v>1247.5</v>
          </cell>
          <cell r="AS26">
            <v>1.2475000000000001</v>
          </cell>
        </row>
        <row r="27">
          <cell r="A27" t="str">
            <v>Barquillo</v>
          </cell>
          <cell r="B27" t="str">
            <v>Gramos</v>
          </cell>
          <cell r="AM27">
            <v>0</v>
          </cell>
          <cell r="AN27">
            <v>1260</v>
          </cell>
          <cell r="AO27">
            <v>1165</v>
          </cell>
          <cell r="AP27">
            <v>0</v>
          </cell>
          <cell r="AQ27">
            <v>666.9473684210526</v>
          </cell>
          <cell r="AR27">
            <v>1030.6491228070174</v>
          </cell>
          <cell r="AS27">
            <v>23.423843700159487</v>
          </cell>
        </row>
        <row r="28">
          <cell r="A28" t="str">
            <v>Bizcochuelo</v>
          </cell>
          <cell r="B28" t="str">
            <v>Gramos</v>
          </cell>
          <cell r="AM28">
            <v>0</v>
          </cell>
          <cell r="AN28">
            <v>2324.5</v>
          </cell>
          <cell r="AO28">
            <v>2411.3333333333335</v>
          </cell>
          <cell r="AP28">
            <v>0</v>
          </cell>
          <cell r="AQ28">
            <v>2411.4761904761895</v>
          </cell>
          <cell r="AR28">
            <v>2382.4365079365075</v>
          </cell>
          <cell r="AS28">
            <v>28.028664799253029</v>
          </cell>
        </row>
        <row r="29">
          <cell r="A29" t="str">
            <v>Blanquillo</v>
          </cell>
          <cell r="B29" t="str">
            <v>Kilogramo</v>
          </cell>
          <cell r="AM29">
            <v>0</v>
          </cell>
          <cell r="AN29">
            <v>3980</v>
          </cell>
          <cell r="AO29">
            <v>4365</v>
          </cell>
          <cell r="AP29">
            <v>4000</v>
          </cell>
          <cell r="AQ29">
            <v>3910</v>
          </cell>
          <cell r="AR29">
            <v>4063.75</v>
          </cell>
          <cell r="AS29">
            <v>4.0637499999999998</v>
          </cell>
        </row>
        <row r="30">
          <cell r="A30" t="str">
            <v>Bocadillo</v>
          </cell>
          <cell r="B30" t="str">
            <v>Gramos</v>
          </cell>
          <cell r="AM30">
            <v>0</v>
          </cell>
          <cell r="AN30">
            <v>4522.333333333333</v>
          </cell>
          <cell r="AO30">
            <v>3013.3333333333335</v>
          </cell>
          <cell r="AP30">
            <v>2635</v>
          </cell>
          <cell r="AQ30">
            <v>2609</v>
          </cell>
          <cell r="AR30">
            <v>3194.9166666666665</v>
          </cell>
          <cell r="AS30">
            <v>6.3898333333333328</v>
          </cell>
        </row>
        <row r="31">
          <cell r="A31" t="str">
            <v>Bacado de pescado</v>
          </cell>
          <cell r="AM31">
            <v>0</v>
          </cell>
          <cell r="AN31">
            <v>0</v>
          </cell>
          <cell r="AO31">
            <v>0</v>
          </cell>
          <cell r="AP31">
            <v>0</v>
          </cell>
          <cell r="AQ31">
            <v>0</v>
          </cell>
          <cell r="AR31">
            <v>0</v>
          </cell>
          <cell r="AS31">
            <v>0</v>
          </cell>
        </row>
        <row r="32">
          <cell r="A32" t="str">
            <v>Brócoli</v>
          </cell>
          <cell r="B32" t="str">
            <v>Kilogramo</v>
          </cell>
          <cell r="AM32">
            <v>0</v>
          </cell>
          <cell r="AN32">
            <v>3830</v>
          </cell>
          <cell r="AO32">
            <v>3750</v>
          </cell>
          <cell r="AP32">
            <v>2500</v>
          </cell>
          <cell r="AQ32">
            <v>2340</v>
          </cell>
          <cell r="AR32">
            <v>3105</v>
          </cell>
          <cell r="AS32">
            <v>3.105</v>
          </cell>
        </row>
        <row r="33">
          <cell r="A33" t="str">
            <v>Buñuelo</v>
          </cell>
          <cell r="B33" t="str">
            <v>unidades</v>
          </cell>
          <cell r="AM33">
            <v>0</v>
          </cell>
          <cell r="AN33">
            <v>0</v>
          </cell>
          <cell r="AO33">
            <v>0</v>
          </cell>
          <cell r="AP33">
            <v>0</v>
          </cell>
          <cell r="AQ33">
            <v>0</v>
          </cell>
          <cell r="AR33">
            <v>0</v>
          </cell>
          <cell r="AS33">
            <v>0</v>
          </cell>
        </row>
        <row r="34">
          <cell r="A34" t="str">
            <v xml:space="preserve">Café granulado </v>
          </cell>
          <cell r="B34" t="str">
            <v>Gramos</v>
          </cell>
          <cell r="AM34">
            <v>0</v>
          </cell>
          <cell r="AN34">
            <v>10303.333333333334</v>
          </cell>
          <cell r="AO34">
            <v>10470</v>
          </cell>
          <cell r="AP34">
            <v>10260</v>
          </cell>
          <cell r="AQ34">
            <v>10530</v>
          </cell>
          <cell r="AR34">
            <v>10390.833333333334</v>
          </cell>
          <cell r="AS34">
            <v>61.122549019607845</v>
          </cell>
        </row>
        <row r="35">
          <cell r="A35" t="str">
            <v>Caladitos</v>
          </cell>
          <cell r="B35" t="str">
            <v>Gramos</v>
          </cell>
          <cell r="AM35">
            <v>0</v>
          </cell>
          <cell r="AN35">
            <v>2820</v>
          </cell>
          <cell r="AO35">
            <v>2770</v>
          </cell>
          <cell r="AP35">
            <v>2015.2083333333335</v>
          </cell>
          <cell r="AQ35">
            <v>3130</v>
          </cell>
          <cell r="AR35">
            <v>2683.8020833333335</v>
          </cell>
          <cell r="AS35">
            <v>15.787071078431373</v>
          </cell>
        </row>
        <row r="36">
          <cell r="B36" t="str">
            <v>unidades</v>
          </cell>
          <cell r="AM36">
            <v>0</v>
          </cell>
          <cell r="AN36">
            <v>2003.3333333333333</v>
          </cell>
          <cell r="AO36">
            <v>2159</v>
          </cell>
          <cell r="AP36">
            <v>0</v>
          </cell>
          <cell r="AQ36">
            <v>1773.3333333333333</v>
          </cell>
          <cell r="AR36">
            <v>1978.5555555555554</v>
          </cell>
          <cell r="AS36">
            <v>247.31944444444443</v>
          </cell>
        </row>
        <row r="37">
          <cell r="A37" t="str">
            <v>Canela en polvo</v>
          </cell>
          <cell r="B37" t="str">
            <v>Gramos</v>
          </cell>
          <cell r="AM37">
            <v>0</v>
          </cell>
          <cell r="AN37">
            <v>3260</v>
          </cell>
          <cell r="AO37">
            <v>1980.6666666666667</v>
          </cell>
          <cell r="AP37">
            <v>2035</v>
          </cell>
          <cell r="AQ37">
            <v>2003.3333333333333</v>
          </cell>
          <cell r="AR37">
            <v>2319.75</v>
          </cell>
          <cell r="AS37">
            <v>46.395000000000003</v>
          </cell>
        </row>
        <row r="38">
          <cell r="A38" t="str">
            <v>Carne de hamburguesa</v>
          </cell>
          <cell r="B38" t="str">
            <v>Gramos</v>
          </cell>
          <cell r="AM38">
            <v>0</v>
          </cell>
          <cell r="AN38">
            <v>12280</v>
          </cell>
          <cell r="AO38">
            <v>6605</v>
          </cell>
          <cell r="AP38">
            <v>7795</v>
          </cell>
          <cell r="AQ38">
            <v>5180</v>
          </cell>
          <cell r="AR38">
            <v>7965</v>
          </cell>
          <cell r="AS38">
            <v>19.912500000000001</v>
          </cell>
        </row>
        <row r="39">
          <cell r="A39" t="str">
            <v>Carne de res 1ra</v>
          </cell>
          <cell r="B39" t="str">
            <v>Kilogramo</v>
          </cell>
          <cell r="AM39">
            <v>13151</v>
          </cell>
          <cell r="AN39">
            <v>0</v>
          </cell>
          <cell r="AO39">
            <v>0</v>
          </cell>
          <cell r="AP39">
            <v>0</v>
          </cell>
          <cell r="AQ39">
            <v>0</v>
          </cell>
          <cell r="AR39">
            <v>13151</v>
          </cell>
          <cell r="AS39">
            <v>13.151</v>
          </cell>
        </row>
        <row r="40">
          <cell r="A40" t="str">
            <v>Carne de res 2da</v>
          </cell>
          <cell r="B40" t="str">
            <v>Kilogramo</v>
          </cell>
          <cell r="AM40">
            <v>11670</v>
          </cell>
          <cell r="AN40">
            <v>0</v>
          </cell>
          <cell r="AO40">
            <v>0</v>
          </cell>
          <cell r="AP40">
            <v>0</v>
          </cell>
          <cell r="AQ40">
            <v>0</v>
          </cell>
          <cell r="AR40">
            <v>11670</v>
          </cell>
          <cell r="AS40">
            <v>11.67</v>
          </cell>
        </row>
        <row r="41">
          <cell r="A41" t="str">
            <v>Carne molida</v>
          </cell>
          <cell r="B41" t="str">
            <v>Kilogramo</v>
          </cell>
          <cell r="AM41">
            <v>11670</v>
          </cell>
          <cell r="AN41">
            <v>0</v>
          </cell>
          <cell r="AO41">
            <v>0</v>
          </cell>
          <cell r="AP41">
            <v>0</v>
          </cell>
          <cell r="AQ41">
            <v>0</v>
          </cell>
          <cell r="AR41">
            <v>11670</v>
          </cell>
          <cell r="AS41">
            <v>11.67</v>
          </cell>
        </row>
        <row r="42">
          <cell r="A42" t="str">
            <v>Cebolla de huevo</v>
          </cell>
          <cell r="B42" t="str">
            <v>Kilogramo</v>
          </cell>
          <cell r="AM42">
            <v>0</v>
          </cell>
          <cell r="AN42">
            <v>2707</v>
          </cell>
          <cell r="AO42">
            <v>2000</v>
          </cell>
          <cell r="AP42">
            <v>2850</v>
          </cell>
          <cell r="AQ42">
            <v>2220</v>
          </cell>
          <cell r="AR42">
            <v>2444.25</v>
          </cell>
          <cell r="AS42">
            <v>2.4442499999999998</v>
          </cell>
        </row>
        <row r="43">
          <cell r="A43" t="str">
            <v>Cebolla de rama</v>
          </cell>
          <cell r="B43" t="str">
            <v>Kilogramo</v>
          </cell>
          <cell r="AM43">
            <v>0</v>
          </cell>
          <cell r="AN43">
            <v>2380</v>
          </cell>
          <cell r="AO43">
            <v>1175</v>
          </cell>
          <cell r="AP43">
            <v>3500</v>
          </cell>
          <cell r="AQ43">
            <v>1980</v>
          </cell>
          <cell r="AR43">
            <v>2258.75</v>
          </cell>
          <cell r="AS43">
            <v>2.25875</v>
          </cell>
        </row>
        <row r="44">
          <cell r="A44" t="str">
            <v>Cebolla junca</v>
          </cell>
          <cell r="B44" t="str">
            <v>Kilogramo</v>
          </cell>
          <cell r="AM44">
            <v>0</v>
          </cell>
          <cell r="AN44">
            <v>2540</v>
          </cell>
          <cell r="AO44">
            <v>3000</v>
          </cell>
          <cell r="AP44">
            <v>2640</v>
          </cell>
          <cell r="AQ44">
            <v>1980</v>
          </cell>
          <cell r="AR44">
            <v>2540</v>
          </cell>
          <cell r="AS44">
            <v>2.54</v>
          </cell>
        </row>
        <row r="45">
          <cell r="A45" t="str">
            <v>Choco krispis</v>
          </cell>
          <cell r="B45" t="str">
            <v>Gramos</v>
          </cell>
          <cell r="AM45">
            <v>0</v>
          </cell>
          <cell r="AN45">
            <v>7820</v>
          </cell>
          <cell r="AO45">
            <v>9210</v>
          </cell>
          <cell r="AP45">
            <v>6308.5714285714294</v>
          </cell>
          <cell r="AQ45">
            <v>8010</v>
          </cell>
          <cell r="AR45">
            <v>7837.1428571428569</v>
          </cell>
          <cell r="AS45">
            <v>24.491071428571427</v>
          </cell>
        </row>
        <row r="46">
          <cell r="A46" t="str">
            <v>Chocolate pastilla</v>
          </cell>
          <cell r="B46" t="str">
            <v>Gramos</v>
          </cell>
          <cell r="AM46">
            <v>0</v>
          </cell>
          <cell r="AN46">
            <v>2445</v>
          </cell>
          <cell r="AO46">
            <v>2698.3333333333335</v>
          </cell>
          <cell r="AP46">
            <v>2450</v>
          </cell>
          <cell r="AQ46">
            <v>2380</v>
          </cell>
          <cell r="AR46">
            <v>2493.3333333333335</v>
          </cell>
          <cell r="AS46">
            <v>19.946666666666669</v>
          </cell>
        </row>
        <row r="47">
          <cell r="A47" t="str">
            <v>Chocolatina jet</v>
          </cell>
          <cell r="B47" t="str">
            <v>Gramos</v>
          </cell>
          <cell r="AM47">
            <v>0</v>
          </cell>
          <cell r="AN47">
            <v>3390</v>
          </cell>
          <cell r="AO47">
            <v>3620</v>
          </cell>
          <cell r="AP47">
            <v>4090</v>
          </cell>
          <cell r="AQ47">
            <v>3150</v>
          </cell>
          <cell r="AR47">
            <v>3562.5</v>
          </cell>
          <cell r="AS47">
            <v>29.6875</v>
          </cell>
        </row>
        <row r="48">
          <cell r="A48" t="str">
            <v>Chocolisto</v>
          </cell>
          <cell r="B48" t="str">
            <v>Gramos</v>
          </cell>
          <cell r="AM48">
            <v>0</v>
          </cell>
          <cell r="AN48">
            <v>2245</v>
          </cell>
          <cell r="AO48">
            <v>3150</v>
          </cell>
          <cell r="AP48">
            <v>2940</v>
          </cell>
          <cell r="AQ48">
            <v>2870</v>
          </cell>
          <cell r="AR48">
            <v>2801.25</v>
          </cell>
          <cell r="AS48">
            <v>14.00625</v>
          </cell>
        </row>
        <row r="49">
          <cell r="A49" t="str">
            <v>Chupeta</v>
          </cell>
          <cell r="B49" t="str">
            <v>Gramos</v>
          </cell>
          <cell r="AM49">
            <v>0</v>
          </cell>
          <cell r="AN49">
            <v>2091.5</v>
          </cell>
          <cell r="AO49">
            <v>1245</v>
          </cell>
          <cell r="AP49">
            <v>1384</v>
          </cell>
          <cell r="AQ49">
            <v>1340</v>
          </cell>
          <cell r="AR49">
            <v>1515.125</v>
          </cell>
          <cell r="AS49">
            <v>8.4173611111111111</v>
          </cell>
        </row>
        <row r="50">
          <cell r="A50" t="str">
            <v>Cilantro</v>
          </cell>
          <cell r="B50" t="str">
            <v>Gramos</v>
          </cell>
          <cell r="AM50">
            <v>0</v>
          </cell>
          <cell r="AN50">
            <v>530</v>
          </cell>
          <cell r="AO50">
            <v>1200</v>
          </cell>
          <cell r="AP50">
            <v>2900</v>
          </cell>
          <cell r="AQ50">
            <v>867.39130434782612</v>
          </cell>
          <cell r="AR50">
            <v>1374.3478260869565</v>
          </cell>
          <cell r="AS50">
            <v>13.743478260869566</v>
          </cell>
        </row>
        <row r="51">
          <cell r="A51" t="str">
            <v>Cocoa</v>
          </cell>
          <cell r="B51" t="str">
            <v>Gramos</v>
          </cell>
          <cell r="AM51">
            <v>0</v>
          </cell>
          <cell r="AN51">
            <v>2199</v>
          </cell>
          <cell r="AO51">
            <v>2080</v>
          </cell>
          <cell r="AP51">
            <v>2262.5</v>
          </cell>
          <cell r="AQ51">
            <v>2294</v>
          </cell>
          <cell r="AR51">
            <v>2208.875</v>
          </cell>
          <cell r="AS51">
            <v>17.670999999999999</v>
          </cell>
        </row>
        <row r="52">
          <cell r="A52" t="str">
            <v>Coliflor</v>
          </cell>
          <cell r="B52" t="str">
            <v>Kilogramo</v>
          </cell>
          <cell r="AM52">
            <v>0</v>
          </cell>
          <cell r="AN52">
            <v>3430</v>
          </cell>
          <cell r="AO52">
            <v>3750</v>
          </cell>
          <cell r="AP52">
            <v>3500</v>
          </cell>
          <cell r="AQ52">
            <v>5138</v>
          </cell>
          <cell r="AR52">
            <v>3954.5</v>
          </cell>
          <cell r="AS52">
            <v>3.9544999999999999</v>
          </cell>
        </row>
        <row r="53">
          <cell r="A53" t="str">
            <v>Color</v>
          </cell>
          <cell r="B53" t="str">
            <v>Gramos</v>
          </cell>
          <cell r="AM53">
            <v>0</v>
          </cell>
          <cell r="AN53">
            <v>1797</v>
          </cell>
          <cell r="AO53">
            <v>1197.5</v>
          </cell>
          <cell r="AP53">
            <v>2084.4155844155844</v>
          </cell>
          <cell r="AQ53">
            <v>1658.3333333333333</v>
          </cell>
          <cell r="AR53">
            <v>1684.3122294372295</v>
          </cell>
          <cell r="AS53">
            <v>13.474497835497836</v>
          </cell>
        </row>
        <row r="54">
          <cell r="A54" t="str">
            <v>Contramuslo</v>
          </cell>
          <cell r="B54" t="str">
            <v>Kilogramo</v>
          </cell>
          <cell r="AM54">
            <v>0</v>
          </cell>
          <cell r="AN54">
            <v>7548</v>
          </cell>
          <cell r="AO54">
            <v>8700</v>
          </cell>
          <cell r="AP54">
            <v>9320</v>
          </cell>
          <cell r="AQ54">
            <v>8453.7037037037026</v>
          </cell>
          <cell r="AR54">
            <v>8505.4259259259252</v>
          </cell>
          <cell r="AS54">
            <v>8.5054259259259251</v>
          </cell>
        </row>
        <row r="55">
          <cell r="A55" t="str">
            <v>Crema de leche</v>
          </cell>
          <cell r="B55" t="str">
            <v>Gramos</v>
          </cell>
          <cell r="AM55">
            <v>0</v>
          </cell>
          <cell r="AN55">
            <v>2524.3333333333335</v>
          </cell>
          <cell r="AO55">
            <v>2072</v>
          </cell>
          <cell r="AP55">
            <v>1885</v>
          </cell>
          <cell r="AQ55">
            <v>1790</v>
          </cell>
          <cell r="AR55">
            <v>2067.8333333333335</v>
          </cell>
          <cell r="AS55">
            <v>10.339166666666667</v>
          </cell>
        </row>
        <row r="56">
          <cell r="A56" t="str">
            <v>Croassan</v>
          </cell>
          <cell r="B56" t="str">
            <v>Gramos</v>
          </cell>
          <cell r="AM56">
            <v>0</v>
          </cell>
          <cell r="AN56">
            <v>2920</v>
          </cell>
          <cell r="AO56">
            <v>0</v>
          </cell>
          <cell r="AP56">
            <v>2755</v>
          </cell>
          <cell r="AQ56">
            <v>3780</v>
          </cell>
          <cell r="AR56">
            <v>3151.6666666666665</v>
          </cell>
          <cell r="AS56">
            <v>13.131944444444445</v>
          </cell>
        </row>
        <row r="57">
          <cell r="A57" t="str">
            <v>Cuajada</v>
          </cell>
          <cell r="B57" t="str">
            <v>Gramos</v>
          </cell>
          <cell r="AM57">
            <v>0</v>
          </cell>
          <cell r="AN57">
            <v>5813.333333333333</v>
          </cell>
          <cell r="AO57">
            <v>6106.666666666667</v>
          </cell>
          <cell r="AP57">
            <v>4856.666666666667</v>
          </cell>
          <cell r="AQ57">
            <v>5345.666666666667</v>
          </cell>
          <cell r="AR57">
            <v>5530.5833333333339</v>
          </cell>
          <cell r="AS57">
            <v>11.061166666666669</v>
          </cell>
        </row>
        <row r="58">
          <cell r="A58" t="str">
            <v>Curuba</v>
          </cell>
          <cell r="B58" t="str">
            <v>Gramos</v>
          </cell>
          <cell r="AM58">
            <v>0</v>
          </cell>
          <cell r="AN58">
            <v>2930</v>
          </cell>
          <cell r="AO58">
            <v>1675</v>
          </cell>
          <cell r="AP58">
            <v>0</v>
          </cell>
          <cell r="AQ58">
            <v>2200</v>
          </cell>
          <cell r="AR58">
            <v>2268.3333333333335</v>
          </cell>
          <cell r="AS58">
            <v>2.2683333333333335</v>
          </cell>
        </row>
        <row r="59">
          <cell r="A59" t="str">
            <v>Esencia de vainilla</v>
          </cell>
          <cell r="B59" t="str">
            <v>Gramos</v>
          </cell>
          <cell r="AM59">
            <v>0</v>
          </cell>
          <cell r="AN59">
            <v>2245</v>
          </cell>
          <cell r="AO59">
            <v>1349</v>
          </cell>
          <cell r="AP59">
            <v>1390</v>
          </cell>
          <cell r="AQ59">
            <v>2015</v>
          </cell>
          <cell r="AR59">
            <v>1749.75</v>
          </cell>
          <cell r="AS59">
            <v>19.441666666666666</v>
          </cell>
        </row>
        <row r="60">
          <cell r="A60" t="str">
            <v>Espinaca</v>
          </cell>
          <cell r="B60" t="str">
            <v>Gramos</v>
          </cell>
          <cell r="AM60">
            <v>0</v>
          </cell>
          <cell r="AN60">
            <v>1700</v>
          </cell>
          <cell r="AO60">
            <v>2000</v>
          </cell>
          <cell r="AP60">
            <v>2900</v>
          </cell>
          <cell r="AQ60">
            <v>2900</v>
          </cell>
          <cell r="AR60">
            <v>2375</v>
          </cell>
          <cell r="AS60">
            <v>4.75</v>
          </cell>
        </row>
        <row r="61">
          <cell r="A61" t="str">
            <v>Fécula de maíz</v>
          </cell>
          <cell r="B61" t="str">
            <v>Gramos</v>
          </cell>
          <cell r="AM61">
            <v>0</v>
          </cell>
          <cell r="AN61">
            <v>4866</v>
          </cell>
          <cell r="AO61">
            <v>5353</v>
          </cell>
          <cell r="AP61">
            <v>4120</v>
          </cell>
          <cell r="AQ61">
            <v>4642.105263157895</v>
          </cell>
          <cell r="AR61">
            <v>4745.2763157894733</v>
          </cell>
          <cell r="AS61">
            <v>13.181323099415204</v>
          </cell>
        </row>
        <row r="62">
          <cell r="A62" t="str">
            <v>Filete de pescado</v>
          </cell>
          <cell r="B62" t="str">
            <v>Gramos</v>
          </cell>
          <cell r="AM62">
            <v>0</v>
          </cell>
          <cell r="AN62">
            <v>25944.333333333332</v>
          </cell>
          <cell r="AO62">
            <v>17226.666666666668</v>
          </cell>
          <cell r="AP62">
            <v>12720</v>
          </cell>
          <cell r="AQ62">
            <v>10080</v>
          </cell>
          <cell r="AR62">
            <v>16492.75</v>
          </cell>
          <cell r="AS62">
            <v>16.492750000000001</v>
          </cell>
        </row>
        <row r="63">
          <cell r="A63" t="str">
            <v>Fresa</v>
          </cell>
          <cell r="B63" t="str">
            <v>Kilogramo</v>
          </cell>
          <cell r="AM63">
            <v>0</v>
          </cell>
          <cell r="AN63">
            <v>9360</v>
          </cell>
          <cell r="AO63">
            <v>5900</v>
          </cell>
          <cell r="AP63">
            <v>4400</v>
          </cell>
          <cell r="AQ63">
            <v>2280</v>
          </cell>
          <cell r="AR63">
            <v>5485</v>
          </cell>
          <cell r="AS63">
            <v>5.4850000000000003</v>
          </cell>
        </row>
        <row r="64">
          <cell r="A64" t="str">
            <v>Frescavena</v>
          </cell>
          <cell r="B64" t="str">
            <v>Gramos</v>
          </cell>
          <cell r="AM64">
            <v>0</v>
          </cell>
          <cell r="AN64">
            <v>3616.5</v>
          </cell>
          <cell r="AO64">
            <v>3795.5</v>
          </cell>
          <cell r="AP64">
            <v>3570</v>
          </cell>
          <cell r="AQ64">
            <v>3490</v>
          </cell>
          <cell r="AR64">
            <v>3618</v>
          </cell>
          <cell r="AS64">
            <v>20.100000000000001</v>
          </cell>
        </row>
        <row r="65">
          <cell r="A65" t="str">
            <v>Frijol cargamanto blanco</v>
          </cell>
          <cell r="B65" t="str">
            <v>Kilogramo</v>
          </cell>
          <cell r="AM65">
            <v>0</v>
          </cell>
          <cell r="AN65">
            <v>5890</v>
          </cell>
          <cell r="AO65">
            <v>5610</v>
          </cell>
          <cell r="AP65">
            <v>6150</v>
          </cell>
          <cell r="AQ65">
            <v>6940</v>
          </cell>
          <cell r="AR65">
            <v>6147.5</v>
          </cell>
          <cell r="AS65">
            <v>6.1475</v>
          </cell>
        </row>
        <row r="66">
          <cell r="A66" t="str">
            <v xml:space="preserve">Frijol cargamanto </v>
          </cell>
          <cell r="B66" t="str">
            <v>Kilogramo</v>
          </cell>
          <cell r="AM66">
            <v>0</v>
          </cell>
          <cell r="AN66">
            <v>5920</v>
          </cell>
          <cell r="AO66">
            <v>5520</v>
          </cell>
          <cell r="AP66">
            <v>6650</v>
          </cell>
          <cell r="AQ66">
            <v>6670</v>
          </cell>
          <cell r="AR66">
            <v>6190</v>
          </cell>
          <cell r="AS66">
            <v>6.19</v>
          </cell>
        </row>
        <row r="67">
          <cell r="A67" t="str">
            <v>Frijol cargamanto rojo</v>
          </cell>
          <cell r="B67" t="str">
            <v>Kilogramo</v>
          </cell>
          <cell r="AM67">
            <v>0</v>
          </cell>
          <cell r="AN67">
            <v>5950</v>
          </cell>
          <cell r="AO67">
            <v>5475</v>
          </cell>
          <cell r="AP67">
            <v>7650</v>
          </cell>
          <cell r="AQ67">
            <v>6130</v>
          </cell>
          <cell r="AR67">
            <v>6301.25</v>
          </cell>
          <cell r="AS67">
            <v>6.3012499999999996</v>
          </cell>
        </row>
        <row r="68">
          <cell r="A68" t="str">
            <v>Frunas</v>
          </cell>
          <cell r="B68" t="str">
            <v>Gramos</v>
          </cell>
          <cell r="AM68">
            <v>0</v>
          </cell>
          <cell r="AN68">
            <v>6170</v>
          </cell>
          <cell r="AO68">
            <v>0</v>
          </cell>
          <cell r="AP68">
            <v>6266.666666666667</v>
          </cell>
          <cell r="AQ68">
            <v>0</v>
          </cell>
          <cell r="AR68">
            <v>6218.3333333333339</v>
          </cell>
          <cell r="AS68">
            <v>11.777146464646465</v>
          </cell>
        </row>
        <row r="69">
          <cell r="A69" t="str">
            <v>Gala</v>
          </cell>
          <cell r="B69" t="str">
            <v>Gramos</v>
          </cell>
          <cell r="AM69">
            <v>0</v>
          </cell>
          <cell r="AN69">
            <v>4050</v>
          </cell>
          <cell r="AO69">
            <v>3320</v>
          </cell>
          <cell r="AP69">
            <v>3610</v>
          </cell>
          <cell r="AQ69">
            <v>3570</v>
          </cell>
          <cell r="AR69">
            <v>3637.5</v>
          </cell>
          <cell r="AS69">
            <v>8.5588235294117645</v>
          </cell>
        </row>
        <row r="70">
          <cell r="A70" t="str">
            <v>Galleta cuca</v>
          </cell>
          <cell r="B70" t="str">
            <v>Gramos</v>
          </cell>
          <cell r="AM70">
            <v>0</v>
          </cell>
          <cell r="AN70">
            <v>0</v>
          </cell>
          <cell r="AO70">
            <v>4771</v>
          </cell>
          <cell r="AP70">
            <v>2766.3428571428567</v>
          </cell>
          <cell r="AQ70">
            <v>3467.5</v>
          </cell>
          <cell r="AR70">
            <v>3668.2809523809519</v>
          </cell>
          <cell r="AS70">
            <v>9.2633357383357371</v>
          </cell>
        </row>
        <row r="71">
          <cell r="A71" t="str">
            <v>Galleta de soda</v>
          </cell>
          <cell r="B71" t="str">
            <v>Gramos</v>
          </cell>
          <cell r="AM71">
            <v>0</v>
          </cell>
          <cell r="AN71">
            <v>2290</v>
          </cell>
          <cell r="AO71">
            <v>2560</v>
          </cell>
          <cell r="AP71">
            <v>2590</v>
          </cell>
          <cell r="AQ71">
            <v>1829.1666666666665</v>
          </cell>
          <cell r="AR71">
            <v>2317.2916666666665</v>
          </cell>
          <cell r="AS71">
            <v>11.034722222222221</v>
          </cell>
        </row>
        <row r="72">
          <cell r="A72" t="str">
            <v>Galleta ducales</v>
          </cell>
          <cell r="B72" t="str">
            <v>Gramos</v>
          </cell>
          <cell r="AM72">
            <v>0</v>
          </cell>
          <cell r="AN72">
            <v>3210</v>
          </cell>
          <cell r="AO72">
            <v>3190</v>
          </cell>
          <cell r="AP72">
            <v>3130</v>
          </cell>
          <cell r="AQ72">
            <v>3970</v>
          </cell>
          <cell r="AR72">
            <v>3375</v>
          </cell>
          <cell r="AS72">
            <v>10.817307692307692</v>
          </cell>
        </row>
        <row r="73">
          <cell r="A73" t="str">
            <v>Galleta Festival</v>
          </cell>
          <cell r="B73" t="str">
            <v>Gramos</v>
          </cell>
          <cell r="AM73">
            <v>0</v>
          </cell>
          <cell r="AN73">
            <v>4100</v>
          </cell>
          <cell r="AO73">
            <v>4500</v>
          </cell>
          <cell r="AP73">
            <v>3960</v>
          </cell>
          <cell r="AQ73">
            <v>3910</v>
          </cell>
          <cell r="AR73">
            <v>4117.5</v>
          </cell>
          <cell r="AS73">
            <v>9.9216867469879517</v>
          </cell>
        </row>
        <row r="74">
          <cell r="A74" t="str">
            <v>Galleta leche</v>
          </cell>
          <cell r="B74" t="str">
            <v>Gramos</v>
          </cell>
          <cell r="AM74">
            <v>0</v>
          </cell>
          <cell r="AN74">
            <v>2040</v>
          </cell>
          <cell r="AO74">
            <v>0</v>
          </cell>
          <cell r="AP74">
            <v>0</v>
          </cell>
          <cell r="AQ74">
            <v>2930</v>
          </cell>
          <cell r="AR74">
            <v>2485</v>
          </cell>
          <cell r="AS74">
            <v>9.8611111111111107</v>
          </cell>
        </row>
        <row r="75">
          <cell r="A75" t="str">
            <v>Galleta mantequilla</v>
          </cell>
          <cell r="B75" t="str">
            <v>Gramos</v>
          </cell>
          <cell r="AM75">
            <v>0</v>
          </cell>
          <cell r="AN75">
            <v>3677.6666666666665</v>
          </cell>
          <cell r="AO75">
            <v>3705</v>
          </cell>
          <cell r="AP75">
            <v>0</v>
          </cell>
          <cell r="AQ75">
            <v>3357.8747021875679</v>
          </cell>
          <cell r="AR75">
            <v>3580.1804562847447</v>
          </cell>
          <cell r="AS75">
            <v>9.2991700163240125</v>
          </cell>
        </row>
        <row r="76">
          <cell r="A76" t="str">
            <v>Galleta salada</v>
          </cell>
          <cell r="B76" t="str">
            <v>Gramos</v>
          </cell>
          <cell r="AM76">
            <v>0</v>
          </cell>
          <cell r="AN76">
            <v>2206</v>
          </cell>
          <cell r="AO76">
            <v>2880</v>
          </cell>
          <cell r="AP76">
            <v>2470</v>
          </cell>
          <cell r="AQ76">
            <v>2378.9473684210525</v>
          </cell>
          <cell r="AR76">
            <v>2483.7368421052633</v>
          </cell>
          <cell r="AS76">
            <v>7.8848788638262333</v>
          </cell>
        </row>
        <row r="77">
          <cell r="A77" t="str">
            <v>Galleta sandwich</v>
          </cell>
          <cell r="B77" t="str">
            <v>Gramos</v>
          </cell>
          <cell r="AM77">
            <v>0</v>
          </cell>
          <cell r="AN77">
            <v>3911.3333333333335</v>
          </cell>
          <cell r="AO77">
            <v>4982</v>
          </cell>
          <cell r="AP77">
            <v>3075</v>
          </cell>
          <cell r="AQ77">
            <v>4113.6591478696737</v>
          </cell>
          <cell r="AR77">
            <v>4020.4981203007519</v>
          </cell>
          <cell r="AS77">
            <v>9.3067086118072968</v>
          </cell>
        </row>
        <row r="78">
          <cell r="A78" t="str">
            <v>Galleta solterita</v>
          </cell>
          <cell r="B78" t="str">
            <v>Unidades</v>
          </cell>
          <cell r="AM78">
            <v>0</v>
          </cell>
          <cell r="AN78">
            <v>0</v>
          </cell>
          <cell r="AO78">
            <v>0</v>
          </cell>
          <cell r="AP78">
            <v>0</v>
          </cell>
          <cell r="AQ78">
            <v>0</v>
          </cell>
          <cell r="AR78">
            <v>0</v>
          </cell>
          <cell r="AS78">
            <v>0</v>
          </cell>
        </row>
        <row r="79">
          <cell r="A79" t="str">
            <v>Galleta sultana</v>
          </cell>
          <cell r="B79" t="str">
            <v>Gramos</v>
          </cell>
          <cell r="AM79">
            <v>0</v>
          </cell>
          <cell r="AN79">
            <v>2840</v>
          </cell>
          <cell r="AO79">
            <v>2950</v>
          </cell>
          <cell r="AP79">
            <v>2880</v>
          </cell>
          <cell r="AQ79">
            <v>2560</v>
          </cell>
          <cell r="AR79">
            <v>2807.5</v>
          </cell>
          <cell r="AS79">
            <v>12.761363636363637</v>
          </cell>
        </row>
        <row r="80">
          <cell r="A80" t="str">
            <v>Galleta wafer</v>
          </cell>
          <cell r="B80" t="str">
            <v>Gramos</v>
          </cell>
          <cell r="AM80">
            <v>0</v>
          </cell>
          <cell r="AN80">
            <v>1695.5</v>
          </cell>
          <cell r="AO80">
            <v>4070</v>
          </cell>
          <cell r="AP80">
            <v>1349.5918367346937</v>
          </cell>
          <cell r="AQ80">
            <v>1499</v>
          </cell>
          <cell r="AR80">
            <v>2153.5229591836733</v>
          </cell>
          <cell r="AS80">
            <v>12.667782112845137</v>
          </cell>
        </row>
        <row r="81">
          <cell r="A81" t="str">
            <v>Garbanzo</v>
          </cell>
          <cell r="B81" t="str">
            <v>Gramos</v>
          </cell>
          <cell r="AM81">
            <v>0</v>
          </cell>
          <cell r="AN81">
            <v>4135</v>
          </cell>
          <cell r="AO81">
            <v>2850</v>
          </cell>
          <cell r="AP81">
            <v>2220</v>
          </cell>
          <cell r="AQ81">
            <v>1930</v>
          </cell>
          <cell r="AR81">
            <v>2783.75</v>
          </cell>
          <cell r="AS81">
            <v>5.5674999999999999</v>
          </cell>
        </row>
        <row r="82">
          <cell r="A82" t="str">
            <v xml:space="preserve">Gelatina de pata </v>
          </cell>
          <cell r="B82" t="str">
            <v>Gramos</v>
          </cell>
          <cell r="AM82">
            <v>0</v>
          </cell>
          <cell r="AN82">
            <v>2550</v>
          </cell>
          <cell r="AO82">
            <v>1685</v>
          </cell>
          <cell r="AP82">
            <v>5583.3333333333339</v>
          </cell>
          <cell r="AQ82">
            <v>0</v>
          </cell>
          <cell r="AR82">
            <v>3272.7777777777778</v>
          </cell>
          <cell r="AS82">
            <v>8.1819444444444454</v>
          </cell>
        </row>
        <row r="83">
          <cell r="A83" t="str">
            <v>Gomitas</v>
          </cell>
          <cell r="B83" t="str">
            <v>Gramos</v>
          </cell>
          <cell r="AM83">
            <v>0</v>
          </cell>
          <cell r="AN83">
            <v>5956.333333333333</v>
          </cell>
          <cell r="AO83">
            <v>4233</v>
          </cell>
          <cell r="AP83">
            <v>4950</v>
          </cell>
          <cell r="AQ83">
            <v>12250</v>
          </cell>
          <cell r="AR83">
            <v>6847.333333333333</v>
          </cell>
          <cell r="AS83">
            <v>13.694666666666667</v>
          </cell>
        </row>
        <row r="84">
          <cell r="A84" t="str">
            <v>Granadilla</v>
          </cell>
          <cell r="B84" t="str">
            <v>Kilogramo</v>
          </cell>
          <cell r="AM84">
            <v>0</v>
          </cell>
          <cell r="AN84">
            <v>4590</v>
          </cell>
          <cell r="AO84">
            <v>5400</v>
          </cell>
          <cell r="AP84">
            <v>5100</v>
          </cell>
          <cell r="AQ84">
            <v>3780</v>
          </cell>
          <cell r="AR84">
            <v>4717.5</v>
          </cell>
          <cell r="AS84">
            <v>4.7175000000000002</v>
          </cell>
        </row>
        <row r="85">
          <cell r="A85" t="str">
            <v>Guanábana</v>
          </cell>
          <cell r="B85" t="str">
            <v>Kilogramo</v>
          </cell>
          <cell r="AM85">
            <v>0</v>
          </cell>
          <cell r="AN85">
            <v>2530</v>
          </cell>
          <cell r="AO85">
            <v>4700</v>
          </cell>
          <cell r="AP85">
            <v>2580</v>
          </cell>
          <cell r="AQ85">
            <v>2840</v>
          </cell>
          <cell r="AR85">
            <v>3162.5</v>
          </cell>
          <cell r="AS85">
            <v>3.1625000000000001</v>
          </cell>
        </row>
        <row r="86">
          <cell r="A86" t="str">
            <v>Guasca</v>
          </cell>
          <cell r="B86" t="str">
            <v>Kilogramo</v>
          </cell>
          <cell r="AM86">
            <v>0</v>
          </cell>
          <cell r="AN86">
            <v>3980</v>
          </cell>
          <cell r="AO86">
            <v>1400</v>
          </cell>
          <cell r="AP86">
            <v>2500</v>
          </cell>
          <cell r="AQ86">
            <v>2500</v>
          </cell>
          <cell r="AR86">
            <v>2595</v>
          </cell>
          <cell r="AS86">
            <v>2.5950000000000002</v>
          </cell>
        </row>
        <row r="87">
          <cell r="A87" t="str">
            <v>Guayaba común</v>
          </cell>
          <cell r="B87" t="str">
            <v>Kilogramo</v>
          </cell>
          <cell r="AM87">
            <v>0</v>
          </cell>
          <cell r="AN87">
            <v>1340</v>
          </cell>
          <cell r="AO87">
            <v>1350</v>
          </cell>
          <cell r="AP87">
            <v>0</v>
          </cell>
          <cell r="AQ87">
            <v>1200</v>
          </cell>
          <cell r="AR87">
            <v>1296.6666666666667</v>
          </cell>
          <cell r="AS87">
            <v>1.2966666666666666</v>
          </cell>
        </row>
        <row r="88">
          <cell r="A88" t="str">
            <v>Guineo</v>
          </cell>
          <cell r="B88" t="str">
            <v>Kilogramo</v>
          </cell>
          <cell r="AM88">
            <v>0</v>
          </cell>
          <cell r="AN88">
            <v>830</v>
          </cell>
          <cell r="AO88">
            <v>700</v>
          </cell>
          <cell r="AP88">
            <v>840</v>
          </cell>
          <cell r="AQ88">
            <v>1340</v>
          </cell>
          <cell r="AR88">
            <v>927.5</v>
          </cell>
          <cell r="AS88">
            <v>0.92749999999999999</v>
          </cell>
        </row>
        <row r="89">
          <cell r="A89" t="str">
            <v>Habichuela</v>
          </cell>
          <cell r="B89" t="str">
            <v>Kilogramo</v>
          </cell>
          <cell r="AM89">
            <v>0</v>
          </cell>
          <cell r="AN89">
            <v>2289.3333333333335</v>
          </cell>
          <cell r="AO89">
            <v>1750</v>
          </cell>
          <cell r="AP89">
            <v>3600</v>
          </cell>
          <cell r="AQ89">
            <v>1860</v>
          </cell>
          <cell r="AR89">
            <v>2374.8333333333335</v>
          </cell>
          <cell r="AS89">
            <v>2.3748333333333336</v>
          </cell>
        </row>
        <row r="90">
          <cell r="A90" t="str">
            <v>Harina de trigo</v>
          </cell>
          <cell r="B90" t="str">
            <v>Gramos</v>
          </cell>
          <cell r="AM90">
            <v>0</v>
          </cell>
          <cell r="AN90">
            <v>1174</v>
          </cell>
          <cell r="AO90">
            <v>1345</v>
          </cell>
          <cell r="AP90">
            <v>1000</v>
          </cell>
          <cell r="AQ90">
            <v>1170</v>
          </cell>
          <cell r="AR90">
            <v>1172.25</v>
          </cell>
          <cell r="AS90">
            <v>2.3445</v>
          </cell>
        </row>
        <row r="91">
          <cell r="A91" t="str">
            <v xml:space="preserve">Helado </v>
          </cell>
          <cell r="B91" t="str">
            <v>Gramos</v>
          </cell>
          <cell r="AM91">
            <v>0</v>
          </cell>
          <cell r="AN91">
            <v>1160</v>
          </cell>
          <cell r="AO91">
            <v>0</v>
          </cell>
          <cell r="AP91">
            <v>0</v>
          </cell>
          <cell r="AQ91">
            <v>0</v>
          </cell>
          <cell r="AR91">
            <v>1160</v>
          </cell>
          <cell r="AS91">
            <v>21.09090909090909</v>
          </cell>
        </row>
        <row r="92">
          <cell r="A92" t="str">
            <v>Hojuelas azucaradas</v>
          </cell>
          <cell r="B92" t="str">
            <v>Gramos</v>
          </cell>
          <cell r="AM92">
            <v>0</v>
          </cell>
          <cell r="AN92">
            <v>8310</v>
          </cell>
          <cell r="AO92">
            <v>0</v>
          </cell>
          <cell r="AP92">
            <v>9540</v>
          </cell>
          <cell r="AQ92">
            <v>4767</v>
          </cell>
          <cell r="AR92">
            <v>7539</v>
          </cell>
          <cell r="AS92">
            <v>17.95</v>
          </cell>
        </row>
        <row r="93">
          <cell r="A93" t="str">
            <v>Hojuelas de maiz</v>
          </cell>
          <cell r="B93" t="str">
            <v>Gramos</v>
          </cell>
          <cell r="AM93">
            <v>0</v>
          </cell>
          <cell r="AN93">
            <v>3180</v>
          </cell>
          <cell r="AO93">
            <v>0</v>
          </cell>
          <cell r="AP93">
            <v>0</v>
          </cell>
          <cell r="AQ93">
            <v>1984</v>
          </cell>
          <cell r="AR93">
            <v>2582</v>
          </cell>
          <cell r="AS93">
            <v>12.91</v>
          </cell>
        </row>
        <row r="94">
          <cell r="A94" t="str">
            <v>Huevo A</v>
          </cell>
          <cell r="B94" t="str">
            <v>Unidades</v>
          </cell>
          <cell r="AM94">
            <v>0</v>
          </cell>
          <cell r="AN94">
            <v>9820</v>
          </cell>
          <cell r="AO94">
            <v>7950</v>
          </cell>
          <cell r="AP94">
            <v>5600</v>
          </cell>
          <cell r="AQ94">
            <v>7755</v>
          </cell>
          <cell r="AR94">
            <v>7781.25</v>
          </cell>
          <cell r="AS94">
            <v>259.375</v>
          </cell>
        </row>
        <row r="95">
          <cell r="A95" t="str">
            <v>huevo AA</v>
          </cell>
          <cell r="B95" t="str">
            <v>Unidades</v>
          </cell>
          <cell r="AM95">
            <v>0</v>
          </cell>
          <cell r="AN95">
            <v>10643.333333333334</v>
          </cell>
          <cell r="AO95">
            <v>8370</v>
          </cell>
          <cell r="AP95">
            <v>12330</v>
          </cell>
          <cell r="AQ95">
            <v>10475</v>
          </cell>
          <cell r="AR95">
            <v>10454.583333333334</v>
          </cell>
          <cell r="AS95">
            <v>348.48611111111114</v>
          </cell>
        </row>
        <row r="96">
          <cell r="A96" t="str">
            <v>Jamón</v>
          </cell>
          <cell r="B96" t="str">
            <v>Gramos</v>
          </cell>
          <cell r="AM96">
            <v>0</v>
          </cell>
          <cell r="AN96">
            <v>8375</v>
          </cell>
          <cell r="AO96">
            <v>8218.6666666666661</v>
          </cell>
          <cell r="AP96">
            <v>6402.7777777777783</v>
          </cell>
          <cell r="AQ96">
            <v>6049.666666666667</v>
          </cell>
          <cell r="AR96">
            <v>7261.5277777777774</v>
          </cell>
          <cell r="AS96">
            <v>18.153819444444444</v>
          </cell>
        </row>
        <row r="97">
          <cell r="A97" t="str">
            <v xml:space="preserve">Kumis </v>
          </cell>
          <cell r="B97" t="str">
            <v>Cm3</v>
          </cell>
          <cell r="AM97">
            <v>0</v>
          </cell>
          <cell r="AN97">
            <v>3050</v>
          </cell>
          <cell r="AO97">
            <v>4466.5</v>
          </cell>
          <cell r="AP97">
            <v>1650</v>
          </cell>
          <cell r="AQ97">
            <v>3910</v>
          </cell>
          <cell r="AR97">
            <v>3269.125</v>
          </cell>
          <cell r="AS97">
            <v>16.345624999999998</v>
          </cell>
        </row>
        <row r="98">
          <cell r="A98" t="str">
            <v>leche chocolatada</v>
          </cell>
          <cell r="B98" t="str">
            <v>Cm3</v>
          </cell>
          <cell r="AM98">
            <v>0</v>
          </cell>
          <cell r="AN98">
            <v>1550</v>
          </cell>
          <cell r="AO98">
            <v>1575</v>
          </cell>
          <cell r="AP98">
            <v>1560</v>
          </cell>
          <cell r="AQ98">
            <v>1050</v>
          </cell>
          <cell r="AR98">
            <v>1433.75</v>
          </cell>
          <cell r="AS98">
            <v>7.1687500000000002</v>
          </cell>
        </row>
        <row r="99">
          <cell r="A99" t="str">
            <v>Leche condensada</v>
          </cell>
          <cell r="B99" t="str">
            <v>Gramos</v>
          </cell>
          <cell r="AM99">
            <v>0</v>
          </cell>
          <cell r="AN99">
            <v>5427.666666666667</v>
          </cell>
          <cell r="AO99">
            <v>4778</v>
          </cell>
          <cell r="AP99">
            <v>3990.9090909090905</v>
          </cell>
          <cell r="AQ99">
            <v>4343.333333333333</v>
          </cell>
          <cell r="AR99">
            <v>4634.977272727273</v>
          </cell>
          <cell r="AS99">
            <v>11.587443181818182</v>
          </cell>
        </row>
        <row r="100">
          <cell r="A100" t="str">
            <v>Leche en polvo</v>
          </cell>
          <cell r="B100" t="str">
            <v>Gramos</v>
          </cell>
          <cell r="AM100">
            <v>0</v>
          </cell>
          <cell r="AN100">
            <v>16966</v>
          </cell>
          <cell r="AO100">
            <v>17171</v>
          </cell>
          <cell r="AP100">
            <v>15436.111111111111</v>
          </cell>
          <cell r="AQ100">
            <v>13848.5</v>
          </cell>
          <cell r="AR100">
            <v>15855.402777777777</v>
          </cell>
          <cell r="AS100">
            <v>15.855402777777778</v>
          </cell>
        </row>
        <row r="101">
          <cell r="A101" t="str">
            <v>Leche líquida</v>
          </cell>
          <cell r="B101" t="str">
            <v>Cm3</v>
          </cell>
          <cell r="AM101">
            <v>0</v>
          </cell>
          <cell r="AN101">
            <v>2138.6666666666665</v>
          </cell>
          <cell r="AO101">
            <v>2473.3333333333335</v>
          </cell>
          <cell r="AP101">
            <v>1700</v>
          </cell>
          <cell r="AQ101">
            <v>1988.6666666666667</v>
          </cell>
          <cell r="AR101">
            <v>2075.1666666666665</v>
          </cell>
          <cell r="AS101">
            <v>2.0751666666666666</v>
          </cell>
        </row>
        <row r="102">
          <cell r="A102" t="str">
            <v>Leche saborizada</v>
          </cell>
          <cell r="B102" t="str">
            <v>Cm3</v>
          </cell>
          <cell r="AM102">
            <v>0</v>
          </cell>
          <cell r="AN102">
            <v>1051.5</v>
          </cell>
          <cell r="AO102">
            <v>1444.5</v>
          </cell>
          <cell r="AP102">
            <v>1230</v>
          </cell>
          <cell r="AQ102">
            <v>1226</v>
          </cell>
          <cell r="AR102">
            <v>1238</v>
          </cell>
          <cell r="AS102">
            <v>6.19</v>
          </cell>
        </row>
        <row r="103">
          <cell r="A103" t="str">
            <v>Lechuga</v>
          </cell>
          <cell r="B103" t="str">
            <v>Kilogramo</v>
          </cell>
          <cell r="AM103">
            <v>0</v>
          </cell>
          <cell r="AN103">
            <v>3200</v>
          </cell>
          <cell r="AO103">
            <v>2400</v>
          </cell>
          <cell r="AP103">
            <v>1660</v>
          </cell>
          <cell r="AQ103">
            <v>1690</v>
          </cell>
          <cell r="AR103">
            <v>2237.5</v>
          </cell>
          <cell r="AS103">
            <v>2.2374999999999998</v>
          </cell>
        </row>
        <row r="104">
          <cell r="A104" t="str">
            <v>Lengua dulce</v>
          </cell>
          <cell r="B104" t="str">
            <v>Unidades</v>
          </cell>
          <cell r="AM104">
            <v>0</v>
          </cell>
          <cell r="AN104">
            <v>324</v>
          </cell>
          <cell r="AO104">
            <v>558</v>
          </cell>
          <cell r="AP104">
            <v>0</v>
          </cell>
          <cell r="AQ104">
            <v>0</v>
          </cell>
          <cell r="AR104">
            <v>441</v>
          </cell>
          <cell r="AS104">
            <v>441</v>
          </cell>
        </row>
        <row r="105">
          <cell r="A105" t="str">
            <v>Lentejas</v>
          </cell>
          <cell r="B105" t="str">
            <v>Gramos</v>
          </cell>
          <cell r="AM105">
            <v>0</v>
          </cell>
          <cell r="AN105">
            <v>1315</v>
          </cell>
          <cell r="AO105">
            <v>2100</v>
          </cell>
          <cell r="AP105">
            <v>1753.3333333333333</v>
          </cell>
          <cell r="AQ105">
            <v>1470</v>
          </cell>
          <cell r="AR105">
            <v>1659.5833333333333</v>
          </cell>
          <cell r="AS105">
            <v>3.3191666666666664</v>
          </cell>
        </row>
        <row r="106">
          <cell r="A106" t="str">
            <v xml:space="preserve">Limón </v>
          </cell>
          <cell r="B106" t="str">
            <v>Kilogramo</v>
          </cell>
          <cell r="AM106">
            <v>0</v>
          </cell>
          <cell r="AN106">
            <v>2700</v>
          </cell>
          <cell r="AO106">
            <v>1670</v>
          </cell>
          <cell r="AP106">
            <v>1800</v>
          </cell>
          <cell r="AQ106">
            <v>2286.6666666666665</v>
          </cell>
          <cell r="AR106">
            <v>2114.1666666666665</v>
          </cell>
          <cell r="AS106">
            <v>2.1141666666666663</v>
          </cell>
        </row>
        <row r="107">
          <cell r="A107" t="str">
            <v>Lulo</v>
          </cell>
          <cell r="B107" t="str">
            <v>Kilogramo</v>
          </cell>
          <cell r="AM107">
            <v>0</v>
          </cell>
          <cell r="AN107">
            <v>3460</v>
          </cell>
          <cell r="AO107">
            <v>2675</v>
          </cell>
          <cell r="AP107">
            <v>2680</v>
          </cell>
          <cell r="AQ107">
            <v>2980</v>
          </cell>
          <cell r="AR107">
            <v>2948.75</v>
          </cell>
          <cell r="AS107">
            <v>2.94875</v>
          </cell>
        </row>
        <row r="108">
          <cell r="A108" t="str">
            <v>Maíz pira</v>
          </cell>
          <cell r="B108" t="str">
            <v>Kilogramo</v>
          </cell>
          <cell r="AM108">
            <v>0</v>
          </cell>
          <cell r="AN108">
            <v>2603.3333333333335</v>
          </cell>
          <cell r="AO108">
            <v>3160</v>
          </cell>
          <cell r="AP108">
            <v>2900</v>
          </cell>
          <cell r="AQ108">
            <v>1880</v>
          </cell>
          <cell r="AR108">
            <v>2635.8333333333335</v>
          </cell>
          <cell r="AS108">
            <v>2.6358333333333337</v>
          </cell>
        </row>
        <row r="109">
          <cell r="A109" t="str">
            <v>Maíz tierno</v>
          </cell>
          <cell r="B109" t="str">
            <v>Gramos</v>
          </cell>
          <cell r="AM109">
            <v>0</v>
          </cell>
          <cell r="AN109">
            <v>5971.333333333333</v>
          </cell>
          <cell r="AO109">
            <v>6642</v>
          </cell>
          <cell r="AP109">
            <v>5605.4901960784309</v>
          </cell>
          <cell r="AQ109">
            <v>5348.666666666667</v>
          </cell>
          <cell r="AR109">
            <v>5891.8725490196075</v>
          </cell>
          <cell r="AS109">
            <v>9.8197875816993463</v>
          </cell>
        </row>
        <row r="110">
          <cell r="A110" t="str">
            <v>Maíz trillado</v>
          </cell>
          <cell r="B110" t="str">
            <v>Kilogramo</v>
          </cell>
          <cell r="AM110">
            <v>0</v>
          </cell>
          <cell r="AN110">
            <v>1996</v>
          </cell>
          <cell r="AO110">
            <v>2000</v>
          </cell>
          <cell r="AP110">
            <v>0</v>
          </cell>
          <cell r="AQ110">
            <v>9870</v>
          </cell>
          <cell r="AR110">
            <v>4622</v>
          </cell>
          <cell r="AS110">
            <v>4.6219999999999999</v>
          </cell>
        </row>
        <row r="111">
          <cell r="A111" t="str">
            <v>Malteada en polvo</v>
          </cell>
          <cell r="B111" t="str">
            <v>Gramos</v>
          </cell>
          <cell r="AM111">
            <v>0</v>
          </cell>
          <cell r="AN111">
            <v>3000</v>
          </cell>
          <cell r="AO111">
            <v>0</v>
          </cell>
          <cell r="AP111">
            <v>2213.5</v>
          </cell>
          <cell r="AQ111">
            <v>0</v>
          </cell>
          <cell r="AR111">
            <v>2606.75</v>
          </cell>
          <cell r="AS111">
            <v>6.8598684210526315</v>
          </cell>
        </row>
        <row r="112">
          <cell r="A112" t="str">
            <v>Mandarina</v>
          </cell>
          <cell r="B112" t="str">
            <v>Kilogramo</v>
          </cell>
          <cell r="AM112">
            <v>0</v>
          </cell>
          <cell r="AN112">
            <v>4800</v>
          </cell>
          <cell r="AO112">
            <v>4670</v>
          </cell>
          <cell r="AP112">
            <v>3780</v>
          </cell>
          <cell r="AQ112">
            <v>1980</v>
          </cell>
          <cell r="AR112">
            <v>3807.5</v>
          </cell>
          <cell r="AS112">
            <v>3.8075000000000001</v>
          </cell>
        </row>
        <row r="113">
          <cell r="A113" t="str">
            <v>Mango</v>
          </cell>
          <cell r="B113" t="str">
            <v>Kilogramo</v>
          </cell>
          <cell r="AM113">
            <v>0</v>
          </cell>
          <cell r="AN113">
            <v>4200</v>
          </cell>
          <cell r="AO113">
            <v>3140</v>
          </cell>
          <cell r="AP113">
            <v>2700</v>
          </cell>
          <cell r="AQ113">
            <v>2833.3333333333335</v>
          </cell>
          <cell r="AR113">
            <v>3218.3333333333335</v>
          </cell>
          <cell r="AS113">
            <v>3.2183333333333333</v>
          </cell>
        </row>
        <row r="114">
          <cell r="A114" t="str">
            <v>Mantequilla</v>
          </cell>
          <cell r="B114" t="str">
            <v>Gramos</v>
          </cell>
          <cell r="AM114">
            <v>0</v>
          </cell>
          <cell r="AN114">
            <v>5973.333333333333</v>
          </cell>
          <cell r="AO114">
            <v>5450</v>
          </cell>
          <cell r="AP114">
            <v>5606.666666666667</v>
          </cell>
          <cell r="AQ114">
            <v>4293.333333333333</v>
          </cell>
          <cell r="AR114">
            <v>5330.833333333333</v>
          </cell>
          <cell r="AS114">
            <v>10.661666666666665</v>
          </cell>
        </row>
        <row r="115">
          <cell r="A115" t="str">
            <v>Manzana</v>
          </cell>
          <cell r="B115" t="str">
            <v>Kilogramo</v>
          </cell>
          <cell r="AM115">
            <v>0</v>
          </cell>
          <cell r="AN115">
            <v>6340</v>
          </cell>
          <cell r="AO115">
            <v>0</v>
          </cell>
          <cell r="AP115">
            <v>5000</v>
          </cell>
          <cell r="AQ115">
            <v>3833.3333333333335</v>
          </cell>
          <cell r="AR115">
            <v>5057.7777777777783</v>
          </cell>
          <cell r="AS115">
            <v>5.0577777777777779</v>
          </cell>
        </row>
        <row r="116">
          <cell r="A116" t="str">
            <v>Maracuyá</v>
          </cell>
          <cell r="B116" t="str">
            <v>Kilogramo</v>
          </cell>
          <cell r="AM116">
            <v>0</v>
          </cell>
          <cell r="AN116">
            <v>2650</v>
          </cell>
          <cell r="AO116">
            <v>2350</v>
          </cell>
          <cell r="AP116">
            <v>5100</v>
          </cell>
          <cell r="AQ116">
            <v>3740</v>
          </cell>
          <cell r="AR116">
            <v>3460</v>
          </cell>
          <cell r="AS116">
            <v>3.46</v>
          </cell>
        </row>
        <row r="117">
          <cell r="A117" t="str">
            <v>Margarina</v>
          </cell>
          <cell r="B117" t="str">
            <v>Gramos</v>
          </cell>
          <cell r="AM117">
            <v>0</v>
          </cell>
          <cell r="AN117">
            <v>2593.3333333333335</v>
          </cell>
          <cell r="AO117">
            <v>3303.3333333333335</v>
          </cell>
          <cell r="AP117">
            <v>2550</v>
          </cell>
          <cell r="AQ117">
            <v>2926.6666666666665</v>
          </cell>
          <cell r="AR117">
            <v>2843.3333333333335</v>
          </cell>
          <cell r="AS117">
            <v>11.373333333333333</v>
          </cell>
        </row>
        <row r="118">
          <cell r="A118" t="str">
            <v>Masmelo</v>
          </cell>
          <cell r="B118" t="str">
            <v>Gramos</v>
          </cell>
          <cell r="AM118">
            <v>0</v>
          </cell>
          <cell r="AN118">
            <v>2895</v>
          </cell>
          <cell r="AO118">
            <v>4080</v>
          </cell>
          <cell r="AP118">
            <v>2271.6666666666665</v>
          </cell>
          <cell r="AQ118">
            <v>2903.25</v>
          </cell>
          <cell r="AR118">
            <v>3037.4791666666665</v>
          </cell>
          <cell r="AS118">
            <v>20.948132183908044</v>
          </cell>
        </row>
        <row r="119">
          <cell r="A119" t="str">
            <v>Mayonesa</v>
          </cell>
          <cell r="B119" t="str">
            <v>Gramos</v>
          </cell>
          <cell r="AM119">
            <v>0</v>
          </cell>
          <cell r="AN119">
            <v>3220</v>
          </cell>
          <cell r="AO119">
            <v>5400</v>
          </cell>
          <cell r="AP119">
            <v>3126.6666666666665</v>
          </cell>
          <cell r="AQ119">
            <v>4893.333333333333</v>
          </cell>
          <cell r="AR119">
            <v>4160</v>
          </cell>
          <cell r="AS119">
            <v>10.4</v>
          </cell>
        </row>
        <row r="120">
          <cell r="A120" t="str">
            <v>Mazamorra</v>
          </cell>
          <cell r="B120" t="str">
            <v>Gramos</v>
          </cell>
          <cell r="AM120">
            <v>0</v>
          </cell>
          <cell r="AN120">
            <v>1100</v>
          </cell>
          <cell r="AO120">
            <v>1100</v>
          </cell>
          <cell r="AP120">
            <v>1110</v>
          </cell>
          <cell r="AQ120">
            <v>1300.6666666666667</v>
          </cell>
          <cell r="AR120">
            <v>1152.6666666666667</v>
          </cell>
          <cell r="AS120">
            <v>2.3053333333333335</v>
          </cell>
        </row>
        <row r="121">
          <cell r="A121" t="str">
            <v>Melón</v>
          </cell>
          <cell r="B121" t="str">
            <v>Kilogramo</v>
          </cell>
          <cell r="AM121">
            <v>0</v>
          </cell>
          <cell r="AN121">
            <v>1920</v>
          </cell>
          <cell r="AO121">
            <v>3500</v>
          </cell>
          <cell r="AP121">
            <v>2500</v>
          </cell>
          <cell r="AQ121">
            <v>3040</v>
          </cell>
          <cell r="AR121">
            <v>2740</v>
          </cell>
          <cell r="AS121">
            <v>2.74</v>
          </cell>
        </row>
        <row r="122">
          <cell r="A122" t="str">
            <v>Merluza</v>
          </cell>
          <cell r="B122" t="str">
            <v>Kilogramo</v>
          </cell>
          <cell r="AM122">
            <v>0</v>
          </cell>
          <cell r="AN122">
            <v>17690</v>
          </cell>
          <cell r="AO122">
            <v>18888</v>
          </cell>
          <cell r="AP122">
            <v>13300</v>
          </cell>
          <cell r="AQ122">
            <v>14060</v>
          </cell>
          <cell r="AR122">
            <v>15984.5</v>
          </cell>
          <cell r="AS122">
            <v>15.984500000000001</v>
          </cell>
        </row>
        <row r="123">
          <cell r="A123" t="str">
            <v xml:space="preserve">Mermelada </v>
          </cell>
          <cell r="B123" t="str">
            <v>Gramos</v>
          </cell>
          <cell r="AM123">
            <v>0</v>
          </cell>
          <cell r="AN123">
            <v>3718.6666666666665</v>
          </cell>
          <cell r="AO123">
            <v>3044.6666666666665</v>
          </cell>
          <cell r="AP123">
            <v>3708.4791666666665</v>
          </cell>
          <cell r="AQ123">
            <v>3924.3333333333335</v>
          </cell>
          <cell r="AR123">
            <v>3599.0364583333335</v>
          </cell>
          <cell r="AS123">
            <v>11.60979502688172</v>
          </cell>
        </row>
        <row r="124">
          <cell r="A124" t="str">
            <v>Mezcla para buñuelo</v>
          </cell>
          <cell r="B124" t="str">
            <v>Gramos</v>
          </cell>
          <cell r="AM124">
            <v>0</v>
          </cell>
          <cell r="AN124">
            <v>9173.3333333333339</v>
          </cell>
          <cell r="AO124">
            <v>10490</v>
          </cell>
          <cell r="AP124">
            <v>10168</v>
          </cell>
          <cell r="AQ124">
            <v>10148.57142857144</v>
          </cell>
          <cell r="AR124">
            <v>9994.9761904761945</v>
          </cell>
          <cell r="AS124">
            <v>12.493720238095243</v>
          </cell>
        </row>
        <row r="125">
          <cell r="A125" t="str">
            <v xml:space="preserve">Miga de pan </v>
          </cell>
          <cell r="B125" t="str">
            <v>Gramos</v>
          </cell>
          <cell r="AM125">
            <v>0</v>
          </cell>
          <cell r="AN125">
            <v>3140</v>
          </cell>
          <cell r="AO125">
            <v>3440</v>
          </cell>
          <cell r="AP125">
            <v>3020</v>
          </cell>
          <cell r="AQ125">
            <v>1420</v>
          </cell>
          <cell r="AR125">
            <v>2755</v>
          </cell>
          <cell r="AS125">
            <v>5.51</v>
          </cell>
        </row>
        <row r="126">
          <cell r="A126" t="str">
            <v>Mora</v>
          </cell>
          <cell r="B126" t="str">
            <v>Gramos</v>
          </cell>
          <cell r="AM126">
            <v>0</v>
          </cell>
          <cell r="AN126">
            <v>6728</v>
          </cell>
          <cell r="AO126">
            <v>2335</v>
          </cell>
          <cell r="AP126">
            <v>3850</v>
          </cell>
          <cell r="AQ126">
            <v>2500</v>
          </cell>
          <cell r="AR126">
            <v>3853.25</v>
          </cell>
          <cell r="AS126">
            <v>3.8532500000000001</v>
          </cell>
        </row>
        <row r="127">
          <cell r="A127" t="str">
            <v>Mortadela</v>
          </cell>
          <cell r="B127" t="str">
            <v>Gramos</v>
          </cell>
          <cell r="AM127">
            <v>0</v>
          </cell>
          <cell r="AN127">
            <v>5550.333333333333</v>
          </cell>
          <cell r="AO127">
            <v>4410</v>
          </cell>
          <cell r="AP127">
            <v>5285</v>
          </cell>
          <cell r="AQ127">
            <v>4743.333333333333</v>
          </cell>
          <cell r="AR127">
            <v>4997.1666666666661</v>
          </cell>
          <cell r="AS127">
            <v>11.104814814814814</v>
          </cell>
        </row>
        <row r="128">
          <cell r="A128" t="str">
            <v>Muchacho</v>
          </cell>
          <cell r="B128" t="str">
            <v>Kilogramo</v>
          </cell>
          <cell r="AM128">
            <v>0</v>
          </cell>
          <cell r="AN128">
            <v>13640</v>
          </cell>
          <cell r="AO128">
            <v>14420</v>
          </cell>
          <cell r="AP128">
            <v>0</v>
          </cell>
          <cell r="AQ128">
            <v>0</v>
          </cell>
          <cell r="AR128">
            <v>14030</v>
          </cell>
          <cell r="AS128">
            <v>14.03</v>
          </cell>
        </row>
        <row r="129">
          <cell r="A129" t="str">
            <v>Murrapo</v>
          </cell>
          <cell r="B129" t="str">
            <v>Kilogramo</v>
          </cell>
          <cell r="AM129">
            <v>0</v>
          </cell>
          <cell r="AN129">
            <v>1130</v>
          </cell>
          <cell r="AO129">
            <v>1350</v>
          </cell>
          <cell r="AP129">
            <v>0</v>
          </cell>
          <cell r="AQ129">
            <v>1050</v>
          </cell>
          <cell r="AR129">
            <v>1176.6666666666667</v>
          </cell>
          <cell r="AS129">
            <v>1.1766666666666667</v>
          </cell>
        </row>
        <row r="130">
          <cell r="A130" t="str">
            <v>Muslos de pollo</v>
          </cell>
          <cell r="B130" t="str">
            <v>Kilogramo</v>
          </cell>
          <cell r="AM130">
            <v>0</v>
          </cell>
          <cell r="AN130">
            <v>10280</v>
          </cell>
          <cell r="AO130">
            <v>8300</v>
          </cell>
          <cell r="AP130">
            <v>9320</v>
          </cell>
          <cell r="AQ130">
            <v>9744.5</v>
          </cell>
          <cell r="AR130">
            <v>9411.125</v>
          </cell>
          <cell r="AS130">
            <v>9.4111250000000002</v>
          </cell>
        </row>
        <row r="131">
          <cell r="A131" t="str">
            <v>Naranja</v>
          </cell>
          <cell r="B131" t="str">
            <v>Kilogramo</v>
          </cell>
          <cell r="AM131">
            <v>0</v>
          </cell>
          <cell r="AN131">
            <v>2720</v>
          </cell>
          <cell r="AO131">
            <v>4000</v>
          </cell>
          <cell r="AP131">
            <v>2180</v>
          </cell>
          <cell r="AQ131">
            <v>2140</v>
          </cell>
          <cell r="AR131">
            <v>2760</v>
          </cell>
          <cell r="AS131">
            <v>2.76</v>
          </cell>
        </row>
        <row r="132">
          <cell r="A132" t="str">
            <v>Nucita</v>
          </cell>
          <cell r="B132" t="str">
            <v>Gramos</v>
          </cell>
          <cell r="AM132">
            <v>0</v>
          </cell>
          <cell r="AN132">
            <v>2130</v>
          </cell>
          <cell r="AO132">
            <v>2060</v>
          </cell>
          <cell r="AP132">
            <v>2534</v>
          </cell>
          <cell r="AQ132">
            <v>1790</v>
          </cell>
          <cell r="AR132">
            <v>2128.5</v>
          </cell>
          <cell r="AS132">
            <v>25.339285714285715</v>
          </cell>
        </row>
        <row r="133">
          <cell r="A133" t="str">
            <v>Palito de queso</v>
          </cell>
          <cell r="B133" t="str">
            <v>Unidades</v>
          </cell>
          <cell r="AM133">
            <v>0</v>
          </cell>
          <cell r="AN133">
            <v>1850</v>
          </cell>
          <cell r="AO133">
            <v>0</v>
          </cell>
          <cell r="AP133">
            <v>0</v>
          </cell>
          <cell r="AQ133">
            <v>0</v>
          </cell>
          <cell r="AR133">
            <v>1850</v>
          </cell>
          <cell r="AS133">
            <v>1850</v>
          </cell>
        </row>
        <row r="134">
          <cell r="A134" t="str">
            <v>Palitroque</v>
          </cell>
          <cell r="B134" t="str">
            <v>Gramos</v>
          </cell>
          <cell r="AM134">
            <v>0</v>
          </cell>
          <cell r="AN134">
            <v>1350</v>
          </cell>
          <cell r="AO134">
            <v>2900</v>
          </cell>
          <cell r="AP134">
            <v>1529.75</v>
          </cell>
          <cell r="AQ134">
            <v>906.66666666666663</v>
          </cell>
          <cell r="AR134">
            <v>1671.6041666666667</v>
          </cell>
          <cell r="AS134">
            <v>18.573379629629631</v>
          </cell>
        </row>
        <row r="135">
          <cell r="A135" t="str">
            <v>Pan bola</v>
          </cell>
          <cell r="B135" t="str">
            <v>Gramos</v>
          </cell>
          <cell r="AM135">
            <v>0</v>
          </cell>
          <cell r="AN135">
            <v>2000</v>
          </cell>
          <cell r="AO135">
            <v>2820</v>
          </cell>
          <cell r="AP135">
            <v>5110</v>
          </cell>
          <cell r="AQ135">
            <v>1236</v>
          </cell>
          <cell r="AR135">
            <v>2791.5</v>
          </cell>
          <cell r="AS135">
            <v>13.292857142857143</v>
          </cell>
        </row>
        <row r="136">
          <cell r="A136" t="str">
            <v>Pan leche</v>
          </cell>
          <cell r="B136" t="str">
            <v>Gramos</v>
          </cell>
          <cell r="AM136">
            <v>0</v>
          </cell>
          <cell r="AN136">
            <v>750</v>
          </cell>
          <cell r="AO136">
            <v>1799.5</v>
          </cell>
          <cell r="AP136">
            <v>2393.3333333333335</v>
          </cell>
          <cell r="AQ136">
            <v>0</v>
          </cell>
          <cell r="AR136">
            <v>1647.6111111111113</v>
          </cell>
          <cell r="AS136">
            <v>9.1533950617283963</v>
          </cell>
        </row>
        <row r="137">
          <cell r="A137" t="str">
            <v>Pan perro</v>
          </cell>
          <cell r="B137" t="str">
            <v>Gramos</v>
          </cell>
          <cell r="AM137">
            <v>0</v>
          </cell>
          <cell r="AN137">
            <v>351.66666666666669</v>
          </cell>
          <cell r="AO137">
            <v>1537</v>
          </cell>
          <cell r="AP137">
            <v>2087.4444444444448</v>
          </cell>
          <cell r="AQ137">
            <v>2633</v>
          </cell>
          <cell r="AR137">
            <v>1652.2777777777778</v>
          </cell>
          <cell r="AS137">
            <v>4.859640522875817</v>
          </cell>
        </row>
        <row r="138">
          <cell r="A138" t="str">
            <v>Pan Queso</v>
          </cell>
          <cell r="B138" t="str">
            <v>Unidades</v>
          </cell>
          <cell r="AM138">
            <v>0</v>
          </cell>
          <cell r="AN138">
            <v>683</v>
          </cell>
          <cell r="AO138">
            <v>0</v>
          </cell>
          <cell r="AP138">
            <v>0</v>
          </cell>
          <cell r="AQ138">
            <v>0</v>
          </cell>
          <cell r="AR138">
            <v>683</v>
          </cell>
          <cell r="AS138">
            <v>683</v>
          </cell>
        </row>
        <row r="139">
          <cell r="A139" t="str">
            <v>Pan tajado</v>
          </cell>
          <cell r="B139" t="str">
            <v>Gramos</v>
          </cell>
          <cell r="AM139">
            <v>0</v>
          </cell>
          <cell r="AN139">
            <v>3627</v>
          </cell>
          <cell r="AO139">
            <v>4067</v>
          </cell>
          <cell r="AP139">
            <v>3108.0059523809523</v>
          </cell>
          <cell r="AQ139">
            <v>3155</v>
          </cell>
          <cell r="AR139">
            <v>3489.2514880952381</v>
          </cell>
          <cell r="AS139">
            <v>5.3680792124542123</v>
          </cell>
        </row>
        <row r="140">
          <cell r="A140" t="str">
            <v>Pandebono</v>
          </cell>
          <cell r="B140" t="str">
            <v>Unidades</v>
          </cell>
          <cell r="AM140">
            <v>0</v>
          </cell>
          <cell r="AN140">
            <v>0</v>
          </cell>
          <cell r="AO140">
            <v>1148</v>
          </cell>
          <cell r="AP140">
            <v>0</v>
          </cell>
          <cell r="AQ140">
            <v>0</v>
          </cell>
          <cell r="AR140">
            <v>1148</v>
          </cell>
          <cell r="AS140">
            <v>1148</v>
          </cell>
        </row>
        <row r="141">
          <cell r="A141" t="str">
            <v>Pandequeso</v>
          </cell>
          <cell r="B141" t="str">
            <v>Gramos</v>
          </cell>
          <cell r="AM141">
            <v>0</v>
          </cell>
          <cell r="AN141">
            <v>370</v>
          </cell>
          <cell r="AO141">
            <v>4168.3666666666668</v>
          </cell>
          <cell r="AP141">
            <v>3886.3636363636365</v>
          </cell>
          <cell r="AQ141">
            <v>0</v>
          </cell>
          <cell r="AR141">
            <v>2808.2434343434343</v>
          </cell>
          <cell r="AS141">
            <v>20.801803217358774</v>
          </cell>
        </row>
        <row r="142">
          <cell r="A142" t="str">
            <v>Pandeyuca</v>
          </cell>
          <cell r="B142" t="str">
            <v>Gramos</v>
          </cell>
          <cell r="AM142">
            <v>0</v>
          </cell>
          <cell r="AN142">
            <v>1131</v>
          </cell>
          <cell r="AO142">
            <v>1128.6458333333335</v>
          </cell>
          <cell r="AP142">
            <v>0</v>
          </cell>
          <cell r="AQ142">
            <v>337.5</v>
          </cell>
          <cell r="AR142">
            <v>865.71527777777783</v>
          </cell>
          <cell r="AS142">
            <v>865.71527777777783</v>
          </cell>
        </row>
        <row r="143">
          <cell r="A143" t="str">
            <v>Panela</v>
          </cell>
          <cell r="B143" t="str">
            <v>Kilogramo</v>
          </cell>
          <cell r="AM143">
            <v>0</v>
          </cell>
          <cell r="AN143">
            <v>3100</v>
          </cell>
          <cell r="AO143">
            <v>2395</v>
          </cell>
          <cell r="AP143">
            <v>2870</v>
          </cell>
          <cell r="AQ143">
            <v>2430</v>
          </cell>
          <cell r="AR143">
            <v>2698.75</v>
          </cell>
          <cell r="AS143">
            <v>2.69875</v>
          </cell>
        </row>
        <row r="144">
          <cell r="A144" t="str">
            <v xml:space="preserve">Panelita </v>
          </cell>
          <cell r="B144" t="str">
            <v>Gramos</v>
          </cell>
          <cell r="AM144">
            <v>0</v>
          </cell>
          <cell r="AN144">
            <v>7061.75</v>
          </cell>
          <cell r="AO144">
            <v>9700</v>
          </cell>
          <cell r="AP144">
            <v>10260.869565217392</v>
          </cell>
          <cell r="AQ144">
            <v>9717.391304347826</v>
          </cell>
          <cell r="AR144">
            <v>9185.002717391304</v>
          </cell>
          <cell r="AS144">
            <v>30.61667572463768</v>
          </cell>
        </row>
        <row r="145">
          <cell r="A145" t="str">
            <v>Panelita de coco</v>
          </cell>
          <cell r="B145" t="str">
            <v>Gramos</v>
          </cell>
          <cell r="AM145">
            <v>0</v>
          </cell>
          <cell r="AN145">
            <v>7525</v>
          </cell>
          <cell r="AO145">
            <v>0</v>
          </cell>
          <cell r="AP145">
            <v>3390</v>
          </cell>
          <cell r="AQ145">
            <v>10021.739130434782</v>
          </cell>
          <cell r="AR145">
            <v>6978.913043478261</v>
          </cell>
          <cell r="AS145">
            <v>23.263043478260869</v>
          </cell>
        </row>
        <row r="146">
          <cell r="A146" t="str">
            <v>Panelita de leche</v>
          </cell>
          <cell r="B146" t="str">
            <v>Gramos</v>
          </cell>
          <cell r="AM146">
            <v>0</v>
          </cell>
          <cell r="AN146">
            <v>5818.5</v>
          </cell>
          <cell r="AO146">
            <v>9700</v>
          </cell>
          <cell r="AP146">
            <v>0</v>
          </cell>
          <cell r="AQ146">
            <v>10021.739130434782</v>
          </cell>
          <cell r="AR146">
            <v>8513.4130434782619</v>
          </cell>
          <cell r="AS146">
            <v>24.324037267080747</v>
          </cell>
        </row>
        <row r="147">
          <cell r="A147" t="str">
            <v>Panelita de arequipe  y coco</v>
          </cell>
          <cell r="B147" t="str">
            <v>Gramos</v>
          </cell>
          <cell r="AM147">
            <v>0</v>
          </cell>
          <cell r="AN147">
            <v>9380</v>
          </cell>
          <cell r="AO147">
            <v>7189</v>
          </cell>
          <cell r="AP147">
            <v>7720</v>
          </cell>
          <cell r="AQ147">
            <v>7550</v>
          </cell>
          <cell r="AR147">
            <v>7959.75</v>
          </cell>
          <cell r="AS147">
            <v>28.839673913043477</v>
          </cell>
        </row>
        <row r="148">
          <cell r="A148" t="str">
            <v>Papa capira</v>
          </cell>
          <cell r="B148" t="str">
            <v>Kilogramo</v>
          </cell>
          <cell r="AM148">
            <v>0</v>
          </cell>
          <cell r="AN148">
            <v>1490</v>
          </cell>
          <cell r="AO148">
            <v>1450</v>
          </cell>
          <cell r="AP148">
            <v>980</v>
          </cell>
          <cell r="AQ148">
            <v>0</v>
          </cell>
          <cell r="AR148">
            <v>1306.6666666666667</v>
          </cell>
          <cell r="AS148">
            <v>1.3066666666666666</v>
          </cell>
        </row>
        <row r="149">
          <cell r="A149" t="str">
            <v>Papa común</v>
          </cell>
          <cell r="B149" t="str">
            <v>Kilogramo</v>
          </cell>
          <cell r="AM149">
            <v>0</v>
          </cell>
          <cell r="AN149">
            <v>0</v>
          </cell>
          <cell r="AO149">
            <v>0</v>
          </cell>
          <cell r="AP149">
            <v>0</v>
          </cell>
          <cell r="AQ149">
            <v>0</v>
          </cell>
          <cell r="AR149">
            <v>0</v>
          </cell>
          <cell r="AS149">
            <v>0</v>
          </cell>
        </row>
        <row r="150">
          <cell r="A150" t="str">
            <v>Papa Criolla</v>
          </cell>
          <cell r="B150" t="str">
            <v>Kilogramo</v>
          </cell>
          <cell r="AM150">
            <v>0</v>
          </cell>
          <cell r="AN150">
            <v>3360</v>
          </cell>
          <cell r="AO150">
            <v>2800</v>
          </cell>
          <cell r="AP150">
            <v>3100</v>
          </cell>
          <cell r="AQ150">
            <v>2940</v>
          </cell>
          <cell r="AR150">
            <v>3050</v>
          </cell>
          <cell r="AS150">
            <v>3.05</v>
          </cell>
        </row>
        <row r="151">
          <cell r="A151" t="str">
            <v>Papa nevada</v>
          </cell>
          <cell r="B151" t="str">
            <v>Kilogramo</v>
          </cell>
          <cell r="AM151">
            <v>0</v>
          </cell>
          <cell r="AN151">
            <v>3005</v>
          </cell>
          <cell r="AO151">
            <v>1800</v>
          </cell>
          <cell r="AP151">
            <v>1180</v>
          </cell>
          <cell r="AQ151">
            <v>1380</v>
          </cell>
          <cell r="AR151">
            <v>1841.25</v>
          </cell>
          <cell r="AS151">
            <v>1.8412500000000001</v>
          </cell>
        </row>
        <row r="152">
          <cell r="A152" t="str">
            <v>Papaya</v>
          </cell>
          <cell r="B152" t="str">
            <v>Kilogramo</v>
          </cell>
          <cell r="AM152">
            <v>0</v>
          </cell>
          <cell r="AN152">
            <v>1650</v>
          </cell>
          <cell r="AO152">
            <v>4250</v>
          </cell>
          <cell r="AP152">
            <v>1670</v>
          </cell>
          <cell r="AQ152">
            <v>2440</v>
          </cell>
          <cell r="AR152">
            <v>2502.5</v>
          </cell>
          <cell r="AS152">
            <v>2.5024999999999999</v>
          </cell>
        </row>
        <row r="153">
          <cell r="A153" t="str">
            <v>Pasas</v>
          </cell>
          <cell r="B153" t="str">
            <v>Gramos</v>
          </cell>
          <cell r="AM153">
            <v>0</v>
          </cell>
          <cell r="AN153">
            <v>2690</v>
          </cell>
          <cell r="AO153">
            <v>2000</v>
          </cell>
          <cell r="AP153">
            <v>1935.5555555555554</v>
          </cell>
          <cell r="AQ153">
            <v>2210</v>
          </cell>
          <cell r="AR153">
            <v>2208.8888888888887</v>
          </cell>
          <cell r="AS153">
            <v>11.044444444444444</v>
          </cell>
        </row>
        <row r="154">
          <cell r="A154" t="str">
            <v>Pasta Cabello de ángel</v>
          </cell>
          <cell r="B154" t="str">
            <v>Gramos</v>
          </cell>
          <cell r="AM154">
            <v>0</v>
          </cell>
          <cell r="AN154">
            <v>1382.5</v>
          </cell>
          <cell r="AO154">
            <v>1650</v>
          </cell>
          <cell r="AP154">
            <v>1945</v>
          </cell>
          <cell r="AQ154">
            <v>1255</v>
          </cell>
          <cell r="AR154">
            <v>1558.125</v>
          </cell>
          <cell r="AS154">
            <v>6.2324999999999999</v>
          </cell>
        </row>
        <row r="155">
          <cell r="A155" t="str">
            <v>Pasta fideo</v>
          </cell>
          <cell r="B155" t="str">
            <v>Gramos</v>
          </cell>
          <cell r="AM155">
            <v>0</v>
          </cell>
          <cell r="AN155">
            <v>1265</v>
          </cell>
          <cell r="AO155">
            <v>1510</v>
          </cell>
          <cell r="AP155">
            <v>1275</v>
          </cell>
          <cell r="AQ155">
            <v>1255</v>
          </cell>
          <cell r="AR155">
            <v>1326.25</v>
          </cell>
          <cell r="AS155">
            <v>5.3049999999999997</v>
          </cell>
        </row>
        <row r="156">
          <cell r="A156" t="str">
            <v>Pastas Conchitas</v>
          </cell>
          <cell r="B156" t="str">
            <v>Gramos</v>
          </cell>
          <cell r="AM156">
            <v>0</v>
          </cell>
          <cell r="AN156">
            <v>1300</v>
          </cell>
          <cell r="AO156">
            <v>1415</v>
          </cell>
          <cell r="AP156">
            <v>1320</v>
          </cell>
          <cell r="AQ156">
            <v>1255</v>
          </cell>
          <cell r="AR156">
            <v>1322.5</v>
          </cell>
          <cell r="AS156">
            <v>5.29</v>
          </cell>
        </row>
        <row r="157">
          <cell r="A157" t="str">
            <v>Pastas letras</v>
          </cell>
          <cell r="B157" t="str">
            <v>Gramos</v>
          </cell>
          <cell r="AM157">
            <v>0</v>
          </cell>
          <cell r="AN157">
            <v>1305</v>
          </cell>
          <cell r="AO157">
            <v>1450</v>
          </cell>
          <cell r="AP157">
            <v>1275</v>
          </cell>
          <cell r="AQ157">
            <v>1255</v>
          </cell>
          <cell r="AR157">
            <v>1321.25</v>
          </cell>
          <cell r="AS157">
            <v>5.2850000000000001</v>
          </cell>
        </row>
        <row r="158">
          <cell r="A158" t="str">
            <v>Pastel de arequipe</v>
          </cell>
          <cell r="B158" t="str">
            <v>Unidades</v>
          </cell>
          <cell r="AM158">
            <v>0</v>
          </cell>
          <cell r="AN158">
            <v>555</v>
          </cell>
          <cell r="AO158">
            <v>670</v>
          </cell>
          <cell r="AP158">
            <v>517.5</v>
          </cell>
          <cell r="AQ158">
            <v>566.66666666666663</v>
          </cell>
          <cell r="AR158">
            <v>577.29166666666663</v>
          </cell>
          <cell r="AS158">
            <v>577.29166666666663</v>
          </cell>
        </row>
        <row r="159">
          <cell r="A159" t="str">
            <v>Pastel de guayaba</v>
          </cell>
          <cell r="B159" t="str">
            <v>Unidades</v>
          </cell>
          <cell r="AM159">
            <v>0</v>
          </cell>
          <cell r="AN159">
            <v>645</v>
          </cell>
          <cell r="AO159">
            <v>503.66666666666669</v>
          </cell>
          <cell r="AP159">
            <v>517.5</v>
          </cell>
          <cell r="AQ159">
            <v>646.25</v>
          </cell>
          <cell r="AR159">
            <v>578.10416666666674</v>
          </cell>
          <cell r="AS159">
            <v>578.10416666666674</v>
          </cell>
        </row>
        <row r="160">
          <cell r="A160" t="str">
            <v>Pastel de Jamón y queso</v>
          </cell>
          <cell r="B160" t="str">
            <v>Unidades</v>
          </cell>
          <cell r="AM160">
            <v>0</v>
          </cell>
          <cell r="AN160">
            <v>2000</v>
          </cell>
          <cell r="AO160">
            <v>0</v>
          </cell>
          <cell r="AP160">
            <v>0</v>
          </cell>
          <cell r="AQ160">
            <v>0</v>
          </cell>
          <cell r="AR160">
            <v>2000</v>
          </cell>
          <cell r="AS160">
            <v>2000</v>
          </cell>
        </row>
        <row r="161">
          <cell r="A161" t="str">
            <v>Pastel de queso</v>
          </cell>
          <cell r="B161" t="str">
            <v>Unidades</v>
          </cell>
          <cell r="AM161">
            <v>0</v>
          </cell>
          <cell r="AN161">
            <v>1816</v>
          </cell>
          <cell r="AO161">
            <v>0</v>
          </cell>
          <cell r="AP161">
            <v>0</v>
          </cell>
          <cell r="AQ161">
            <v>0</v>
          </cell>
          <cell r="AR161">
            <v>1816</v>
          </cell>
          <cell r="AS161">
            <v>1816</v>
          </cell>
        </row>
        <row r="162">
          <cell r="A162" t="str">
            <v>Pastelitos</v>
          </cell>
          <cell r="B162" t="str">
            <v>Unidades</v>
          </cell>
          <cell r="AM162">
            <v>0</v>
          </cell>
          <cell r="AN162">
            <v>850</v>
          </cell>
          <cell r="AO162">
            <v>0</v>
          </cell>
          <cell r="AP162">
            <v>0</v>
          </cell>
          <cell r="AQ162">
            <v>0</v>
          </cell>
          <cell r="AR162">
            <v>850</v>
          </cell>
          <cell r="AS162">
            <v>850</v>
          </cell>
        </row>
        <row r="163">
          <cell r="A163" t="str">
            <v>Pechuga</v>
          </cell>
          <cell r="B163" t="str">
            <v>Kilogramo</v>
          </cell>
          <cell r="AM163">
            <v>0</v>
          </cell>
          <cell r="AN163">
            <v>10903.333333333334</v>
          </cell>
          <cell r="AO163">
            <v>9333.3333333333339</v>
          </cell>
          <cell r="AP163">
            <v>13360</v>
          </cell>
          <cell r="AQ163">
            <v>9915</v>
          </cell>
          <cell r="AR163">
            <v>10877.916666666668</v>
          </cell>
          <cell r="AS163">
            <v>10.877916666666668</v>
          </cell>
        </row>
        <row r="164">
          <cell r="A164" t="str">
            <v>Pepino</v>
          </cell>
          <cell r="B164" t="str">
            <v>Kilogramo</v>
          </cell>
          <cell r="AM164">
            <v>0</v>
          </cell>
          <cell r="AN164">
            <v>2150</v>
          </cell>
          <cell r="AO164">
            <v>1135</v>
          </cell>
          <cell r="AP164">
            <v>1100</v>
          </cell>
          <cell r="AQ164">
            <v>780</v>
          </cell>
          <cell r="AR164">
            <v>1291.25</v>
          </cell>
          <cell r="AS164">
            <v>1.29125</v>
          </cell>
        </row>
        <row r="165">
          <cell r="A165" t="str">
            <v>Pera</v>
          </cell>
          <cell r="B165" t="str">
            <v>Kilogramo</v>
          </cell>
          <cell r="AM165">
            <v>0</v>
          </cell>
          <cell r="AN165">
            <v>5795</v>
          </cell>
          <cell r="AO165">
            <v>2400</v>
          </cell>
          <cell r="AP165">
            <v>4200</v>
          </cell>
          <cell r="AQ165">
            <v>3640</v>
          </cell>
          <cell r="AR165">
            <v>4008.75</v>
          </cell>
          <cell r="AS165">
            <v>4.00875</v>
          </cell>
        </row>
        <row r="166">
          <cell r="A166" t="str">
            <v>Pimentón</v>
          </cell>
          <cell r="B166" t="str">
            <v>Kilogramo</v>
          </cell>
          <cell r="AM166">
            <v>0</v>
          </cell>
          <cell r="AN166">
            <v>3450</v>
          </cell>
          <cell r="AO166">
            <v>3470</v>
          </cell>
          <cell r="AP166">
            <v>2380</v>
          </cell>
          <cell r="AQ166">
            <v>2980</v>
          </cell>
          <cell r="AR166">
            <v>3070</v>
          </cell>
          <cell r="AS166">
            <v>3.07</v>
          </cell>
        </row>
        <row r="167">
          <cell r="A167" t="str">
            <v>Piña</v>
          </cell>
          <cell r="B167" t="str">
            <v>Kilogramo</v>
          </cell>
          <cell r="AM167">
            <v>0</v>
          </cell>
          <cell r="AN167">
            <v>940</v>
          </cell>
          <cell r="AO167">
            <v>2950</v>
          </cell>
          <cell r="AP167">
            <v>0</v>
          </cell>
          <cell r="AQ167">
            <v>0</v>
          </cell>
          <cell r="AR167">
            <v>1945</v>
          </cell>
          <cell r="AS167">
            <v>1.9450000000000001</v>
          </cell>
        </row>
        <row r="168">
          <cell r="A168" t="str">
            <v>Pirulito</v>
          </cell>
          <cell r="B168" t="str">
            <v>Gramos</v>
          </cell>
          <cell r="AM168">
            <v>0</v>
          </cell>
          <cell r="AN168">
            <v>1690</v>
          </cell>
          <cell r="AO168">
            <v>0</v>
          </cell>
          <cell r="AP168">
            <v>2010</v>
          </cell>
          <cell r="AQ168">
            <v>0</v>
          </cell>
          <cell r="AR168">
            <v>1850</v>
          </cell>
          <cell r="AS168">
            <v>10.571428571428571</v>
          </cell>
        </row>
        <row r="169">
          <cell r="A169" t="str">
            <v>Plátano maduro</v>
          </cell>
          <cell r="B169" t="str">
            <v>Kilogramo</v>
          </cell>
          <cell r="AM169">
            <v>0</v>
          </cell>
          <cell r="AN169">
            <v>1580</v>
          </cell>
          <cell r="AO169">
            <v>1600</v>
          </cell>
          <cell r="AP169">
            <v>1240</v>
          </cell>
          <cell r="AQ169">
            <v>1198</v>
          </cell>
          <cell r="AR169">
            <v>1404.5</v>
          </cell>
          <cell r="AS169">
            <v>1.4045000000000001</v>
          </cell>
        </row>
        <row r="170">
          <cell r="A170" t="str">
            <v>Plátano verde</v>
          </cell>
          <cell r="B170" t="str">
            <v>Kilogramo</v>
          </cell>
          <cell r="AM170">
            <v>0</v>
          </cell>
          <cell r="AN170">
            <v>1010</v>
          </cell>
          <cell r="AO170">
            <v>1600</v>
          </cell>
          <cell r="AP170">
            <v>1180</v>
          </cell>
          <cell r="AQ170">
            <v>980</v>
          </cell>
          <cell r="AR170">
            <v>1192.5</v>
          </cell>
          <cell r="AS170">
            <v>1.1924999999999999</v>
          </cell>
        </row>
        <row r="171">
          <cell r="A171" t="str">
            <v>Pollo</v>
          </cell>
          <cell r="B171" t="str">
            <v>Kilogramo</v>
          </cell>
          <cell r="AM171">
            <v>0</v>
          </cell>
          <cell r="AN171">
            <v>8900</v>
          </cell>
          <cell r="AO171">
            <v>11000</v>
          </cell>
          <cell r="AP171">
            <v>2590</v>
          </cell>
          <cell r="AQ171">
            <v>5850</v>
          </cell>
          <cell r="AR171">
            <v>7085</v>
          </cell>
          <cell r="AS171">
            <v>7.085</v>
          </cell>
        </row>
        <row r="172">
          <cell r="A172" t="str">
            <v>Polvo de bizcocho</v>
          </cell>
          <cell r="B172" t="str">
            <v>Gramos</v>
          </cell>
          <cell r="AM172">
            <v>0</v>
          </cell>
          <cell r="AN172">
            <v>1750</v>
          </cell>
          <cell r="AO172">
            <v>1400</v>
          </cell>
          <cell r="AP172">
            <v>1504</v>
          </cell>
          <cell r="AQ172">
            <v>1875</v>
          </cell>
          <cell r="AR172">
            <v>1632.25</v>
          </cell>
          <cell r="AS172">
            <v>8.1612500000000008</v>
          </cell>
        </row>
        <row r="173">
          <cell r="A173" t="str">
            <v>Ponqué</v>
          </cell>
          <cell r="B173" t="str">
            <v>Gramos</v>
          </cell>
          <cell r="AM173">
            <v>0</v>
          </cell>
          <cell r="AN173">
            <v>2197</v>
          </cell>
          <cell r="AO173">
            <v>2130</v>
          </cell>
          <cell r="AP173">
            <v>2735</v>
          </cell>
          <cell r="AQ173">
            <v>2293.6507936507933</v>
          </cell>
          <cell r="AR173">
            <v>2338.9126984126983</v>
          </cell>
          <cell r="AS173">
            <v>9.3556507936507938</v>
          </cell>
        </row>
        <row r="174">
          <cell r="A174" t="str">
            <v>Ponqué ramito</v>
          </cell>
          <cell r="B174" t="str">
            <v>Gramos</v>
          </cell>
          <cell r="AM174">
            <v>0</v>
          </cell>
          <cell r="AN174">
            <v>321</v>
          </cell>
          <cell r="AO174">
            <v>1644</v>
          </cell>
          <cell r="AP174">
            <v>1690</v>
          </cell>
          <cell r="AQ174">
            <v>1650</v>
          </cell>
          <cell r="AR174">
            <v>1326.25</v>
          </cell>
          <cell r="AS174">
            <v>8.8416666666666668</v>
          </cell>
        </row>
        <row r="175">
          <cell r="A175" t="str">
            <v>Pulpa de fresa</v>
          </cell>
          <cell r="B175" t="str">
            <v>Gramos</v>
          </cell>
          <cell r="AM175">
            <v>0</v>
          </cell>
          <cell r="AN175">
            <v>1890</v>
          </cell>
          <cell r="AO175">
            <v>2900</v>
          </cell>
          <cell r="AP175">
            <v>2320</v>
          </cell>
          <cell r="AQ175">
            <v>2003.3333333333333</v>
          </cell>
          <cell r="AR175">
            <v>2278.3333333333335</v>
          </cell>
          <cell r="AS175">
            <v>9.9057971014492754</v>
          </cell>
        </row>
        <row r="176">
          <cell r="A176" t="str">
            <v>Pulpa de guanábana</v>
          </cell>
          <cell r="B176" t="str">
            <v>Gramos</v>
          </cell>
          <cell r="AM176">
            <v>0</v>
          </cell>
          <cell r="AN176">
            <v>2263</v>
          </cell>
          <cell r="AO176">
            <v>2806</v>
          </cell>
          <cell r="AP176">
            <v>5520</v>
          </cell>
          <cell r="AQ176">
            <v>0</v>
          </cell>
          <cell r="AR176">
            <v>3529.6666666666665</v>
          </cell>
          <cell r="AS176">
            <v>7.059333333333333</v>
          </cell>
        </row>
        <row r="177">
          <cell r="A177" t="str">
            <v>Pulpa de guayaba</v>
          </cell>
          <cell r="B177" t="str">
            <v>Gramos</v>
          </cell>
          <cell r="AM177">
            <v>0</v>
          </cell>
          <cell r="AN177">
            <v>1619</v>
          </cell>
          <cell r="AO177">
            <v>0</v>
          </cell>
          <cell r="AP177">
            <v>2160</v>
          </cell>
          <cell r="AQ177">
            <v>2159</v>
          </cell>
          <cell r="AR177">
            <v>1979.3333333333333</v>
          </cell>
          <cell r="AS177">
            <v>8.6057971014492747</v>
          </cell>
        </row>
        <row r="178">
          <cell r="A178" t="str">
            <v>Pulpa de lulo</v>
          </cell>
          <cell r="B178" t="str">
            <v>Gramos</v>
          </cell>
          <cell r="AM178">
            <v>0</v>
          </cell>
          <cell r="AN178">
            <v>2150</v>
          </cell>
          <cell r="AO178">
            <v>2414</v>
          </cell>
          <cell r="AP178">
            <v>2550</v>
          </cell>
          <cell r="AQ178">
            <v>2345.3333333333335</v>
          </cell>
          <cell r="AR178">
            <v>2364.8333333333335</v>
          </cell>
          <cell r="AS178">
            <v>10.281884057971014</v>
          </cell>
        </row>
        <row r="179">
          <cell r="A179" t="str">
            <v>Pulpa de mango</v>
          </cell>
          <cell r="B179" t="str">
            <v>Gramos</v>
          </cell>
          <cell r="AM179">
            <v>0</v>
          </cell>
          <cell r="AN179">
            <v>2146</v>
          </cell>
          <cell r="AO179">
            <v>0</v>
          </cell>
          <cell r="AP179">
            <v>2435</v>
          </cell>
          <cell r="AQ179">
            <v>2352</v>
          </cell>
          <cell r="AR179">
            <v>2311</v>
          </cell>
          <cell r="AS179">
            <v>10.047826086956523</v>
          </cell>
        </row>
        <row r="180">
          <cell r="A180" t="str">
            <v>Pulpa de maracuyá</v>
          </cell>
          <cell r="B180" t="str">
            <v>Gramos</v>
          </cell>
          <cell r="AM180">
            <v>0</v>
          </cell>
          <cell r="AN180">
            <v>2838</v>
          </cell>
          <cell r="AO180">
            <v>0</v>
          </cell>
          <cell r="AP180">
            <v>2705</v>
          </cell>
          <cell r="AQ180">
            <v>2365.3333333333335</v>
          </cell>
          <cell r="AR180">
            <v>2636.1111111111113</v>
          </cell>
          <cell r="AS180">
            <v>11.461352657004833</v>
          </cell>
        </row>
        <row r="181">
          <cell r="A181" t="str">
            <v>Pulpa de mora</v>
          </cell>
          <cell r="B181" t="str">
            <v>Gramos</v>
          </cell>
          <cell r="AM181">
            <v>0</v>
          </cell>
          <cell r="AN181">
            <v>2171</v>
          </cell>
          <cell r="AO181">
            <v>0</v>
          </cell>
          <cell r="AP181">
            <v>0</v>
          </cell>
          <cell r="AQ181">
            <v>2352</v>
          </cell>
          <cell r="AR181">
            <v>2261.5</v>
          </cell>
          <cell r="AS181">
            <v>9.8326086956521745</v>
          </cell>
        </row>
        <row r="182">
          <cell r="A182" t="str">
            <v xml:space="preserve">Pulpa de Naranja </v>
          </cell>
          <cell r="B182" t="str">
            <v>Gramos</v>
          </cell>
          <cell r="AM182">
            <v>0</v>
          </cell>
          <cell r="AN182">
            <v>0</v>
          </cell>
          <cell r="AO182">
            <v>0</v>
          </cell>
          <cell r="AP182">
            <v>0</v>
          </cell>
          <cell r="AQ182">
            <v>1840</v>
          </cell>
          <cell r="AR182">
            <v>1840</v>
          </cell>
          <cell r="AS182">
            <v>8</v>
          </cell>
        </row>
        <row r="183">
          <cell r="A183" t="str">
            <v>Pulpa de piña</v>
          </cell>
          <cell r="B183" t="str">
            <v>Gramos</v>
          </cell>
          <cell r="AM183">
            <v>0</v>
          </cell>
          <cell r="AN183">
            <v>0</v>
          </cell>
          <cell r="AO183">
            <v>0</v>
          </cell>
          <cell r="AP183">
            <v>0</v>
          </cell>
          <cell r="AQ183">
            <v>1780</v>
          </cell>
          <cell r="AR183">
            <v>1780</v>
          </cell>
          <cell r="AS183">
            <v>7.7391304347826084</v>
          </cell>
        </row>
        <row r="184">
          <cell r="A184" t="str">
            <v>Pulpa de tomate de árbol</v>
          </cell>
          <cell r="B184" t="str">
            <v>Gramos</v>
          </cell>
          <cell r="AM184">
            <v>0</v>
          </cell>
          <cell r="AN184">
            <v>0</v>
          </cell>
          <cell r="AO184">
            <v>0</v>
          </cell>
          <cell r="AP184">
            <v>0</v>
          </cell>
          <cell r="AQ184">
            <v>1214</v>
          </cell>
          <cell r="AR184">
            <v>1214</v>
          </cell>
          <cell r="AS184">
            <v>5.2782608695652176</v>
          </cell>
        </row>
        <row r="185">
          <cell r="A185" t="str">
            <v>Quesito</v>
          </cell>
          <cell r="B185" t="str">
            <v>Gramos</v>
          </cell>
          <cell r="AM185">
            <v>0</v>
          </cell>
          <cell r="AN185">
            <v>2146.6666666666665</v>
          </cell>
          <cell r="AO185">
            <v>2807</v>
          </cell>
          <cell r="AP185">
            <v>1760</v>
          </cell>
          <cell r="AQ185">
            <v>2250.3333333333335</v>
          </cell>
          <cell r="AR185">
            <v>2241</v>
          </cell>
          <cell r="AS185">
            <v>10.186363636363636</v>
          </cell>
        </row>
        <row r="186">
          <cell r="A186" t="str">
            <v>Queso</v>
          </cell>
          <cell r="B186" t="str">
            <v>Gramos</v>
          </cell>
          <cell r="AM186">
            <v>0</v>
          </cell>
          <cell r="AN186">
            <v>5855.333333333333</v>
          </cell>
          <cell r="AO186">
            <v>5586</v>
          </cell>
          <cell r="AP186">
            <v>5936</v>
          </cell>
          <cell r="AQ186">
            <v>5904</v>
          </cell>
          <cell r="AR186">
            <v>5820.333333333333</v>
          </cell>
          <cell r="AS186">
            <v>14.550833333333333</v>
          </cell>
        </row>
        <row r="187">
          <cell r="A187" t="str">
            <v>Queso mozarella</v>
          </cell>
          <cell r="B187" t="str">
            <v>Gramos</v>
          </cell>
          <cell r="AM187">
            <v>0</v>
          </cell>
          <cell r="AN187">
            <v>4620.666666666667</v>
          </cell>
          <cell r="AO187">
            <v>4114</v>
          </cell>
          <cell r="AP187">
            <v>4555</v>
          </cell>
          <cell r="AQ187">
            <v>4616.666666666667</v>
          </cell>
          <cell r="AR187">
            <v>4476.5833333333339</v>
          </cell>
          <cell r="AS187">
            <v>17.906333333333336</v>
          </cell>
        </row>
        <row r="188">
          <cell r="A188" t="str">
            <v>Refresco</v>
          </cell>
          <cell r="B188" t="str">
            <v>Cm3</v>
          </cell>
          <cell r="AM188">
            <v>0</v>
          </cell>
          <cell r="AN188">
            <v>900</v>
          </cell>
          <cell r="AO188">
            <v>1063.3333333333333</v>
          </cell>
          <cell r="AP188">
            <v>717</v>
          </cell>
          <cell r="AQ188">
            <v>0</v>
          </cell>
          <cell r="AR188">
            <v>893.44444444444434</v>
          </cell>
          <cell r="AS188">
            <v>4.4672222222222215</v>
          </cell>
        </row>
        <row r="189">
          <cell r="A189" t="str">
            <v>Refresco en polvo</v>
          </cell>
          <cell r="B189" t="str">
            <v>Gramos</v>
          </cell>
          <cell r="AM189">
            <v>0</v>
          </cell>
          <cell r="AN189">
            <v>17419.333333333332</v>
          </cell>
          <cell r="AO189">
            <v>6916.333333333333</v>
          </cell>
          <cell r="AP189">
            <v>0</v>
          </cell>
          <cell r="AQ189">
            <v>7280</v>
          </cell>
          <cell r="AR189">
            <v>10538.555555555555</v>
          </cell>
          <cell r="AS189">
            <v>13.010562414266117</v>
          </cell>
        </row>
        <row r="190">
          <cell r="A190" t="str">
            <v>Remolacha</v>
          </cell>
          <cell r="B190" t="str">
            <v>Kilogramo</v>
          </cell>
          <cell r="AM190">
            <v>0</v>
          </cell>
          <cell r="AN190">
            <v>1300</v>
          </cell>
          <cell r="AO190">
            <v>2700</v>
          </cell>
          <cell r="AP190">
            <v>960</v>
          </cell>
          <cell r="AQ190">
            <v>1100</v>
          </cell>
          <cell r="AR190">
            <v>1515</v>
          </cell>
          <cell r="AS190">
            <v>1.5149999999999999</v>
          </cell>
        </row>
        <row r="191">
          <cell r="A191" t="str">
            <v xml:space="preserve">Repollo </v>
          </cell>
          <cell r="B191" t="str">
            <v>Kilogramo</v>
          </cell>
          <cell r="AM191">
            <v>0</v>
          </cell>
          <cell r="AN191">
            <v>1460</v>
          </cell>
          <cell r="AO191">
            <v>1675</v>
          </cell>
          <cell r="AP191">
            <v>820</v>
          </cell>
          <cell r="AQ191">
            <v>910</v>
          </cell>
          <cell r="AR191">
            <v>1216.25</v>
          </cell>
          <cell r="AS191">
            <v>1.2162500000000001</v>
          </cell>
        </row>
        <row r="192">
          <cell r="A192" t="str">
            <v>Rollo dulce</v>
          </cell>
          <cell r="B192" t="str">
            <v>Unidades</v>
          </cell>
          <cell r="AM192">
            <v>0</v>
          </cell>
          <cell r="AN192">
            <v>704</v>
          </cell>
          <cell r="AO192">
            <v>0</v>
          </cell>
          <cell r="AP192">
            <v>0</v>
          </cell>
          <cell r="AQ192">
            <v>0</v>
          </cell>
          <cell r="AR192">
            <v>704</v>
          </cell>
          <cell r="AS192">
            <v>704</v>
          </cell>
        </row>
        <row r="193">
          <cell r="A193" t="str">
            <v>Roscón</v>
          </cell>
          <cell r="B193" t="str">
            <v>Unidades</v>
          </cell>
          <cell r="AM193">
            <v>800</v>
          </cell>
          <cell r="AN193">
            <v>1700</v>
          </cell>
          <cell r="AO193">
            <v>0</v>
          </cell>
          <cell r="AP193">
            <v>4460</v>
          </cell>
          <cell r="AQ193">
            <v>0</v>
          </cell>
          <cell r="AR193">
            <v>2320</v>
          </cell>
          <cell r="AS193">
            <v>2320</v>
          </cell>
        </row>
        <row r="194">
          <cell r="A194" t="str">
            <v>Sal</v>
          </cell>
          <cell r="B194" t="str">
            <v>Gramos</v>
          </cell>
          <cell r="AM194">
            <v>0</v>
          </cell>
          <cell r="AN194">
            <v>365.33333333333331</v>
          </cell>
          <cell r="AO194">
            <v>435</v>
          </cell>
          <cell r="AP194">
            <v>430</v>
          </cell>
          <cell r="AQ194">
            <v>440</v>
          </cell>
          <cell r="AR194">
            <v>417.58333333333331</v>
          </cell>
          <cell r="AS194">
            <v>0.83516666666666661</v>
          </cell>
        </row>
        <row r="195">
          <cell r="A195" t="str">
            <v>Salchicha</v>
          </cell>
          <cell r="B195" t="str">
            <v>Gramos</v>
          </cell>
          <cell r="AM195">
            <v>0</v>
          </cell>
          <cell r="AN195">
            <v>4103.333333333333</v>
          </cell>
          <cell r="AO195">
            <v>6223.333333333333</v>
          </cell>
          <cell r="AP195">
            <v>5845</v>
          </cell>
          <cell r="AQ195">
            <v>6216</v>
          </cell>
          <cell r="AR195">
            <v>5596.9166666666661</v>
          </cell>
          <cell r="AS195">
            <v>12.437592592592591</v>
          </cell>
        </row>
        <row r="196">
          <cell r="A196" t="str">
            <v>Salchichón</v>
          </cell>
          <cell r="B196" t="str">
            <v>Gramos</v>
          </cell>
          <cell r="AM196">
            <v>0</v>
          </cell>
          <cell r="AN196">
            <v>3783.3333333333335</v>
          </cell>
          <cell r="AO196">
            <v>5852.666666666667</v>
          </cell>
          <cell r="AP196">
            <v>3895</v>
          </cell>
          <cell r="AQ196">
            <v>4010</v>
          </cell>
          <cell r="AR196">
            <v>4385.25</v>
          </cell>
          <cell r="AS196">
            <v>9.7449999999999992</v>
          </cell>
        </row>
        <row r="197">
          <cell r="A197" t="str">
            <v>Salsa de piña</v>
          </cell>
          <cell r="B197" t="str">
            <v>Gramos</v>
          </cell>
          <cell r="AM197">
            <v>0</v>
          </cell>
          <cell r="AN197">
            <v>1630</v>
          </cell>
          <cell r="AO197">
            <v>2520.6666666666665</v>
          </cell>
          <cell r="AP197">
            <v>0</v>
          </cell>
          <cell r="AQ197">
            <v>1752.3333333333333</v>
          </cell>
          <cell r="AR197">
            <v>1967.6666666666663</v>
          </cell>
          <cell r="AS197">
            <v>7.8706666666666649</v>
          </cell>
        </row>
        <row r="198">
          <cell r="A198" t="str">
            <v>Salsa de tomate</v>
          </cell>
          <cell r="B198" t="str">
            <v>Gramos</v>
          </cell>
          <cell r="AM198">
            <v>0</v>
          </cell>
          <cell r="AN198">
            <v>3130</v>
          </cell>
          <cell r="AO198">
            <v>3771.6666666666665</v>
          </cell>
          <cell r="AP198">
            <v>4065</v>
          </cell>
          <cell r="AQ198">
            <v>2906.6666666666665</v>
          </cell>
          <cell r="AR198">
            <v>3468.333333333333</v>
          </cell>
          <cell r="AS198">
            <v>8.6708333333333325</v>
          </cell>
        </row>
        <row r="199">
          <cell r="A199" t="str">
            <v>Salsa rosada</v>
          </cell>
          <cell r="B199" t="str">
            <v>Gramos</v>
          </cell>
          <cell r="AM199">
            <v>0</v>
          </cell>
          <cell r="AN199">
            <v>2169</v>
          </cell>
          <cell r="AO199">
            <v>2397.6666666666665</v>
          </cell>
          <cell r="AP199">
            <v>1975</v>
          </cell>
          <cell r="AQ199">
            <v>2240</v>
          </cell>
          <cell r="AR199">
            <v>2195.4166666666665</v>
          </cell>
          <cell r="AS199">
            <v>10.977083333333333</v>
          </cell>
        </row>
        <row r="200">
          <cell r="A200" t="str">
            <v>Sandía</v>
          </cell>
          <cell r="B200" t="str">
            <v>Kilogramo</v>
          </cell>
          <cell r="AM200">
            <v>0</v>
          </cell>
          <cell r="AN200">
            <v>2450</v>
          </cell>
          <cell r="AO200">
            <v>1200</v>
          </cell>
          <cell r="AP200">
            <v>1800</v>
          </cell>
          <cell r="AQ200">
            <v>1180</v>
          </cell>
          <cell r="AR200">
            <v>1657.5</v>
          </cell>
          <cell r="AS200">
            <v>1.6575</v>
          </cell>
        </row>
        <row r="201">
          <cell r="A201" t="str">
            <v xml:space="preserve">Sanduche de Jamon y queso </v>
          </cell>
          <cell r="B201" t="str">
            <v>Gramos</v>
          </cell>
          <cell r="AM201">
            <v>0</v>
          </cell>
          <cell r="AN201">
            <v>2000</v>
          </cell>
          <cell r="AO201">
            <v>0</v>
          </cell>
          <cell r="AP201">
            <v>0</v>
          </cell>
          <cell r="AQ201">
            <v>0</v>
          </cell>
          <cell r="AR201">
            <v>2000</v>
          </cell>
          <cell r="AS201">
            <v>40</v>
          </cell>
        </row>
        <row r="202">
          <cell r="A202" t="str">
            <v>Spaguetti</v>
          </cell>
          <cell r="B202" t="str">
            <v>Gramos</v>
          </cell>
          <cell r="AM202">
            <v>0</v>
          </cell>
          <cell r="AN202">
            <v>1645</v>
          </cell>
          <cell r="AO202">
            <v>1223.3333333333333</v>
          </cell>
          <cell r="AP202">
            <v>1700</v>
          </cell>
          <cell r="AQ202">
            <v>3395</v>
          </cell>
          <cell r="AR202">
            <v>1990.8333333333333</v>
          </cell>
          <cell r="AS202">
            <v>7.9633333333333329</v>
          </cell>
        </row>
        <row r="203">
          <cell r="A203" t="str">
            <v>Tomate</v>
          </cell>
          <cell r="B203" t="str">
            <v>Kilogramo</v>
          </cell>
          <cell r="AM203">
            <v>0</v>
          </cell>
          <cell r="AN203">
            <v>2780</v>
          </cell>
          <cell r="AO203">
            <v>4000</v>
          </cell>
          <cell r="AP203">
            <v>2520</v>
          </cell>
          <cell r="AQ203">
            <v>3026.6666666666665</v>
          </cell>
          <cell r="AR203">
            <v>3081.6666666666665</v>
          </cell>
          <cell r="AS203">
            <v>3.0816666666666666</v>
          </cell>
        </row>
        <row r="204">
          <cell r="A204" t="str">
            <v>Tomate de árbol</v>
          </cell>
          <cell r="B204" t="str">
            <v>Kilogramo</v>
          </cell>
          <cell r="AM204">
            <v>0</v>
          </cell>
          <cell r="AN204">
            <v>2112</v>
          </cell>
          <cell r="AO204">
            <v>2400</v>
          </cell>
          <cell r="AP204">
            <v>2380</v>
          </cell>
          <cell r="AQ204">
            <v>2740</v>
          </cell>
          <cell r="AR204">
            <v>2408</v>
          </cell>
          <cell r="AS204">
            <v>2.4079999999999999</v>
          </cell>
        </row>
        <row r="205">
          <cell r="A205" t="str">
            <v>Tostadas</v>
          </cell>
          <cell r="B205" t="str">
            <v>Gramos</v>
          </cell>
          <cell r="AM205">
            <v>0</v>
          </cell>
          <cell r="AN205">
            <v>1870</v>
          </cell>
          <cell r="AO205">
            <v>2142.3333333333335</v>
          </cell>
          <cell r="AP205">
            <v>1756.1111111111113</v>
          </cell>
          <cell r="AQ205">
            <v>1868.6666666666667</v>
          </cell>
          <cell r="AR205">
            <v>1909.2777777777781</v>
          </cell>
          <cell r="AS205">
            <v>10.048830409356727</v>
          </cell>
        </row>
        <row r="206">
          <cell r="A206" t="str">
            <v>Uvas</v>
          </cell>
          <cell r="B206" t="str">
            <v>Kilogramo</v>
          </cell>
          <cell r="AM206">
            <v>0</v>
          </cell>
          <cell r="AN206">
            <v>7860</v>
          </cell>
          <cell r="AO206">
            <v>7450</v>
          </cell>
          <cell r="AP206">
            <v>6240</v>
          </cell>
          <cell r="AQ206">
            <v>0</v>
          </cell>
          <cell r="AR206">
            <v>7183.333333333333</v>
          </cell>
          <cell r="AS206">
            <v>7.1833333333333327</v>
          </cell>
        </row>
        <row r="208">
          <cell r="A208" t="str">
            <v>Vinagre</v>
          </cell>
          <cell r="B208" t="str">
            <v>Cm3</v>
          </cell>
          <cell r="AM208">
            <v>0</v>
          </cell>
          <cell r="AN208">
            <v>1733.3333333333333</v>
          </cell>
          <cell r="AO208">
            <v>2030</v>
          </cell>
          <cell r="AP208">
            <v>1376.6666666666667</v>
          </cell>
          <cell r="AQ208">
            <v>2096.6666666666665</v>
          </cell>
          <cell r="AR208">
            <v>1809.1666666666665</v>
          </cell>
          <cell r="AS208">
            <v>3.6183333333333332</v>
          </cell>
        </row>
        <row r="209">
          <cell r="A209" t="str">
            <v>Vinagreta</v>
          </cell>
          <cell r="B209" t="str">
            <v>Gramos</v>
          </cell>
          <cell r="AM209">
            <v>0</v>
          </cell>
          <cell r="AN209">
            <v>4520</v>
          </cell>
          <cell r="AO209">
            <v>3704.2222222222222</v>
          </cell>
          <cell r="AP209">
            <v>1347.159090909091</v>
          </cell>
          <cell r="AQ209">
            <v>1774.3333333333333</v>
          </cell>
          <cell r="AR209">
            <v>2836.4286616161621</v>
          </cell>
          <cell r="AS209">
            <v>11.345714646464648</v>
          </cell>
        </row>
        <row r="210">
          <cell r="A210" t="str">
            <v>Vinagreta de mago</v>
          </cell>
          <cell r="B210" t="str">
            <v>Gramos</v>
          </cell>
          <cell r="AM210">
            <v>0</v>
          </cell>
          <cell r="AN210">
            <v>6735</v>
          </cell>
          <cell r="AO210">
            <v>9350</v>
          </cell>
          <cell r="AP210">
            <v>0</v>
          </cell>
          <cell r="AQ210">
            <v>0</v>
          </cell>
          <cell r="AR210">
            <v>8042.5</v>
          </cell>
          <cell r="AS210">
            <v>33.934599156118146</v>
          </cell>
        </row>
        <row r="211">
          <cell r="A211" t="str">
            <v>Yogurt</v>
          </cell>
          <cell r="B211" t="str">
            <v>Cm3</v>
          </cell>
          <cell r="AM211">
            <v>0</v>
          </cell>
          <cell r="AN211">
            <v>5536.666666666667</v>
          </cell>
          <cell r="AO211">
            <v>3785.6666666666665</v>
          </cell>
          <cell r="AP211">
            <v>2535</v>
          </cell>
          <cell r="AQ211">
            <v>3360</v>
          </cell>
          <cell r="AR211">
            <v>3804.3333333333335</v>
          </cell>
          <cell r="AS211">
            <v>3.8043333333333336</v>
          </cell>
        </row>
        <row r="212">
          <cell r="A212" t="str">
            <v>Yuca</v>
          </cell>
          <cell r="B212" t="str">
            <v>Kilogramo</v>
          </cell>
          <cell r="AM212">
            <v>0</v>
          </cell>
          <cell r="AN212">
            <v>1430</v>
          </cell>
          <cell r="AO212">
            <v>2800</v>
          </cell>
          <cell r="AP212">
            <v>1460</v>
          </cell>
          <cell r="AQ212">
            <v>1740</v>
          </cell>
          <cell r="AR212">
            <v>1857.5</v>
          </cell>
          <cell r="AS212">
            <v>1.8574999999999999</v>
          </cell>
        </row>
        <row r="213">
          <cell r="A213" t="str">
            <v>Zanahoria</v>
          </cell>
          <cell r="B213" t="str">
            <v>Kilogramo</v>
          </cell>
          <cell r="AM213">
            <v>0</v>
          </cell>
          <cell r="AN213">
            <v>930</v>
          </cell>
          <cell r="AO213">
            <v>1350</v>
          </cell>
          <cell r="AP213">
            <v>880</v>
          </cell>
          <cell r="AQ213">
            <v>1040</v>
          </cell>
          <cell r="AR213">
            <v>1050</v>
          </cell>
          <cell r="AS213">
            <v>1.05</v>
          </cell>
        </row>
        <row r="214">
          <cell r="A214" t="str">
            <v>Zucaritas</v>
          </cell>
          <cell r="B214" t="str">
            <v>Gramos</v>
          </cell>
          <cell r="AM214">
            <v>0</v>
          </cell>
          <cell r="AN214">
            <v>9490</v>
          </cell>
          <cell r="AO214">
            <v>8699</v>
          </cell>
          <cell r="AP214">
            <v>9540</v>
          </cell>
          <cell r="AQ214">
            <v>9390</v>
          </cell>
          <cell r="AR214">
            <v>9279.75</v>
          </cell>
          <cell r="AS214">
            <v>22.094642857142858</v>
          </cell>
        </row>
        <row r="215">
          <cell r="A215" t="str">
            <v>Rosquitas</v>
          </cell>
          <cell r="B215" t="str">
            <v>Gramos</v>
          </cell>
          <cell r="AM215">
            <v>0</v>
          </cell>
          <cell r="AN215">
            <v>454.941176470588</v>
          </cell>
          <cell r="AO215">
            <v>501.2</v>
          </cell>
          <cell r="AP215">
            <v>0</v>
          </cell>
          <cell r="AQ215">
            <v>420.3944444444445</v>
          </cell>
          <cell r="AR215">
            <v>458.8452069716775</v>
          </cell>
          <cell r="AS215">
            <v>30.5896804647785</v>
          </cell>
        </row>
        <row r="216">
          <cell r="A216" t="str">
            <v>Tocino</v>
          </cell>
          <cell r="B216" t="str">
            <v>Kilogramo</v>
          </cell>
          <cell r="AM216">
            <v>11425</v>
          </cell>
          <cell r="AN216">
            <v>0</v>
          </cell>
          <cell r="AO216">
            <v>0</v>
          </cell>
          <cell r="AP216">
            <v>0</v>
          </cell>
          <cell r="AQ216">
            <v>0</v>
          </cell>
          <cell r="AR216">
            <v>11425</v>
          </cell>
          <cell r="AS216">
            <v>11.425000000000001</v>
          </cell>
        </row>
        <row r="217">
          <cell r="A217" t="str">
            <v xml:space="preserve">Pierna </v>
          </cell>
          <cell r="B217" t="str">
            <v>Kilogramo</v>
          </cell>
          <cell r="AM217">
            <v>11755</v>
          </cell>
          <cell r="AN217">
            <v>0</v>
          </cell>
          <cell r="AO217">
            <v>0</v>
          </cell>
          <cell r="AP217">
            <v>0</v>
          </cell>
          <cell r="AQ217">
            <v>0</v>
          </cell>
          <cell r="AR217">
            <v>11755</v>
          </cell>
          <cell r="AS217">
            <v>11.755000000000001</v>
          </cell>
        </row>
        <row r="218">
          <cell r="A218" t="str">
            <v>Tocino</v>
          </cell>
          <cell r="B218" t="str">
            <v>Kilogramo</v>
          </cell>
          <cell r="AM218">
            <v>11425</v>
          </cell>
          <cell r="AN218">
            <v>0</v>
          </cell>
          <cell r="AO218">
            <v>0</v>
          </cell>
          <cell r="AP218">
            <v>0</v>
          </cell>
          <cell r="AQ218">
            <v>0</v>
          </cell>
          <cell r="AR218">
            <v>11425</v>
          </cell>
          <cell r="AS218">
            <v>11.425000000000001</v>
          </cell>
        </row>
        <row r="219">
          <cell r="A219" t="str">
            <v>Carne de cerdo</v>
          </cell>
          <cell r="B219" t="str">
            <v>Kilogramo</v>
          </cell>
          <cell r="AM219">
            <v>11590</v>
          </cell>
          <cell r="AN219">
            <v>0</v>
          </cell>
          <cell r="AO219">
            <v>0</v>
          </cell>
          <cell r="AP219">
            <v>0</v>
          </cell>
          <cell r="AQ219">
            <v>0</v>
          </cell>
          <cell r="AR219">
            <v>11590</v>
          </cell>
          <cell r="AS219">
            <v>11.59</v>
          </cell>
        </row>
        <row r="220">
          <cell r="AM220">
            <v>0</v>
          </cell>
          <cell r="AN220">
            <v>0</v>
          </cell>
          <cell r="AO220">
            <v>0</v>
          </cell>
          <cell r="AP220">
            <v>0</v>
          </cell>
          <cell r="AQ220">
            <v>0</v>
          </cell>
          <cell r="AR220">
            <v>0</v>
          </cell>
          <cell r="AS220">
            <v>0</v>
          </cell>
        </row>
        <row r="221">
          <cell r="AM221">
            <v>0</v>
          </cell>
          <cell r="AN221">
            <v>0</v>
          </cell>
          <cell r="AO221">
            <v>0</v>
          </cell>
          <cell r="AP221">
            <v>0</v>
          </cell>
          <cell r="AQ221">
            <v>0</v>
          </cell>
          <cell r="AR221">
            <v>0</v>
          </cell>
          <cell r="AS221">
            <v>0</v>
          </cell>
        </row>
        <row r="222">
          <cell r="AM222">
            <v>0</v>
          </cell>
          <cell r="AN222">
            <v>0</v>
          </cell>
          <cell r="AO222">
            <v>0</v>
          </cell>
          <cell r="AP222">
            <v>0</v>
          </cell>
          <cell r="AQ222">
            <v>0</v>
          </cell>
          <cell r="AR222">
            <v>0</v>
          </cell>
          <cell r="AS222">
            <v>0</v>
          </cell>
        </row>
        <row r="223">
          <cell r="AM223">
            <v>0</v>
          </cell>
          <cell r="AN223">
            <v>0</v>
          </cell>
          <cell r="AO223">
            <v>0</v>
          </cell>
          <cell r="AP223">
            <v>0</v>
          </cell>
          <cell r="AQ223">
            <v>0</v>
          </cell>
          <cell r="AR223">
            <v>0</v>
          </cell>
          <cell r="AS223">
            <v>0</v>
          </cell>
        </row>
      </sheetData>
      <sheetData sheetId="1">
        <row r="4">
          <cell r="A4" t="str">
            <v>PRODUCTO</v>
          </cell>
          <cell r="B4" t="str">
            <v>MEDIDA</v>
          </cell>
          <cell r="C4" t="str">
            <v>Precio Promedio</v>
          </cell>
          <cell r="D4" t="str">
            <v>Precio Promedio</v>
          </cell>
          <cell r="E4" t="str">
            <v>Precio Promedio</v>
          </cell>
          <cell r="F4" t="str">
            <v>Precio Promedio</v>
          </cell>
          <cell r="G4" t="str">
            <v>Precio Promedio</v>
          </cell>
          <cell r="H4" t="str">
            <v>PRECIO PROMEDIO GLOBAL</v>
          </cell>
          <cell r="I4" t="str">
            <v>PRECIO PROM UNID MEDIDA</v>
          </cell>
        </row>
        <row r="6">
          <cell r="A6" t="str">
            <v>Aceite</v>
          </cell>
          <cell r="B6" t="str">
            <v>Cm3</v>
          </cell>
          <cell r="C6">
            <v>0</v>
          </cell>
          <cell r="D6">
            <v>6105.333333333333</v>
          </cell>
          <cell r="E6">
            <v>6282</v>
          </cell>
          <cell r="F6">
            <v>6170</v>
          </cell>
          <cell r="G6">
            <v>7016.666666666667</v>
          </cell>
          <cell r="H6">
            <v>6393.5</v>
          </cell>
          <cell r="I6">
            <v>6.3935000000000004</v>
          </cell>
        </row>
        <row r="7">
          <cell r="A7" t="str">
            <v>Acelga</v>
          </cell>
          <cell r="B7" t="str">
            <v>Kilogramo</v>
          </cell>
          <cell r="C7">
            <v>1000</v>
          </cell>
          <cell r="D7">
            <v>0</v>
          </cell>
          <cell r="E7">
            <v>0</v>
          </cell>
          <cell r="F7">
            <v>0</v>
          </cell>
          <cell r="G7">
            <v>0</v>
          </cell>
          <cell r="H7">
            <v>1000</v>
          </cell>
          <cell r="I7">
            <v>1</v>
          </cell>
        </row>
        <row r="8">
          <cell r="A8" t="str">
            <v>Agua</v>
          </cell>
          <cell r="B8" t="str">
            <v>Cm3</v>
          </cell>
          <cell r="C8">
            <v>0</v>
          </cell>
          <cell r="D8">
            <v>1330</v>
          </cell>
          <cell r="E8">
            <v>0</v>
          </cell>
          <cell r="F8">
            <v>4490</v>
          </cell>
          <cell r="G8">
            <v>4440</v>
          </cell>
          <cell r="H8">
            <v>3420</v>
          </cell>
          <cell r="I8">
            <v>0.68400000000000005</v>
          </cell>
        </row>
        <row r="9">
          <cell r="A9" t="str">
            <v>Ahuyama</v>
          </cell>
          <cell r="B9" t="str">
            <v>Kilogramo</v>
          </cell>
          <cell r="C9">
            <v>0</v>
          </cell>
          <cell r="D9">
            <v>1200</v>
          </cell>
          <cell r="E9">
            <v>1350</v>
          </cell>
          <cell r="F9">
            <v>680</v>
          </cell>
          <cell r="G9">
            <v>580</v>
          </cell>
          <cell r="H9">
            <v>952.5</v>
          </cell>
          <cell r="I9">
            <v>0.95250000000000001</v>
          </cell>
        </row>
        <row r="10">
          <cell r="A10" t="str">
            <v>Ajo</v>
          </cell>
          <cell r="B10" t="str">
            <v>Gramos</v>
          </cell>
          <cell r="C10">
            <v>0</v>
          </cell>
          <cell r="D10">
            <v>246</v>
          </cell>
          <cell r="E10">
            <v>400</v>
          </cell>
          <cell r="F10">
            <v>810</v>
          </cell>
          <cell r="G10">
            <v>7933.333333333333</v>
          </cell>
          <cell r="H10">
            <v>2347.333333333333</v>
          </cell>
          <cell r="I10">
            <v>46.946666666666658</v>
          </cell>
        </row>
        <row r="11">
          <cell r="A11" t="str">
            <v>Almojabana</v>
          </cell>
          <cell r="B11" t="str">
            <v>unidades</v>
          </cell>
          <cell r="C11">
            <v>0</v>
          </cell>
          <cell r="D11">
            <v>1272.6666666666667</v>
          </cell>
          <cell r="E11">
            <v>1178</v>
          </cell>
          <cell r="F11">
            <v>969.44444444444434</v>
          </cell>
          <cell r="G11">
            <v>1286.6666666666667</v>
          </cell>
          <cell r="H11">
            <v>1176.6944444444446</v>
          </cell>
          <cell r="I11">
            <v>1176.6944444444446</v>
          </cell>
        </row>
        <row r="12">
          <cell r="A12" t="str">
            <v>Apio</v>
          </cell>
          <cell r="B12" t="str">
            <v>Kilogramo</v>
          </cell>
          <cell r="C12">
            <v>800</v>
          </cell>
          <cell r="D12">
            <v>0</v>
          </cell>
          <cell r="E12">
            <v>0</v>
          </cell>
          <cell r="F12">
            <v>0</v>
          </cell>
          <cell r="G12">
            <v>0</v>
          </cell>
          <cell r="H12">
            <v>800</v>
          </cell>
          <cell r="I12">
            <v>0.8</v>
          </cell>
        </row>
        <row r="13">
          <cell r="A13" t="str">
            <v>Arepa de chocolo</v>
          </cell>
          <cell r="B13" t="str">
            <v>Gramos</v>
          </cell>
          <cell r="C13">
            <v>0</v>
          </cell>
          <cell r="D13">
            <v>2450</v>
          </cell>
          <cell r="E13">
            <v>2143</v>
          </cell>
          <cell r="F13">
            <v>3403.3333333333335</v>
          </cell>
          <cell r="G13">
            <v>1753.3333333333333</v>
          </cell>
          <cell r="H13">
            <v>2437.416666666667</v>
          </cell>
          <cell r="I13">
            <v>8.1247222222222231</v>
          </cell>
        </row>
        <row r="14">
          <cell r="A14" t="str">
            <v>Arepa redonda</v>
          </cell>
          <cell r="B14" t="str">
            <v>Gramos</v>
          </cell>
          <cell r="C14">
            <v>0</v>
          </cell>
          <cell r="D14">
            <v>1756.6666666666667</v>
          </cell>
          <cell r="E14">
            <v>1870</v>
          </cell>
          <cell r="F14">
            <v>1560</v>
          </cell>
          <cell r="G14">
            <v>1500</v>
          </cell>
          <cell r="H14">
            <v>1671.6666666666667</v>
          </cell>
          <cell r="I14">
            <v>4.1791666666666671</v>
          </cell>
        </row>
        <row r="15">
          <cell r="A15" t="str">
            <v>Arepa tela</v>
          </cell>
          <cell r="B15" t="str">
            <v>Gramos</v>
          </cell>
          <cell r="C15">
            <v>0</v>
          </cell>
          <cell r="D15">
            <v>2890.3333333333335</v>
          </cell>
          <cell r="E15">
            <v>2852</v>
          </cell>
          <cell r="F15">
            <v>0</v>
          </cell>
          <cell r="G15">
            <v>2810</v>
          </cell>
          <cell r="H15">
            <v>2850.7777777777778</v>
          </cell>
          <cell r="I15">
            <v>4.0725396825396825</v>
          </cell>
        </row>
        <row r="16">
          <cell r="A16" t="str">
            <v>Arequipe</v>
          </cell>
          <cell r="B16" t="str">
            <v>Gramos</v>
          </cell>
          <cell r="C16">
            <v>0</v>
          </cell>
          <cell r="D16">
            <v>3260</v>
          </cell>
          <cell r="E16">
            <v>3088.3333333333335</v>
          </cell>
          <cell r="F16">
            <v>2990</v>
          </cell>
          <cell r="G16">
            <v>2715</v>
          </cell>
          <cell r="H16">
            <v>3013.3333333333335</v>
          </cell>
          <cell r="I16">
            <v>12.053333333333335</v>
          </cell>
        </row>
        <row r="17">
          <cell r="A17" t="str">
            <v>Arracacha</v>
          </cell>
          <cell r="B17" t="str">
            <v>Kilogramo</v>
          </cell>
          <cell r="C17">
            <v>0</v>
          </cell>
          <cell r="D17">
            <v>2570</v>
          </cell>
          <cell r="E17">
            <v>4000</v>
          </cell>
          <cell r="F17">
            <v>1880</v>
          </cell>
          <cell r="G17">
            <v>0</v>
          </cell>
          <cell r="H17">
            <v>2816.6666666666665</v>
          </cell>
          <cell r="I17">
            <v>2.8166666666666664</v>
          </cell>
        </row>
        <row r="18">
          <cell r="A18" t="str">
            <v>Arroz</v>
          </cell>
          <cell r="B18" t="str">
            <v>Kilogramo</v>
          </cell>
          <cell r="C18">
            <v>0</v>
          </cell>
          <cell r="D18">
            <v>2763.3333333333335</v>
          </cell>
          <cell r="E18">
            <v>3006.6666666666665</v>
          </cell>
          <cell r="F18">
            <v>3480</v>
          </cell>
          <cell r="G18">
            <v>2383.3333333333335</v>
          </cell>
          <cell r="H18">
            <v>2908.3333333333335</v>
          </cell>
          <cell r="I18">
            <v>2.9083333333333337</v>
          </cell>
        </row>
        <row r="19">
          <cell r="A19" t="str">
            <v>Arveja seca</v>
          </cell>
          <cell r="B19" t="str">
            <v>Kilogramo</v>
          </cell>
          <cell r="C19">
            <v>0</v>
          </cell>
          <cell r="D19">
            <v>1020</v>
          </cell>
          <cell r="E19">
            <v>2720</v>
          </cell>
          <cell r="F19">
            <v>2780</v>
          </cell>
          <cell r="G19">
            <v>2340</v>
          </cell>
          <cell r="H19">
            <v>2215</v>
          </cell>
          <cell r="I19">
            <v>2.2149999999999999</v>
          </cell>
        </row>
        <row r="20">
          <cell r="A20" t="str">
            <v>Arveja verde</v>
          </cell>
          <cell r="B20" t="str">
            <v>Kilogramo</v>
          </cell>
          <cell r="C20">
            <v>0</v>
          </cell>
          <cell r="D20">
            <v>5730</v>
          </cell>
          <cell r="E20">
            <v>0</v>
          </cell>
          <cell r="F20">
            <v>17500</v>
          </cell>
          <cell r="G20">
            <v>16300</v>
          </cell>
          <cell r="H20">
            <v>13176.666666666666</v>
          </cell>
          <cell r="I20">
            <v>13.176666666666666</v>
          </cell>
        </row>
        <row r="21">
          <cell r="A21" t="str">
            <v>Atún en aceite</v>
          </cell>
          <cell r="B21" t="str">
            <v>Gramos</v>
          </cell>
          <cell r="C21">
            <v>0</v>
          </cell>
          <cell r="D21">
            <v>3346.6666666666665</v>
          </cell>
          <cell r="E21">
            <v>3491.3333333333335</v>
          </cell>
          <cell r="F21">
            <v>3085</v>
          </cell>
          <cell r="G21">
            <v>3221.6666666666665</v>
          </cell>
          <cell r="H21">
            <v>3286.1666666666665</v>
          </cell>
          <cell r="I21">
            <v>17.859601449275363</v>
          </cell>
        </row>
        <row r="22">
          <cell r="A22" t="str">
            <v>Avena comercial</v>
          </cell>
          <cell r="B22" t="str">
            <v>Cm3</v>
          </cell>
          <cell r="C22">
            <v>0</v>
          </cell>
          <cell r="D22">
            <v>1015</v>
          </cell>
          <cell r="E22">
            <v>0</v>
          </cell>
          <cell r="F22">
            <v>873.33333333333337</v>
          </cell>
          <cell r="G22">
            <v>853.33333333333337</v>
          </cell>
          <cell r="H22">
            <v>913.88888888888903</v>
          </cell>
          <cell r="I22">
            <v>4.5694444444444455</v>
          </cell>
        </row>
        <row r="23">
          <cell r="A23" t="str">
            <v>Avena en hojuelas</v>
          </cell>
          <cell r="B23" t="str">
            <v>Gramos</v>
          </cell>
          <cell r="C23">
            <v>0</v>
          </cell>
          <cell r="D23">
            <v>2109.3333333333335</v>
          </cell>
          <cell r="E23">
            <v>2555.3333333333335</v>
          </cell>
          <cell r="F23">
            <v>1390</v>
          </cell>
          <cell r="G23">
            <v>1834.0740740740741</v>
          </cell>
          <cell r="H23">
            <v>1972.1851851851852</v>
          </cell>
          <cell r="I23">
            <v>7.8887407407407411</v>
          </cell>
        </row>
        <row r="24">
          <cell r="A24" t="str">
            <v>Avena en polvo</v>
          </cell>
          <cell r="B24" t="str">
            <v>Gramos</v>
          </cell>
          <cell r="C24">
            <v>0</v>
          </cell>
          <cell r="D24">
            <v>2424</v>
          </cell>
          <cell r="E24">
            <v>2895</v>
          </cell>
          <cell r="F24">
            <v>2741.1428571428573</v>
          </cell>
          <cell r="G24">
            <v>4616.666666666667</v>
          </cell>
          <cell r="H24">
            <v>3169.2023809523807</v>
          </cell>
          <cell r="I24">
            <v>10.564007936507936</v>
          </cell>
        </row>
        <row r="25">
          <cell r="A25" t="str">
            <v>Azúcar</v>
          </cell>
          <cell r="B25" t="str">
            <v>Gramos</v>
          </cell>
          <cell r="C25">
            <v>0</v>
          </cell>
          <cell r="D25">
            <v>2116.6666666666665</v>
          </cell>
          <cell r="E25">
            <v>2596.6666666666665</v>
          </cell>
          <cell r="F25">
            <v>2240</v>
          </cell>
          <cell r="G25">
            <v>2110</v>
          </cell>
          <cell r="H25">
            <v>2265.833333333333</v>
          </cell>
          <cell r="I25">
            <v>2.2658333333333331</v>
          </cell>
        </row>
        <row r="26">
          <cell r="A26" t="str">
            <v>Banano</v>
          </cell>
          <cell r="B26" t="str">
            <v>Kilogramo</v>
          </cell>
          <cell r="C26">
            <v>0</v>
          </cell>
          <cell r="D26">
            <v>1220</v>
          </cell>
          <cell r="E26">
            <v>1350</v>
          </cell>
          <cell r="F26">
            <v>1190</v>
          </cell>
          <cell r="G26">
            <v>1230</v>
          </cell>
          <cell r="H26">
            <v>1247.5</v>
          </cell>
          <cell r="I26">
            <v>1.2475000000000001</v>
          </cell>
        </row>
        <row r="27">
          <cell r="A27" t="str">
            <v>Barquillo</v>
          </cell>
          <cell r="B27" t="str">
            <v>Gramos</v>
          </cell>
          <cell r="C27">
            <v>0</v>
          </cell>
          <cell r="D27">
            <v>1260</v>
          </cell>
          <cell r="E27">
            <v>1165</v>
          </cell>
          <cell r="F27">
            <v>0</v>
          </cell>
          <cell r="G27">
            <v>666.9473684210526</v>
          </cell>
          <cell r="H27">
            <v>1030.6491228070174</v>
          </cell>
          <cell r="I27">
            <v>23.423843700159487</v>
          </cell>
        </row>
        <row r="28">
          <cell r="A28" t="str">
            <v>Bizcochuelo</v>
          </cell>
          <cell r="B28" t="str">
            <v>Gramos</v>
          </cell>
          <cell r="C28">
            <v>0</v>
          </cell>
          <cell r="D28">
            <v>2324.5</v>
          </cell>
          <cell r="E28">
            <v>2411.3333333333335</v>
          </cell>
          <cell r="F28">
            <v>0</v>
          </cell>
          <cell r="G28">
            <v>2411.4761904761895</v>
          </cell>
          <cell r="H28">
            <v>2382.4365079365075</v>
          </cell>
          <cell r="I28">
            <v>28.028664799253029</v>
          </cell>
        </row>
        <row r="29">
          <cell r="A29" t="str">
            <v>Blanquillo</v>
          </cell>
          <cell r="B29" t="str">
            <v>Kilogramo</v>
          </cell>
          <cell r="C29">
            <v>0</v>
          </cell>
          <cell r="D29">
            <v>3980</v>
          </cell>
          <cell r="E29">
            <v>4365</v>
          </cell>
          <cell r="F29">
            <v>4000</v>
          </cell>
          <cell r="G29">
            <v>3910</v>
          </cell>
          <cell r="H29">
            <v>4063.75</v>
          </cell>
          <cell r="I29">
            <v>4.0637499999999998</v>
          </cell>
        </row>
        <row r="30">
          <cell r="A30" t="str">
            <v>Bocadillo</v>
          </cell>
          <cell r="B30" t="str">
            <v>Gramos</v>
          </cell>
          <cell r="C30">
            <v>0</v>
          </cell>
          <cell r="D30">
            <v>4522.333333333333</v>
          </cell>
          <cell r="E30">
            <v>3013.3333333333335</v>
          </cell>
          <cell r="F30">
            <v>2635</v>
          </cell>
          <cell r="G30">
            <v>2609</v>
          </cell>
          <cell r="H30">
            <v>3194.9166666666665</v>
          </cell>
          <cell r="I30">
            <v>6.3898333333333328</v>
          </cell>
        </row>
        <row r="31">
          <cell r="A31" t="str">
            <v>Bacado de pescado</v>
          </cell>
          <cell r="B31">
            <v>0</v>
          </cell>
          <cell r="C31">
            <v>0</v>
          </cell>
          <cell r="D31">
            <v>0</v>
          </cell>
          <cell r="E31">
            <v>0</v>
          </cell>
          <cell r="F31">
            <v>0</v>
          </cell>
          <cell r="G31">
            <v>0</v>
          </cell>
          <cell r="H31">
            <v>0</v>
          </cell>
          <cell r="I31">
            <v>0</v>
          </cell>
        </row>
        <row r="32">
          <cell r="A32" t="str">
            <v>Brócoli</v>
          </cell>
          <cell r="B32" t="str">
            <v>Kilogramo</v>
          </cell>
          <cell r="C32">
            <v>0</v>
          </cell>
          <cell r="D32">
            <v>3830</v>
          </cell>
          <cell r="E32">
            <v>3750</v>
          </cell>
          <cell r="F32">
            <v>2500</v>
          </cell>
          <cell r="G32">
            <v>2340</v>
          </cell>
          <cell r="H32">
            <v>3105</v>
          </cell>
          <cell r="I32">
            <v>3.105</v>
          </cell>
        </row>
        <row r="33">
          <cell r="A33" t="str">
            <v>Buñuelo</v>
          </cell>
          <cell r="B33" t="str">
            <v>unidades</v>
          </cell>
          <cell r="C33">
            <v>0</v>
          </cell>
          <cell r="D33">
            <v>0</v>
          </cell>
          <cell r="E33">
            <v>0</v>
          </cell>
          <cell r="F33">
            <v>0</v>
          </cell>
          <cell r="G33">
            <v>0</v>
          </cell>
          <cell r="H33">
            <v>0</v>
          </cell>
          <cell r="I33">
            <v>0</v>
          </cell>
        </row>
        <row r="34">
          <cell r="A34" t="str">
            <v xml:space="preserve">Café granulado </v>
          </cell>
          <cell r="B34" t="str">
            <v>Gramos</v>
          </cell>
          <cell r="C34">
            <v>0</v>
          </cell>
          <cell r="D34">
            <v>10303.333333333334</v>
          </cell>
          <cell r="E34">
            <v>10470</v>
          </cell>
          <cell r="F34">
            <v>10260</v>
          </cell>
          <cell r="G34">
            <v>10530</v>
          </cell>
          <cell r="H34">
            <v>10390.833333333334</v>
          </cell>
          <cell r="I34">
            <v>61.122549019607845</v>
          </cell>
        </row>
        <row r="35">
          <cell r="A35" t="str">
            <v>Caladitos</v>
          </cell>
          <cell r="B35" t="str">
            <v>Gramos</v>
          </cell>
          <cell r="C35">
            <v>0</v>
          </cell>
          <cell r="D35">
            <v>2820</v>
          </cell>
          <cell r="E35">
            <v>2770</v>
          </cell>
          <cell r="F35">
            <v>2015.2083333333335</v>
          </cell>
          <cell r="G35">
            <v>3130</v>
          </cell>
          <cell r="H35">
            <v>2683.8020833333335</v>
          </cell>
          <cell r="I35">
            <v>15.787071078431373</v>
          </cell>
        </row>
        <row r="36">
          <cell r="A36" t="str">
            <v>Caldo concentrado</v>
          </cell>
          <cell r="B36" t="str">
            <v>unidades</v>
          </cell>
          <cell r="C36">
            <v>0</v>
          </cell>
          <cell r="D36">
            <v>2003.3333333333333</v>
          </cell>
          <cell r="E36">
            <v>2159</v>
          </cell>
          <cell r="F36">
            <v>0</v>
          </cell>
          <cell r="G36">
            <v>1773.3333333333333</v>
          </cell>
          <cell r="H36">
            <v>1978.5555555555554</v>
          </cell>
          <cell r="I36">
            <v>247.31944444444443</v>
          </cell>
        </row>
        <row r="37">
          <cell r="A37" t="str">
            <v>Canela en polvo</v>
          </cell>
          <cell r="B37" t="str">
            <v>Gramos</v>
          </cell>
          <cell r="C37">
            <v>0</v>
          </cell>
          <cell r="D37">
            <v>3260</v>
          </cell>
          <cell r="E37">
            <v>1980.6666666666667</v>
          </cell>
          <cell r="F37">
            <v>2035</v>
          </cell>
          <cell r="G37">
            <v>2003.3333333333333</v>
          </cell>
          <cell r="H37">
            <v>2319.75</v>
          </cell>
          <cell r="I37">
            <v>46.395000000000003</v>
          </cell>
        </row>
        <row r="38">
          <cell r="A38" t="str">
            <v>Carne de hamburguesa</v>
          </cell>
          <cell r="B38" t="str">
            <v>Gramos</v>
          </cell>
          <cell r="C38">
            <v>0</v>
          </cell>
          <cell r="D38">
            <v>12280</v>
          </cell>
          <cell r="E38">
            <v>6605</v>
          </cell>
          <cell r="F38">
            <v>7795</v>
          </cell>
          <cell r="G38">
            <v>5180</v>
          </cell>
          <cell r="H38">
            <v>7965</v>
          </cell>
          <cell r="I38">
            <v>19.912500000000001</v>
          </cell>
        </row>
        <row r="39">
          <cell r="A39" t="str">
            <v>Carne de res 1ra</v>
          </cell>
          <cell r="B39" t="str">
            <v>Kilogramo</v>
          </cell>
          <cell r="C39">
            <v>13151</v>
          </cell>
          <cell r="D39">
            <v>0</v>
          </cell>
          <cell r="E39">
            <v>0</v>
          </cell>
          <cell r="F39">
            <v>0</v>
          </cell>
          <cell r="G39">
            <v>0</v>
          </cell>
          <cell r="H39">
            <v>13151</v>
          </cell>
          <cell r="I39">
            <v>13.151</v>
          </cell>
        </row>
        <row r="40">
          <cell r="A40" t="str">
            <v>Carne de res 2da</v>
          </cell>
          <cell r="B40" t="str">
            <v>Kilogramo</v>
          </cell>
          <cell r="C40">
            <v>11670</v>
          </cell>
          <cell r="D40">
            <v>0</v>
          </cell>
          <cell r="E40">
            <v>0</v>
          </cell>
          <cell r="F40">
            <v>0</v>
          </cell>
          <cell r="G40">
            <v>0</v>
          </cell>
          <cell r="H40">
            <v>11670</v>
          </cell>
          <cell r="I40">
            <v>11.67</v>
          </cell>
        </row>
        <row r="41">
          <cell r="A41" t="str">
            <v>Carne molida</v>
          </cell>
          <cell r="B41" t="str">
            <v>Kilogramo</v>
          </cell>
          <cell r="C41">
            <v>11670</v>
          </cell>
          <cell r="D41">
            <v>0</v>
          </cell>
          <cell r="E41">
            <v>0</v>
          </cell>
          <cell r="F41">
            <v>0</v>
          </cell>
          <cell r="G41">
            <v>0</v>
          </cell>
          <cell r="H41">
            <v>11670</v>
          </cell>
          <cell r="I41">
            <v>11.67</v>
          </cell>
        </row>
        <row r="42">
          <cell r="A42" t="str">
            <v>Cebolla de huevo</v>
          </cell>
          <cell r="B42" t="str">
            <v>Kilogramo</v>
          </cell>
          <cell r="C42">
            <v>0</v>
          </cell>
          <cell r="D42">
            <v>2707</v>
          </cell>
          <cell r="E42">
            <v>2000</v>
          </cell>
          <cell r="F42">
            <v>2850</v>
          </cell>
          <cell r="G42">
            <v>2220</v>
          </cell>
          <cell r="H42">
            <v>2444.25</v>
          </cell>
          <cell r="I42">
            <v>2.4442499999999998</v>
          </cell>
        </row>
        <row r="43">
          <cell r="A43" t="str">
            <v>Cebolla de rama</v>
          </cell>
          <cell r="B43" t="str">
            <v>Kilogramo</v>
          </cell>
          <cell r="C43">
            <v>0</v>
          </cell>
          <cell r="D43">
            <v>2380</v>
          </cell>
          <cell r="E43">
            <v>1175</v>
          </cell>
          <cell r="F43">
            <v>3500</v>
          </cell>
          <cell r="G43">
            <v>1980</v>
          </cell>
          <cell r="H43">
            <v>2258.75</v>
          </cell>
          <cell r="I43">
            <v>2.25875</v>
          </cell>
        </row>
        <row r="44">
          <cell r="A44" t="str">
            <v>Cebolla junca</v>
          </cell>
          <cell r="B44" t="str">
            <v>Kilogramo</v>
          </cell>
          <cell r="C44">
            <v>0</v>
          </cell>
          <cell r="D44">
            <v>2540</v>
          </cell>
          <cell r="E44">
            <v>3000</v>
          </cell>
          <cell r="F44">
            <v>2640</v>
          </cell>
          <cell r="G44">
            <v>1980</v>
          </cell>
          <cell r="H44">
            <v>2540</v>
          </cell>
          <cell r="I44">
            <v>2.54</v>
          </cell>
        </row>
        <row r="45">
          <cell r="A45" t="str">
            <v>Choco krispis</v>
          </cell>
          <cell r="B45" t="str">
            <v>Gramos</v>
          </cell>
          <cell r="C45">
            <v>0</v>
          </cell>
          <cell r="D45">
            <v>7820</v>
          </cell>
          <cell r="E45">
            <v>9210</v>
          </cell>
          <cell r="F45">
            <v>6308.5714285714294</v>
          </cell>
          <cell r="G45">
            <v>8010</v>
          </cell>
          <cell r="H45">
            <v>7837.1428571428569</v>
          </cell>
          <cell r="I45">
            <v>24.491071428571427</v>
          </cell>
        </row>
        <row r="46">
          <cell r="A46" t="str">
            <v>Chocolate pastilla</v>
          </cell>
          <cell r="B46" t="str">
            <v>Gramos</v>
          </cell>
          <cell r="C46">
            <v>0</v>
          </cell>
          <cell r="D46">
            <v>2445</v>
          </cell>
          <cell r="E46">
            <v>2698.3333333333335</v>
          </cell>
          <cell r="F46">
            <v>2450</v>
          </cell>
          <cell r="G46">
            <v>2380</v>
          </cell>
          <cell r="H46">
            <v>2493.3333333333335</v>
          </cell>
          <cell r="I46">
            <v>19.946666666666669</v>
          </cell>
        </row>
        <row r="47">
          <cell r="A47" t="str">
            <v>Chocolatina jet</v>
          </cell>
          <cell r="B47" t="str">
            <v>Gramos</v>
          </cell>
          <cell r="C47">
            <v>0</v>
          </cell>
          <cell r="D47">
            <v>3390</v>
          </cell>
          <cell r="E47">
            <v>3620</v>
          </cell>
          <cell r="F47">
            <v>4090</v>
          </cell>
          <cell r="G47">
            <v>3150</v>
          </cell>
          <cell r="H47">
            <v>3562.5</v>
          </cell>
          <cell r="I47">
            <v>29.6875</v>
          </cell>
        </row>
        <row r="48">
          <cell r="A48" t="str">
            <v>Chocolisto</v>
          </cell>
          <cell r="B48" t="str">
            <v>Gramos</v>
          </cell>
          <cell r="C48">
            <v>0</v>
          </cell>
          <cell r="D48">
            <v>2245</v>
          </cell>
          <cell r="E48">
            <v>3150</v>
          </cell>
          <cell r="F48">
            <v>2940</v>
          </cell>
          <cell r="G48">
            <v>2870</v>
          </cell>
          <cell r="H48">
            <v>2801.25</v>
          </cell>
          <cell r="I48">
            <v>14.00625</v>
          </cell>
        </row>
        <row r="49">
          <cell r="A49" t="str">
            <v>Chupeta</v>
          </cell>
          <cell r="B49" t="str">
            <v>Gramos</v>
          </cell>
          <cell r="C49">
            <v>0</v>
          </cell>
          <cell r="D49">
            <v>2091.5</v>
          </cell>
          <cell r="E49">
            <v>1245</v>
          </cell>
          <cell r="F49">
            <v>1384</v>
          </cell>
          <cell r="G49">
            <v>1340</v>
          </cell>
          <cell r="H49">
            <v>1515.125</v>
          </cell>
          <cell r="I49">
            <v>8.4173611111111111</v>
          </cell>
        </row>
        <row r="50">
          <cell r="A50" t="str">
            <v>Cilantro</v>
          </cell>
          <cell r="B50" t="str">
            <v>Gramos</v>
          </cell>
          <cell r="C50">
            <v>0</v>
          </cell>
          <cell r="D50">
            <v>530</v>
          </cell>
          <cell r="E50">
            <v>1200</v>
          </cell>
          <cell r="F50">
            <v>2900</v>
          </cell>
          <cell r="G50">
            <v>867.39130434782612</v>
          </cell>
          <cell r="H50">
            <v>1374.3478260869565</v>
          </cell>
          <cell r="I50">
            <v>13.743478260869566</v>
          </cell>
        </row>
        <row r="51">
          <cell r="A51" t="str">
            <v>Cocoa</v>
          </cell>
          <cell r="B51" t="str">
            <v>Gramos</v>
          </cell>
          <cell r="C51">
            <v>0</v>
          </cell>
          <cell r="D51">
            <v>2199</v>
          </cell>
          <cell r="E51">
            <v>2080</v>
          </cell>
          <cell r="F51">
            <v>2262.5</v>
          </cell>
          <cell r="G51">
            <v>2294</v>
          </cell>
          <cell r="H51">
            <v>2208.875</v>
          </cell>
          <cell r="I51">
            <v>17.670999999999999</v>
          </cell>
        </row>
        <row r="52">
          <cell r="A52" t="str">
            <v>Coliflor</v>
          </cell>
          <cell r="B52" t="str">
            <v>Kilogramo</v>
          </cell>
          <cell r="C52">
            <v>0</v>
          </cell>
          <cell r="D52">
            <v>3430</v>
          </cell>
          <cell r="E52">
            <v>3750</v>
          </cell>
          <cell r="F52">
            <v>3500</v>
          </cell>
          <cell r="G52">
            <v>5138</v>
          </cell>
          <cell r="H52">
            <v>3954.5</v>
          </cell>
          <cell r="I52">
            <v>3.9544999999999999</v>
          </cell>
        </row>
        <row r="53">
          <cell r="A53" t="str">
            <v>Color</v>
          </cell>
          <cell r="B53" t="str">
            <v>Gramos</v>
          </cell>
          <cell r="C53">
            <v>0</v>
          </cell>
          <cell r="D53">
            <v>1797</v>
          </cell>
          <cell r="E53">
            <v>1197.5</v>
          </cell>
          <cell r="F53">
            <v>2084.4155844155844</v>
          </cell>
          <cell r="G53">
            <v>1658.3333333333333</v>
          </cell>
          <cell r="H53">
            <v>1684.3122294372295</v>
          </cell>
          <cell r="I53">
            <v>13.474497835497836</v>
          </cell>
        </row>
        <row r="54">
          <cell r="A54" t="str">
            <v>Contramuslo</v>
          </cell>
          <cell r="B54" t="str">
            <v>Kilogramo</v>
          </cell>
          <cell r="C54">
            <v>0</v>
          </cell>
          <cell r="D54">
            <v>7548</v>
          </cell>
          <cell r="E54">
            <v>8700</v>
          </cell>
          <cell r="F54">
            <v>9320</v>
          </cell>
          <cell r="G54">
            <v>8453.7037037037026</v>
          </cell>
          <cell r="H54">
            <v>8505.4259259259252</v>
          </cell>
          <cell r="I54">
            <v>8.5054259259259251</v>
          </cell>
        </row>
        <row r="55">
          <cell r="A55" t="str">
            <v>Crema de leche</v>
          </cell>
          <cell r="B55" t="str">
            <v>Gramos</v>
          </cell>
          <cell r="C55">
            <v>0</v>
          </cell>
          <cell r="D55">
            <v>2524.3333333333335</v>
          </cell>
          <cell r="E55">
            <v>2072</v>
          </cell>
          <cell r="F55">
            <v>1885</v>
          </cell>
          <cell r="G55">
            <v>1790</v>
          </cell>
          <cell r="H55">
            <v>2067.8333333333335</v>
          </cell>
          <cell r="I55">
            <v>10.339166666666667</v>
          </cell>
        </row>
        <row r="56">
          <cell r="A56" t="str">
            <v>Croassan</v>
          </cell>
          <cell r="B56" t="str">
            <v>Gramos</v>
          </cell>
          <cell r="C56">
            <v>0</v>
          </cell>
          <cell r="D56">
            <v>2920</v>
          </cell>
          <cell r="E56">
            <v>0</v>
          </cell>
          <cell r="F56">
            <v>2755</v>
          </cell>
          <cell r="G56">
            <v>3780</v>
          </cell>
          <cell r="H56">
            <v>3151.6666666666665</v>
          </cell>
          <cell r="I56">
            <v>13.131944444444445</v>
          </cell>
        </row>
        <row r="57">
          <cell r="A57" t="str">
            <v>Cuajada</v>
          </cell>
          <cell r="B57" t="str">
            <v>Gramos</v>
          </cell>
          <cell r="C57">
            <v>0</v>
          </cell>
          <cell r="D57">
            <v>5813.333333333333</v>
          </cell>
          <cell r="E57">
            <v>6106.666666666667</v>
          </cell>
          <cell r="F57">
            <v>4856.666666666667</v>
          </cell>
          <cell r="G57">
            <v>5345.666666666667</v>
          </cell>
          <cell r="H57">
            <v>5530.5833333333339</v>
          </cell>
          <cell r="I57">
            <v>11.061166666666669</v>
          </cell>
        </row>
        <row r="58">
          <cell r="A58" t="str">
            <v>Curuba</v>
          </cell>
          <cell r="B58" t="str">
            <v>Gramos</v>
          </cell>
          <cell r="C58">
            <v>0</v>
          </cell>
          <cell r="D58">
            <v>2930</v>
          </cell>
          <cell r="E58">
            <v>1675</v>
          </cell>
          <cell r="F58">
            <v>0</v>
          </cell>
          <cell r="G58">
            <v>2200</v>
          </cell>
          <cell r="H58">
            <v>2268.3333333333335</v>
          </cell>
          <cell r="I58">
            <v>2.2683333333333335</v>
          </cell>
        </row>
        <row r="59">
          <cell r="A59" t="str">
            <v>Esencia de vainilla</v>
          </cell>
          <cell r="B59" t="str">
            <v>Gramos</v>
          </cell>
          <cell r="C59">
            <v>0</v>
          </cell>
          <cell r="D59">
            <v>2245</v>
          </cell>
          <cell r="E59">
            <v>1349</v>
          </cell>
          <cell r="F59">
            <v>1390</v>
          </cell>
          <cell r="G59">
            <v>2015</v>
          </cell>
          <cell r="H59">
            <v>1749.75</v>
          </cell>
          <cell r="I59">
            <v>19.441666666666666</v>
          </cell>
        </row>
        <row r="60">
          <cell r="A60" t="str">
            <v>Espinaca</v>
          </cell>
          <cell r="B60" t="str">
            <v>Gramos</v>
          </cell>
          <cell r="C60">
            <v>0</v>
          </cell>
          <cell r="D60">
            <v>1700</v>
          </cell>
          <cell r="E60">
            <v>2000</v>
          </cell>
          <cell r="F60">
            <v>2900</v>
          </cell>
          <cell r="G60">
            <v>2900</v>
          </cell>
          <cell r="H60">
            <v>2375</v>
          </cell>
          <cell r="I60">
            <v>4.75</v>
          </cell>
        </row>
        <row r="61">
          <cell r="A61" t="str">
            <v>Fécula de maíz</v>
          </cell>
          <cell r="B61" t="str">
            <v>Gramos</v>
          </cell>
          <cell r="C61">
            <v>0</v>
          </cell>
          <cell r="D61">
            <v>4866</v>
          </cell>
          <cell r="E61">
            <v>5353</v>
          </cell>
          <cell r="F61">
            <v>4120</v>
          </cell>
          <cell r="G61">
            <v>4642.105263157895</v>
          </cell>
          <cell r="H61">
            <v>4745.2763157894733</v>
          </cell>
          <cell r="I61">
            <v>13.181323099415204</v>
          </cell>
        </row>
        <row r="62">
          <cell r="A62" t="str">
            <v>Filete de pescado</v>
          </cell>
          <cell r="B62" t="str">
            <v>Gramos</v>
          </cell>
          <cell r="C62">
            <v>0</v>
          </cell>
          <cell r="D62">
            <v>25944.333333333332</v>
          </cell>
          <cell r="E62">
            <v>17226.666666666668</v>
          </cell>
          <cell r="F62">
            <v>12720</v>
          </cell>
          <cell r="G62">
            <v>10080</v>
          </cell>
          <cell r="H62">
            <v>16492.75</v>
          </cell>
          <cell r="I62">
            <v>16.492750000000001</v>
          </cell>
        </row>
        <row r="63">
          <cell r="A63" t="str">
            <v>Fresa</v>
          </cell>
          <cell r="B63" t="str">
            <v>Kilogramo</v>
          </cell>
          <cell r="C63">
            <v>0</v>
          </cell>
          <cell r="D63">
            <v>9360</v>
          </cell>
          <cell r="E63">
            <v>5900</v>
          </cell>
          <cell r="F63">
            <v>4400</v>
          </cell>
          <cell r="G63">
            <v>2280</v>
          </cell>
          <cell r="H63">
            <v>5485</v>
          </cell>
          <cell r="I63">
            <v>5.4850000000000003</v>
          </cell>
        </row>
        <row r="64">
          <cell r="A64" t="str">
            <v>Frescavena</v>
          </cell>
          <cell r="B64" t="str">
            <v>Gramos</v>
          </cell>
          <cell r="C64">
            <v>0</v>
          </cell>
          <cell r="D64">
            <v>3616.5</v>
          </cell>
          <cell r="E64">
            <v>3795.5</v>
          </cell>
          <cell r="F64">
            <v>3570</v>
          </cell>
          <cell r="G64">
            <v>3490</v>
          </cell>
          <cell r="H64">
            <v>3618</v>
          </cell>
          <cell r="I64">
            <v>20.100000000000001</v>
          </cell>
        </row>
        <row r="65">
          <cell r="A65" t="str">
            <v>Frijol cargamanto blanco</v>
          </cell>
          <cell r="B65" t="str">
            <v>Kilogramo</v>
          </cell>
          <cell r="C65">
            <v>0</v>
          </cell>
          <cell r="D65">
            <v>5890</v>
          </cell>
          <cell r="E65">
            <v>5610</v>
          </cell>
          <cell r="F65">
            <v>6150</v>
          </cell>
          <cell r="G65">
            <v>6940</v>
          </cell>
          <cell r="H65">
            <v>6147.5</v>
          </cell>
          <cell r="I65">
            <v>6.1475</v>
          </cell>
        </row>
        <row r="66">
          <cell r="A66" t="str">
            <v xml:space="preserve">Frijol cargamanto </v>
          </cell>
          <cell r="B66" t="str">
            <v>Kilogramo</v>
          </cell>
          <cell r="C66">
            <v>0</v>
          </cell>
          <cell r="D66">
            <v>5920</v>
          </cell>
          <cell r="E66">
            <v>5520</v>
          </cell>
          <cell r="F66">
            <v>6650</v>
          </cell>
          <cell r="G66">
            <v>6670</v>
          </cell>
          <cell r="H66">
            <v>6190</v>
          </cell>
          <cell r="I66">
            <v>6.19</v>
          </cell>
        </row>
        <row r="67">
          <cell r="A67" t="str">
            <v>Frijol cargamanto rojo</v>
          </cell>
          <cell r="B67" t="str">
            <v>Kilogramo</v>
          </cell>
          <cell r="C67">
            <v>0</v>
          </cell>
          <cell r="D67">
            <v>5950</v>
          </cell>
          <cell r="E67">
            <v>5475</v>
          </cell>
          <cell r="F67">
            <v>7650</v>
          </cell>
          <cell r="G67">
            <v>6130</v>
          </cell>
          <cell r="H67">
            <v>6301.25</v>
          </cell>
          <cell r="I67">
            <v>6.3012499999999996</v>
          </cell>
        </row>
        <row r="68">
          <cell r="A68" t="str">
            <v>Frunas</v>
          </cell>
          <cell r="B68" t="str">
            <v>Gramos</v>
          </cell>
          <cell r="C68">
            <v>0</v>
          </cell>
          <cell r="D68">
            <v>6170</v>
          </cell>
          <cell r="E68">
            <v>0</v>
          </cell>
          <cell r="F68">
            <v>6266.666666666667</v>
          </cell>
          <cell r="G68">
            <v>0</v>
          </cell>
          <cell r="H68">
            <v>6218.3333333333339</v>
          </cell>
          <cell r="I68">
            <v>11.777146464646465</v>
          </cell>
        </row>
        <row r="69">
          <cell r="A69" t="str">
            <v>Gala</v>
          </cell>
          <cell r="B69" t="str">
            <v>Gramos</v>
          </cell>
          <cell r="C69">
            <v>0</v>
          </cell>
          <cell r="D69">
            <v>4050</v>
          </cell>
          <cell r="E69">
            <v>3320</v>
          </cell>
          <cell r="F69">
            <v>3610</v>
          </cell>
          <cell r="G69">
            <v>3570</v>
          </cell>
          <cell r="H69">
            <v>3637.5</v>
          </cell>
          <cell r="I69">
            <v>8.5588235294117645</v>
          </cell>
        </row>
        <row r="70">
          <cell r="A70" t="str">
            <v>Galleta cuca</v>
          </cell>
          <cell r="B70" t="str">
            <v>Gramos</v>
          </cell>
          <cell r="C70">
            <v>0</v>
          </cell>
          <cell r="D70">
            <v>0</v>
          </cell>
          <cell r="E70">
            <v>4771</v>
          </cell>
          <cell r="F70">
            <v>2766.3428571428567</v>
          </cell>
          <cell r="G70">
            <v>3467.5</v>
          </cell>
          <cell r="H70">
            <v>3668.2809523809519</v>
          </cell>
          <cell r="I70">
            <v>9.2633357383357371</v>
          </cell>
        </row>
        <row r="71">
          <cell r="A71" t="str">
            <v>Galleta de soda</v>
          </cell>
          <cell r="B71" t="str">
            <v>Gramos</v>
          </cell>
          <cell r="C71">
            <v>0</v>
          </cell>
          <cell r="D71">
            <v>2290</v>
          </cell>
          <cell r="E71">
            <v>2560</v>
          </cell>
          <cell r="F71">
            <v>2590</v>
          </cell>
          <cell r="G71">
            <v>1829.1666666666665</v>
          </cell>
          <cell r="H71">
            <v>2317.2916666666665</v>
          </cell>
          <cell r="I71">
            <v>11.034722222222221</v>
          </cell>
        </row>
        <row r="72">
          <cell r="A72" t="str">
            <v>Galleta ducales</v>
          </cell>
          <cell r="B72" t="str">
            <v>Gramos</v>
          </cell>
          <cell r="C72">
            <v>0</v>
          </cell>
          <cell r="D72">
            <v>3210</v>
          </cell>
          <cell r="E72">
            <v>3190</v>
          </cell>
          <cell r="F72">
            <v>3130</v>
          </cell>
          <cell r="G72">
            <v>3970</v>
          </cell>
          <cell r="H72">
            <v>3375</v>
          </cell>
          <cell r="I72">
            <v>10.817307692307692</v>
          </cell>
        </row>
        <row r="73">
          <cell r="A73" t="str">
            <v>Galleta Festival</v>
          </cell>
          <cell r="B73" t="str">
            <v>Gramos</v>
          </cell>
          <cell r="C73">
            <v>0</v>
          </cell>
          <cell r="D73">
            <v>4100</v>
          </cell>
          <cell r="E73">
            <v>4500</v>
          </cell>
          <cell r="F73">
            <v>3960</v>
          </cell>
          <cell r="G73">
            <v>3910</v>
          </cell>
          <cell r="H73">
            <v>4117.5</v>
          </cell>
          <cell r="I73">
            <v>9.9216867469879517</v>
          </cell>
        </row>
        <row r="74">
          <cell r="A74" t="str">
            <v>Galleta leche</v>
          </cell>
          <cell r="B74" t="str">
            <v>Gramos</v>
          </cell>
          <cell r="C74">
            <v>0</v>
          </cell>
          <cell r="D74">
            <v>2040</v>
          </cell>
          <cell r="E74">
            <v>0</v>
          </cell>
          <cell r="F74">
            <v>0</v>
          </cell>
          <cell r="G74">
            <v>2930</v>
          </cell>
          <cell r="H74">
            <v>2485</v>
          </cell>
          <cell r="I74">
            <v>9.8611111111111107</v>
          </cell>
        </row>
        <row r="75">
          <cell r="A75" t="str">
            <v>Galleta mantequilla</v>
          </cell>
          <cell r="B75" t="str">
            <v>Gramos</v>
          </cell>
          <cell r="C75">
            <v>0</v>
          </cell>
          <cell r="D75">
            <v>3677.6666666666665</v>
          </cell>
          <cell r="E75">
            <v>3705</v>
          </cell>
          <cell r="F75">
            <v>0</v>
          </cell>
          <cell r="G75">
            <v>3357.8747021875679</v>
          </cell>
          <cell r="H75">
            <v>3580.1804562847447</v>
          </cell>
          <cell r="I75">
            <v>9.2991700163240125</v>
          </cell>
        </row>
        <row r="76">
          <cell r="A76" t="str">
            <v>Galleta salada</v>
          </cell>
          <cell r="B76" t="str">
            <v>Gramos</v>
          </cell>
          <cell r="C76">
            <v>0</v>
          </cell>
          <cell r="D76">
            <v>2206</v>
          </cell>
          <cell r="E76">
            <v>2880</v>
          </cell>
          <cell r="F76">
            <v>2470</v>
          </cell>
          <cell r="G76">
            <v>2378.9473684210525</v>
          </cell>
          <cell r="H76">
            <v>2483.7368421052633</v>
          </cell>
          <cell r="I76">
            <v>7.8848788638262333</v>
          </cell>
        </row>
        <row r="77">
          <cell r="A77" t="str">
            <v>Galleta sandwich</v>
          </cell>
          <cell r="B77" t="str">
            <v>Gramos</v>
          </cell>
          <cell r="C77">
            <v>0</v>
          </cell>
          <cell r="D77">
            <v>3911.3333333333335</v>
          </cell>
          <cell r="E77">
            <v>4982</v>
          </cell>
          <cell r="F77">
            <v>3075</v>
          </cell>
          <cell r="G77">
            <v>4113.6591478696737</v>
          </cell>
          <cell r="H77">
            <v>4020.4981203007519</v>
          </cell>
          <cell r="I77">
            <v>9.3067086118072968</v>
          </cell>
        </row>
        <row r="78">
          <cell r="A78" t="str">
            <v>Galleta solterita</v>
          </cell>
          <cell r="B78" t="str">
            <v>Unidades</v>
          </cell>
          <cell r="C78">
            <v>0</v>
          </cell>
          <cell r="D78">
            <v>0</v>
          </cell>
          <cell r="E78">
            <v>0</v>
          </cell>
          <cell r="F78">
            <v>0</v>
          </cell>
          <cell r="G78">
            <v>0</v>
          </cell>
          <cell r="H78">
            <v>0</v>
          </cell>
          <cell r="I78">
            <v>0</v>
          </cell>
        </row>
        <row r="79">
          <cell r="A79" t="str">
            <v>Galleta sultana</v>
          </cell>
          <cell r="B79" t="str">
            <v>Gramos</v>
          </cell>
          <cell r="C79">
            <v>0</v>
          </cell>
          <cell r="D79">
            <v>2840</v>
          </cell>
          <cell r="E79">
            <v>2950</v>
          </cell>
          <cell r="F79">
            <v>2880</v>
          </cell>
          <cell r="G79">
            <v>2560</v>
          </cell>
          <cell r="H79">
            <v>2807.5</v>
          </cell>
          <cell r="I79">
            <v>12.761363636363637</v>
          </cell>
        </row>
        <row r="80">
          <cell r="A80" t="str">
            <v>Galleta wafer</v>
          </cell>
          <cell r="B80" t="str">
            <v>Gramos</v>
          </cell>
          <cell r="C80">
            <v>0</v>
          </cell>
          <cell r="D80">
            <v>1695.5</v>
          </cell>
          <cell r="E80">
            <v>4070</v>
          </cell>
          <cell r="F80">
            <v>1349.5918367346937</v>
          </cell>
          <cell r="G80">
            <v>1499</v>
          </cell>
          <cell r="H80">
            <v>2153.5229591836733</v>
          </cell>
          <cell r="I80">
            <v>12.667782112845137</v>
          </cell>
        </row>
        <row r="81">
          <cell r="A81" t="str">
            <v>Garbanzo</v>
          </cell>
          <cell r="B81" t="str">
            <v>Gramos</v>
          </cell>
          <cell r="C81">
            <v>0</v>
          </cell>
          <cell r="D81">
            <v>4135</v>
          </cell>
          <cell r="E81">
            <v>2850</v>
          </cell>
          <cell r="F81">
            <v>2220</v>
          </cell>
          <cell r="G81">
            <v>1930</v>
          </cell>
          <cell r="H81">
            <v>2783.75</v>
          </cell>
          <cell r="I81">
            <v>5.5674999999999999</v>
          </cell>
        </row>
        <row r="82">
          <cell r="A82" t="str">
            <v xml:space="preserve">Gelatina de pata </v>
          </cell>
          <cell r="B82" t="str">
            <v>Gramos</v>
          </cell>
          <cell r="C82">
            <v>0</v>
          </cell>
          <cell r="D82">
            <v>2550</v>
          </cell>
          <cell r="E82">
            <v>1685</v>
          </cell>
          <cell r="F82">
            <v>5583.3333333333339</v>
          </cell>
          <cell r="G82">
            <v>0</v>
          </cell>
          <cell r="H82">
            <v>3272.7777777777778</v>
          </cell>
          <cell r="I82">
            <v>8.1819444444444454</v>
          </cell>
        </row>
        <row r="83">
          <cell r="A83" t="str">
            <v>Gomitas</v>
          </cell>
          <cell r="B83" t="str">
            <v>Gramos</v>
          </cell>
          <cell r="C83">
            <v>0</v>
          </cell>
          <cell r="D83">
            <v>5956.333333333333</v>
          </cell>
          <cell r="E83">
            <v>4233</v>
          </cell>
          <cell r="F83">
            <v>4950</v>
          </cell>
          <cell r="G83">
            <v>12250</v>
          </cell>
          <cell r="H83">
            <v>6847.333333333333</v>
          </cell>
          <cell r="I83">
            <v>13.694666666666667</v>
          </cell>
        </row>
        <row r="84">
          <cell r="A84" t="str">
            <v>Granadilla</v>
          </cell>
          <cell r="B84" t="str">
            <v>Kilogramo</v>
          </cell>
          <cell r="C84">
            <v>0</v>
          </cell>
          <cell r="D84">
            <v>4590</v>
          </cell>
          <cell r="E84">
            <v>5400</v>
          </cell>
          <cell r="F84">
            <v>5100</v>
          </cell>
          <cell r="G84">
            <v>3780</v>
          </cell>
          <cell r="H84">
            <v>4717.5</v>
          </cell>
          <cell r="I84">
            <v>4.7175000000000002</v>
          </cell>
        </row>
        <row r="85">
          <cell r="A85" t="str">
            <v>Guanábana</v>
          </cell>
          <cell r="B85" t="str">
            <v>Kilogramo</v>
          </cell>
          <cell r="C85">
            <v>0</v>
          </cell>
          <cell r="D85">
            <v>2530</v>
          </cell>
          <cell r="E85">
            <v>4700</v>
          </cell>
          <cell r="F85">
            <v>2580</v>
          </cell>
          <cell r="G85">
            <v>2840</v>
          </cell>
          <cell r="H85">
            <v>3162.5</v>
          </cell>
          <cell r="I85">
            <v>3.1625000000000001</v>
          </cell>
        </row>
        <row r="86">
          <cell r="A86" t="str">
            <v>Guasca</v>
          </cell>
          <cell r="B86" t="str">
            <v>Kilogramo</v>
          </cell>
          <cell r="C86">
            <v>0</v>
          </cell>
          <cell r="D86">
            <v>3980</v>
          </cell>
          <cell r="E86">
            <v>1400</v>
          </cell>
          <cell r="F86">
            <v>2500</v>
          </cell>
          <cell r="G86">
            <v>2500</v>
          </cell>
          <cell r="H86">
            <v>2595</v>
          </cell>
          <cell r="I86">
            <v>2.5950000000000002</v>
          </cell>
        </row>
        <row r="87">
          <cell r="A87" t="str">
            <v>Guayaba común</v>
          </cell>
          <cell r="B87" t="str">
            <v>Kilogramo</v>
          </cell>
          <cell r="C87">
            <v>0</v>
          </cell>
          <cell r="D87">
            <v>1340</v>
          </cell>
          <cell r="E87">
            <v>1350</v>
          </cell>
          <cell r="F87">
            <v>0</v>
          </cell>
          <cell r="G87">
            <v>1200</v>
          </cell>
          <cell r="H87">
            <v>1296.6666666666667</v>
          </cell>
          <cell r="I87">
            <v>1.2966666666666666</v>
          </cell>
        </row>
        <row r="88">
          <cell r="A88" t="str">
            <v>Guineo</v>
          </cell>
          <cell r="B88" t="str">
            <v>Kilogramo</v>
          </cell>
          <cell r="C88">
            <v>0</v>
          </cell>
          <cell r="D88">
            <v>830</v>
          </cell>
          <cell r="E88">
            <v>700</v>
          </cell>
          <cell r="F88">
            <v>840</v>
          </cell>
          <cell r="G88">
            <v>1340</v>
          </cell>
          <cell r="H88">
            <v>927.5</v>
          </cell>
          <cell r="I88">
            <v>0.92749999999999999</v>
          </cell>
        </row>
        <row r="89">
          <cell r="A89" t="str">
            <v>Habichuela</v>
          </cell>
          <cell r="B89" t="str">
            <v>Kilogramo</v>
          </cell>
          <cell r="C89">
            <v>0</v>
          </cell>
          <cell r="D89">
            <v>2289.3333333333335</v>
          </cell>
          <cell r="E89">
            <v>1750</v>
          </cell>
          <cell r="F89">
            <v>3600</v>
          </cell>
          <cell r="G89">
            <v>1860</v>
          </cell>
          <cell r="H89">
            <v>2374.8333333333335</v>
          </cell>
          <cell r="I89">
            <v>2.3748333333333336</v>
          </cell>
        </row>
        <row r="90">
          <cell r="A90" t="str">
            <v>Harina de trigo</v>
          </cell>
          <cell r="B90" t="str">
            <v>Gramos</v>
          </cell>
          <cell r="C90">
            <v>0</v>
          </cell>
          <cell r="D90">
            <v>1174</v>
          </cell>
          <cell r="E90">
            <v>1345</v>
          </cell>
          <cell r="F90">
            <v>1000</v>
          </cell>
          <cell r="G90">
            <v>1170</v>
          </cell>
          <cell r="H90">
            <v>1172.25</v>
          </cell>
          <cell r="I90">
            <v>2.3445</v>
          </cell>
        </row>
        <row r="91">
          <cell r="A91" t="str">
            <v xml:space="preserve">Helado </v>
          </cell>
          <cell r="B91" t="str">
            <v>Gramos</v>
          </cell>
          <cell r="C91">
            <v>0</v>
          </cell>
          <cell r="D91">
            <v>1160</v>
          </cell>
          <cell r="E91">
            <v>0</v>
          </cell>
          <cell r="F91">
            <v>0</v>
          </cell>
          <cell r="G91">
            <v>0</v>
          </cell>
          <cell r="H91">
            <v>1160</v>
          </cell>
          <cell r="I91">
            <v>21.09090909090909</v>
          </cell>
        </row>
        <row r="92">
          <cell r="A92" t="str">
            <v>Hojuelas azucaradas</v>
          </cell>
          <cell r="B92" t="str">
            <v>Gramos</v>
          </cell>
          <cell r="C92">
            <v>0</v>
          </cell>
          <cell r="D92">
            <v>8310</v>
          </cell>
          <cell r="E92">
            <v>0</v>
          </cell>
          <cell r="F92">
            <v>9540</v>
          </cell>
          <cell r="G92">
            <v>4767</v>
          </cell>
          <cell r="H92">
            <v>7539</v>
          </cell>
          <cell r="I92">
            <v>17.95</v>
          </cell>
        </row>
        <row r="93">
          <cell r="A93" t="str">
            <v>Hojuelas de maiz</v>
          </cell>
          <cell r="B93" t="str">
            <v>Gramos</v>
          </cell>
          <cell r="C93">
            <v>0</v>
          </cell>
          <cell r="D93">
            <v>3180</v>
          </cell>
          <cell r="E93">
            <v>0</v>
          </cell>
          <cell r="F93">
            <v>0</v>
          </cell>
          <cell r="G93">
            <v>1984</v>
          </cell>
          <cell r="H93">
            <v>2582</v>
          </cell>
          <cell r="I93">
            <v>12.91</v>
          </cell>
        </row>
        <row r="94">
          <cell r="A94" t="str">
            <v>Huevo A</v>
          </cell>
          <cell r="B94" t="str">
            <v>Unidades</v>
          </cell>
          <cell r="C94">
            <v>0</v>
          </cell>
          <cell r="D94">
            <v>9820</v>
          </cell>
          <cell r="E94">
            <v>7950</v>
          </cell>
          <cell r="F94">
            <v>5600</v>
          </cell>
          <cell r="G94">
            <v>7755</v>
          </cell>
          <cell r="H94">
            <v>7781.25</v>
          </cell>
          <cell r="I94">
            <v>259.375</v>
          </cell>
        </row>
        <row r="95">
          <cell r="A95" t="str">
            <v>huevo AA</v>
          </cell>
          <cell r="B95" t="str">
            <v>Unidades</v>
          </cell>
          <cell r="C95">
            <v>0</v>
          </cell>
          <cell r="D95">
            <v>10643.333333333334</v>
          </cell>
          <cell r="E95">
            <v>8370</v>
          </cell>
          <cell r="F95">
            <v>12330</v>
          </cell>
          <cell r="G95">
            <v>10475</v>
          </cell>
          <cell r="H95">
            <v>10454.583333333334</v>
          </cell>
          <cell r="I95">
            <v>348.48611111111114</v>
          </cell>
        </row>
        <row r="96">
          <cell r="A96" t="str">
            <v>Jamón</v>
          </cell>
          <cell r="B96" t="str">
            <v>Gramos</v>
          </cell>
          <cell r="C96">
            <v>0</v>
          </cell>
          <cell r="D96">
            <v>8375</v>
          </cell>
          <cell r="E96">
            <v>8218.6666666666661</v>
          </cell>
          <cell r="F96">
            <v>6402.7777777777783</v>
          </cell>
          <cell r="G96">
            <v>6049.666666666667</v>
          </cell>
          <cell r="H96">
            <v>7261.5277777777774</v>
          </cell>
          <cell r="I96">
            <v>18.153819444444444</v>
          </cell>
        </row>
        <row r="97">
          <cell r="A97" t="str">
            <v xml:space="preserve">Kumis </v>
          </cell>
          <cell r="B97" t="str">
            <v>Cm3</v>
          </cell>
          <cell r="C97">
            <v>0</v>
          </cell>
          <cell r="D97">
            <v>3050</v>
          </cell>
          <cell r="E97">
            <v>4466.5</v>
          </cell>
          <cell r="F97">
            <v>1650</v>
          </cell>
          <cell r="G97">
            <v>3910</v>
          </cell>
          <cell r="H97">
            <v>3269.125</v>
          </cell>
          <cell r="I97">
            <v>16.345624999999998</v>
          </cell>
        </row>
        <row r="98">
          <cell r="A98" t="str">
            <v>leche chocolatada</v>
          </cell>
          <cell r="B98" t="str">
            <v>Cm3</v>
          </cell>
          <cell r="C98">
            <v>0</v>
          </cell>
          <cell r="D98">
            <v>1550</v>
          </cell>
          <cell r="E98">
            <v>1575</v>
          </cell>
          <cell r="F98">
            <v>1560</v>
          </cell>
          <cell r="G98">
            <v>1050</v>
          </cell>
          <cell r="H98">
            <v>1433.75</v>
          </cell>
          <cell r="I98">
            <v>7.1687500000000002</v>
          </cell>
        </row>
        <row r="99">
          <cell r="A99" t="str">
            <v>Leche condensada</v>
          </cell>
          <cell r="B99" t="str">
            <v>Gramos</v>
          </cell>
          <cell r="C99">
            <v>0</v>
          </cell>
          <cell r="D99">
            <v>5427.666666666667</v>
          </cell>
          <cell r="E99">
            <v>4778</v>
          </cell>
          <cell r="F99">
            <v>3990.9090909090905</v>
          </cell>
          <cell r="G99">
            <v>4343.333333333333</v>
          </cell>
          <cell r="H99">
            <v>4634.977272727273</v>
          </cell>
          <cell r="I99">
            <v>11.587443181818182</v>
          </cell>
        </row>
        <row r="100">
          <cell r="A100" t="str">
            <v>Leche en polvo</v>
          </cell>
          <cell r="B100" t="str">
            <v>Gramos</v>
          </cell>
          <cell r="C100">
            <v>0</v>
          </cell>
          <cell r="D100">
            <v>16966</v>
          </cell>
          <cell r="E100">
            <v>17171</v>
          </cell>
          <cell r="F100">
            <v>15436.111111111111</v>
          </cell>
          <cell r="G100">
            <v>13848.5</v>
          </cell>
          <cell r="H100">
            <v>15855.402777777777</v>
          </cell>
          <cell r="I100">
            <v>15.855402777777778</v>
          </cell>
        </row>
        <row r="101">
          <cell r="A101" t="str">
            <v>Leche líquida</v>
          </cell>
          <cell r="B101" t="str">
            <v>Cm3</v>
          </cell>
          <cell r="C101">
            <v>0</v>
          </cell>
          <cell r="D101">
            <v>2138.6666666666665</v>
          </cell>
          <cell r="E101">
            <v>2473.3333333333335</v>
          </cell>
          <cell r="F101">
            <v>1700</v>
          </cell>
          <cell r="G101">
            <v>1988.6666666666667</v>
          </cell>
          <cell r="H101">
            <v>2075.1666666666665</v>
          </cell>
          <cell r="I101">
            <v>2.0751666666666666</v>
          </cell>
        </row>
        <row r="102">
          <cell r="A102" t="str">
            <v>Leche saborizada</v>
          </cell>
          <cell r="B102" t="str">
            <v>Cm3</v>
          </cell>
          <cell r="C102">
            <v>0</v>
          </cell>
          <cell r="D102">
            <v>1051.5</v>
          </cell>
          <cell r="E102">
            <v>1444.5</v>
          </cell>
          <cell r="F102">
            <v>1230</v>
          </cell>
          <cell r="G102">
            <v>1226</v>
          </cell>
          <cell r="H102">
            <v>1238</v>
          </cell>
          <cell r="I102">
            <v>6.19</v>
          </cell>
        </row>
        <row r="103">
          <cell r="A103" t="str">
            <v>Lechuga</v>
          </cell>
          <cell r="B103" t="str">
            <v>Kilogramo</v>
          </cell>
          <cell r="C103">
            <v>0</v>
          </cell>
          <cell r="D103">
            <v>3200</v>
          </cell>
          <cell r="E103">
            <v>2400</v>
          </cell>
          <cell r="F103">
            <v>1660</v>
          </cell>
          <cell r="G103">
            <v>1690</v>
          </cell>
          <cell r="H103">
            <v>2237.5</v>
          </cell>
          <cell r="I103">
            <v>2.2374999999999998</v>
          </cell>
        </row>
        <row r="104">
          <cell r="A104" t="str">
            <v>Lengua dulce</v>
          </cell>
          <cell r="B104" t="str">
            <v>Unidades</v>
          </cell>
          <cell r="C104">
            <v>0</v>
          </cell>
          <cell r="D104">
            <v>324</v>
          </cell>
          <cell r="E104">
            <v>558</v>
          </cell>
          <cell r="F104">
            <v>0</v>
          </cell>
          <cell r="G104">
            <v>0</v>
          </cell>
          <cell r="H104">
            <v>441</v>
          </cell>
          <cell r="I104">
            <v>441</v>
          </cell>
        </row>
        <row r="105">
          <cell r="A105" t="str">
            <v>Lentejas</v>
          </cell>
          <cell r="B105" t="str">
            <v>Gramos</v>
          </cell>
          <cell r="C105">
            <v>0</v>
          </cell>
          <cell r="D105">
            <v>1315</v>
          </cell>
          <cell r="E105">
            <v>2100</v>
          </cell>
          <cell r="F105">
            <v>1753.3333333333333</v>
          </cell>
          <cell r="G105">
            <v>1470</v>
          </cell>
          <cell r="H105">
            <v>1659.5833333333333</v>
          </cell>
          <cell r="I105">
            <v>3.3191666666666664</v>
          </cell>
        </row>
        <row r="106">
          <cell r="A106" t="str">
            <v xml:space="preserve">Limón </v>
          </cell>
          <cell r="B106" t="str">
            <v>Kilogramo</v>
          </cell>
          <cell r="C106">
            <v>0</v>
          </cell>
          <cell r="D106">
            <v>2700</v>
          </cell>
          <cell r="E106">
            <v>1670</v>
          </cell>
          <cell r="F106">
            <v>1800</v>
          </cell>
          <cell r="G106">
            <v>2286.6666666666665</v>
          </cell>
          <cell r="H106">
            <v>2114.1666666666665</v>
          </cell>
          <cell r="I106">
            <v>2.1141666666666663</v>
          </cell>
        </row>
        <row r="107">
          <cell r="A107" t="str">
            <v>Lulo</v>
          </cell>
          <cell r="B107" t="str">
            <v>Kilogramo</v>
          </cell>
          <cell r="C107">
            <v>0</v>
          </cell>
          <cell r="D107">
            <v>3460</v>
          </cell>
          <cell r="E107">
            <v>2675</v>
          </cell>
          <cell r="F107">
            <v>2680</v>
          </cell>
          <cell r="G107">
            <v>2980</v>
          </cell>
          <cell r="H107">
            <v>2948.75</v>
          </cell>
          <cell r="I107">
            <v>2.94875</v>
          </cell>
        </row>
        <row r="108">
          <cell r="A108" t="str">
            <v>Maíz pira</v>
          </cell>
          <cell r="B108" t="str">
            <v>Kilogramo</v>
          </cell>
          <cell r="C108">
            <v>0</v>
          </cell>
          <cell r="D108">
            <v>2603.3333333333335</v>
          </cell>
          <cell r="E108">
            <v>3160</v>
          </cell>
          <cell r="F108">
            <v>2900</v>
          </cell>
          <cell r="G108">
            <v>1880</v>
          </cell>
          <cell r="H108">
            <v>2635.8333333333335</v>
          </cell>
          <cell r="I108">
            <v>2.6358333333333337</v>
          </cell>
        </row>
        <row r="109">
          <cell r="A109" t="str">
            <v>Maíz tierno</v>
          </cell>
          <cell r="B109" t="str">
            <v>Gramos</v>
          </cell>
          <cell r="C109">
            <v>0</v>
          </cell>
          <cell r="D109">
            <v>5971.333333333333</v>
          </cell>
          <cell r="E109">
            <v>6642</v>
          </cell>
          <cell r="F109">
            <v>5605.4901960784309</v>
          </cell>
          <cell r="G109">
            <v>5348.666666666667</v>
          </cell>
          <cell r="H109">
            <v>5891.8725490196075</v>
          </cell>
          <cell r="I109">
            <v>9.8197875816993463</v>
          </cell>
        </row>
        <row r="110">
          <cell r="A110" t="str">
            <v>Maíz trillado</v>
          </cell>
          <cell r="B110" t="str">
            <v>Kilogramo</v>
          </cell>
          <cell r="C110">
            <v>0</v>
          </cell>
          <cell r="D110">
            <v>1996</v>
          </cell>
          <cell r="E110">
            <v>2000</v>
          </cell>
          <cell r="F110">
            <v>0</v>
          </cell>
          <cell r="G110">
            <v>9870</v>
          </cell>
          <cell r="H110">
            <v>4622</v>
          </cell>
          <cell r="I110">
            <v>4.6219999999999999</v>
          </cell>
        </row>
        <row r="111">
          <cell r="A111" t="str">
            <v>Malteada en polvo</v>
          </cell>
          <cell r="B111" t="str">
            <v>Gramos</v>
          </cell>
          <cell r="C111">
            <v>0</v>
          </cell>
          <cell r="D111">
            <v>3000</v>
          </cell>
          <cell r="E111">
            <v>0</v>
          </cell>
          <cell r="F111">
            <v>2213.5</v>
          </cell>
          <cell r="G111">
            <v>0</v>
          </cell>
          <cell r="H111">
            <v>2606.75</v>
          </cell>
          <cell r="I111">
            <v>6.8598684210526315</v>
          </cell>
        </row>
        <row r="112">
          <cell r="A112" t="str">
            <v>Mandarina</v>
          </cell>
          <cell r="B112" t="str">
            <v>Kilogramo</v>
          </cell>
          <cell r="C112">
            <v>0</v>
          </cell>
          <cell r="D112">
            <v>4800</v>
          </cell>
          <cell r="E112">
            <v>4670</v>
          </cell>
          <cell r="F112">
            <v>3780</v>
          </cell>
          <cell r="G112">
            <v>1980</v>
          </cell>
          <cell r="H112">
            <v>3807.5</v>
          </cell>
          <cell r="I112">
            <v>3.8075000000000001</v>
          </cell>
        </row>
        <row r="113">
          <cell r="A113" t="str">
            <v>Mango</v>
          </cell>
          <cell r="B113" t="str">
            <v>Kilogramo</v>
          </cell>
          <cell r="C113">
            <v>0</v>
          </cell>
          <cell r="D113">
            <v>4200</v>
          </cell>
          <cell r="E113">
            <v>3140</v>
          </cell>
          <cell r="F113">
            <v>2700</v>
          </cell>
          <cell r="G113">
            <v>2833.3333333333335</v>
          </cell>
          <cell r="H113">
            <v>3218.3333333333335</v>
          </cell>
          <cell r="I113">
            <v>3.2183333333333333</v>
          </cell>
        </row>
        <row r="114">
          <cell r="A114" t="str">
            <v>Mantequilla</v>
          </cell>
          <cell r="B114" t="str">
            <v>Gramos</v>
          </cell>
          <cell r="C114">
            <v>0</v>
          </cell>
          <cell r="D114">
            <v>5973.333333333333</v>
          </cell>
          <cell r="E114">
            <v>5450</v>
          </cell>
          <cell r="F114">
            <v>5606.666666666667</v>
          </cell>
          <cell r="G114">
            <v>4293.333333333333</v>
          </cell>
          <cell r="H114">
            <v>5330.833333333333</v>
          </cell>
          <cell r="I114">
            <v>10.661666666666665</v>
          </cell>
        </row>
        <row r="115">
          <cell r="A115" t="str">
            <v>Manzana</v>
          </cell>
          <cell r="B115" t="str">
            <v>Kilogramo</v>
          </cell>
          <cell r="C115">
            <v>0</v>
          </cell>
          <cell r="D115">
            <v>6340</v>
          </cell>
          <cell r="E115">
            <v>0</v>
          </cell>
          <cell r="F115">
            <v>5000</v>
          </cell>
          <cell r="G115">
            <v>3833.3333333333335</v>
          </cell>
          <cell r="H115">
            <v>5057.7777777777783</v>
          </cell>
          <cell r="I115">
            <v>5.0577777777777779</v>
          </cell>
        </row>
        <row r="116">
          <cell r="A116" t="str">
            <v>Maracuyá</v>
          </cell>
          <cell r="B116" t="str">
            <v>Kilogramo</v>
          </cell>
          <cell r="C116">
            <v>0</v>
          </cell>
          <cell r="D116">
            <v>2650</v>
          </cell>
          <cell r="E116">
            <v>2350</v>
          </cell>
          <cell r="F116">
            <v>5100</v>
          </cell>
          <cell r="G116">
            <v>3740</v>
          </cell>
          <cell r="H116">
            <v>3460</v>
          </cell>
          <cell r="I116">
            <v>3.46</v>
          </cell>
        </row>
        <row r="117">
          <cell r="A117" t="str">
            <v>Margarina</v>
          </cell>
          <cell r="B117" t="str">
            <v>Gramos</v>
          </cell>
          <cell r="C117">
            <v>0</v>
          </cell>
          <cell r="D117">
            <v>2593.3333333333335</v>
          </cell>
          <cell r="E117">
            <v>3303.3333333333335</v>
          </cell>
          <cell r="F117">
            <v>2550</v>
          </cell>
          <cell r="G117">
            <v>2926.6666666666665</v>
          </cell>
          <cell r="H117">
            <v>2843.3333333333335</v>
          </cell>
          <cell r="I117">
            <v>11.373333333333333</v>
          </cell>
        </row>
        <row r="118">
          <cell r="A118" t="str">
            <v>Masmelo</v>
          </cell>
          <cell r="B118" t="str">
            <v>Gramos</v>
          </cell>
          <cell r="C118">
            <v>0</v>
          </cell>
          <cell r="D118">
            <v>2895</v>
          </cell>
          <cell r="E118">
            <v>4080</v>
          </cell>
          <cell r="F118">
            <v>2271.6666666666665</v>
          </cell>
          <cell r="G118">
            <v>2903.25</v>
          </cell>
          <cell r="H118">
            <v>3037.4791666666665</v>
          </cell>
          <cell r="I118">
            <v>20.948132183908044</v>
          </cell>
        </row>
        <row r="119">
          <cell r="A119" t="str">
            <v>Mayonesa</v>
          </cell>
          <cell r="B119" t="str">
            <v>Gramos</v>
          </cell>
          <cell r="C119">
            <v>0</v>
          </cell>
          <cell r="D119">
            <v>3220</v>
          </cell>
          <cell r="E119">
            <v>5400</v>
          </cell>
          <cell r="F119">
            <v>3126.6666666666665</v>
          </cell>
          <cell r="G119">
            <v>4893.333333333333</v>
          </cell>
          <cell r="H119">
            <v>4160</v>
          </cell>
          <cell r="I119">
            <v>10.4</v>
          </cell>
        </row>
        <row r="120">
          <cell r="A120" t="str">
            <v>Mazamorra</v>
          </cell>
          <cell r="B120" t="str">
            <v>Gramos</v>
          </cell>
          <cell r="C120">
            <v>0</v>
          </cell>
          <cell r="D120">
            <v>1100</v>
          </cell>
          <cell r="E120">
            <v>1100</v>
          </cell>
          <cell r="F120">
            <v>1110</v>
          </cell>
          <cell r="G120">
            <v>1300.6666666666667</v>
          </cell>
          <cell r="H120">
            <v>1152.6666666666667</v>
          </cell>
          <cell r="I120">
            <v>2.3053333333333335</v>
          </cell>
        </row>
        <row r="121">
          <cell r="A121" t="str">
            <v>Melón</v>
          </cell>
          <cell r="B121" t="str">
            <v>Kilogramo</v>
          </cell>
          <cell r="C121">
            <v>0</v>
          </cell>
          <cell r="D121">
            <v>1920</v>
          </cell>
          <cell r="E121">
            <v>3500</v>
          </cell>
          <cell r="F121">
            <v>2500</v>
          </cell>
          <cell r="G121">
            <v>3040</v>
          </cell>
          <cell r="H121">
            <v>2740</v>
          </cell>
          <cell r="I121">
            <v>2.74</v>
          </cell>
        </row>
        <row r="122">
          <cell r="A122" t="str">
            <v>Merluza</v>
          </cell>
          <cell r="B122" t="str">
            <v>Kilogramo</v>
          </cell>
          <cell r="C122">
            <v>0</v>
          </cell>
          <cell r="D122">
            <v>17690</v>
          </cell>
          <cell r="E122">
            <v>18888</v>
          </cell>
          <cell r="F122">
            <v>13300</v>
          </cell>
          <cell r="G122">
            <v>14060</v>
          </cell>
          <cell r="H122">
            <v>15984.5</v>
          </cell>
          <cell r="I122">
            <v>15.984500000000001</v>
          </cell>
        </row>
        <row r="123">
          <cell r="A123" t="str">
            <v xml:space="preserve">Mermelada </v>
          </cell>
          <cell r="B123" t="str">
            <v>Gramos</v>
          </cell>
          <cell r="C123">
            <v>0</v>
          </cell>
          <cell r="D123">
            <v>3718.6666666666665</v>
          </cell>
          <cell r="E123">
            <v>3044.6666666666665</v>
          </cell>
          <cell r="F123">
            <v>3708.4791666666665</v>
          </cell>
          <cell r="G123">
            <v>3924.3333333333335</v>
          </cell>
          <cell r="H123">
            <v>3599.0364583333335</v>
          </cell>
          <cell r="I123">
            <v>11.60979502688172</v>
          </cell>
        </row>
        <row r="124">
          <cell r="A124" t="str">
            <v>Mezcla para buñuelo</v>
          </cell>
          <cell r="B124" t="str">
            <v>Gramos</v>
          </cell>
          <cell r="C124">
            <v>0</v>
          </cell>
          <cell r="D124">
            <v>9173.3333333333339</v>
          </cell>
          <cell r="E124">
            <v>10490</v>
          </cell>
          <cell r="F124">
            <v>10168</v>
          </cell>
          <cell r="G124">
            <v>10148.57142857144</v>
          </cell>
          <cell r="H124">
            <v>9994.9761904761945</v>
          </cell>
          <cell r="I124">
            <v>12.493720238095243</v>
          </cell>
        </row>
        <row r="125">
          <cell r="A125" t="str">
            <v xml:space="preserve">Miga de pan </v>
          </cell>
          <cell r="B125" t="str">
            <v>Gramos</v>
          </cell>
          <cell r="C125">
            <v>0</v>
          </cell>
          <cell r="D125">
            <v>3140</v>
          </cell>
          <cell r="E125">
            <v>3440</v>
          </cell>
          <cell r="F125">
            <v>3020</v>
          </cell>
          <cell r="G125">
            <v>1420</v>
          </cell>
          <cell r="H125">
            <v>2755</v>
          </cell>
          <cell r="I125">
            <v>5.51</v>
          </cell>
        </row>
        <row r="126">
          <cell r="A126" t="str">
            <v>Mora</v>
          </cell>
          <cell r="B126" t="str">
            <v>Gramos</v>
          </cell>
          <cell r="C126">
            <v>0</v>
          </cell>
          <cell r="D126">
            <v>6728</v>
          </cell>
          <cell r="E126">
            <v>2335</v>
          </cell>
          <cell r="F126">
            <v>3850</v>
          </cell>
          <cell r="G126">
            <v>2500</v>
          </cell>
          <cell r="H126">
            <v>3853.25</v>
          </cell>
          <cell r="I126">
            <v>3.8532500000000001</v>
          </cell>
        </row>
        <row r="127">
          <cell r="A127" t="str">
            <v>Mortadela</v>
          </cell>
          <cell r="B127" t="str">
            <v>Gramos</v>
          </cell>
          <cell r="C127">
            <v>0</v>
          </cell>
          <cell r="D127">
            <v>5550.333333333333</v>
          </cell>
          <cell r="E127">
            <v>4410</v>
          </cell>
          <cell r="F127">
            <v>5285</v>
          </cell>
          <cell r="G127">
            <v>4743.333333333333</v>
          </cell>
          <cell r="H127">
            <v>4997.1666666666661</v>
          </cell>
          <cell r="I127">
            <v>11.104814814814814</v>
          </cell>
        </row>
        <row r="128">
          <cell r="A128" t="str">
            <v>Muchacho</v>
          </cell>
          <cell r="B128" t="str">
            <v>Kilogramo</v>
          </cell>
          <cell r="C128">
            <v>0</v>
          </cell>
          <cell r="D128">
            <v>13640</v>
          </cell>
          <cell r="E128">
            <v>14420</v>
          </cell>
          <cell r="F128">
            <v>0</v>
          </cell>
          <cell r="G128">
            <v>0</v>
          </cell>
          <cell r="H128">
            <v>14030</v>
          </cell>
          <cell r="I128">
            <v>14.03</v>
          </cell>
        </row>
        <row r="129">
          <cell r="A129" t="str">
            <v>Murrapo</v>
          </cell>
          <cell r="B129" t="str">
            <v>Kilogramo</v>
          </cell>
          <cell r="C129">
            <v>0</v>
          </cell>
          <cell r="D129">
            <v>1130</v>
          </cell>
          <cell r="E129">
            <v>1350</v>
          </cell>
          <cell r="F129">
            <v>0</v>
          </cell>
          <cell r="G129">
            <v>1050</v>
          </cell>
          <cell r="H129">
            <v>1176.6666666666667</v>
          </cell>
          <cell r="I129">
            <v>1.1766666666666667</v>
          </cell>
        </row>
        <row r="130">
          <cell r="A130" t="str">
            <v>Muslos de pollo</v>
          </cell>
          <cell r="B130" t="str">
            <v>Kilogramo</v>
          </cell>
          <cell r="C130">
            <v>0</v>
          </cell>
          <cell r="D130">
            <v>10280</v>
          </cell>
          <cell r="E130">
            <v>8300</v>
          </cell>
          <cell r="F130">
            <v>9320</v>
          </cell>
          <cell r="G130">
            <v>9744.5</v>
          </cell>
          <cell r="H130">
            <v>9411.125</v>
          </cell>
          <cell r="I130">
            <v>9.4111250000000002</v>
          </cell>
        </row>
        <row r="131">
          <cell r="A131" t="str">
            <v>Naranja</v>
          </cell>
          <cell r="B131" t="str">
            <v>Kilogramo</v>
          </cell>
          <cell r="C131">
            <v>0</v>
          </cell>
          <cell r="D131">
            <v>2720</v>
          </cell>
          <cell r="E131">
            <v>4000</v>
          </cell>
          <cell r="F131">
            <v>2180</v>
          </cell>
          <cell r="G131">
            <v>2140</v>
          </cell>
          <cell r="H131">
            <v>2760</v>
          </cell>
          <cell r="I131">
            <v>2.76</v>
          </cell>
        </row>
        <row r="132">
          <cell r="A132" t="str">
            <v>Nucita</v>
          </cell>
          <cell r="B132" t="str">
            <v>Gramos</v>
          </cell>
          <cell r="C132">
            <v>0</v>
          </cell>
          <cell r="D132">
            <v>2130</v>
          </cell>
          <cell r="E132">
            <v>2060</v>
          </cell>
          <cell r="F132">
            <v>2534</v>
          </cell>
          <cell r="G132">
            <v>1790</v>
          </cell>
          <cell r="H132">
            <v>2128.5</v>
          </cell>
          <cell r="I132">
            <v>25.339285714285715</v>
          </cell>
        </row>
        <row r="133">
          <cell r="A133" t="str">
            <v>Palito de queso</v>
          </cell>
          <cell r="B133" t="str">
            <v>Unidades</v>
          </cell>
          <cell r="C133">
            <v>0</v>
          </cell>
          <cell r="D133">
            <v>1850</v>
          </cell>
          <cell r="E133">
            <v>0</v>
          </cell>
          <cell r="F133">
            <v>0</v>
          </cell>
          <cell r="G133">
            <v>0</v>
          </cell>
          <cell r="H133">
            <v>1850</v>
          </cell>
          <cell r="I133">
            <v>1850</v>
          </cell>
        </row>
        <row r="134">
          <cell r="A134" t="str">
            <v>Palitroque</v>
          </cell>
          <cell r="B134" t="str">
            <v>Gramos</v>
          </cell>
          <cell r="C134">
            <v>0</v>
          </cell>
          <cell r="D134">
            <v>1350</v>
          </cell>
          <cell r="E134">
            <v>2900</v>
          </cell>
          <cell r="F134">
            <v>1529.75</v>
          </cell>
          <cell r="G134">
            <v>906.66666666666663</v>
          </cell>
          <cell r="H134">
            <v>1671.6041666666667</v>
          </cell>
          <cell r="I134">
            <v>18.573379629629631</v>
          </cell>
        </row>
        <row r="135">
          <cell r="A135" t="str">
            <v>Pan bola</v>
          </cell>
          <cell r="B135" t="str">
            <v>Gramos</v>
          </cell>
          <cell r="C135">
            <v>0</v>
          </cell>
          <cell r="D135">
            <v>2000</v>
          </cell>
          <cell r="E135">
            <v>2820</v>
          </cell>
          <cell r="F135">
            <v>5110</v>
          </cell>
          <cell r="G135">
            <v>1236</v>
          </cell>
          <cell r="H135">
            <v>2791.5</v>
          </cell>
          <cell r="I135">
            <v>13.292857142857143</v>
          </cell>
        </row>
        <row r="136">
          <cell r="A136" t="str">
            <v>Pan leche</v>
          </cell>
          <cell r="B136" t="str">
            <v>Gramos</v>
          </cell>
          <cell r="C136">
            <v>0</v>
          </cell>
          <cell r="D136">
            <v>750</v>
          </cell>
          <cell r="E136">
            <v>1799.5</v>
          </cell>
          <cell r="F136">
            <v>2393.3333333333335</v>
          </cell>
          <cell r="G136">
            <v>0</v>
          </cell>
          <cell r="H136">
            <v>1647.6111111111113</v>
          </cell>
          <cell r="I136">
            <v>9.1533950617283963</v>
          </cell>
        </row>
        <row r="137">
          <cell r="A137" t="str">
            <v>Pan perro</v>
          </cell>
          <cell r="B137" t="str">
            <v>Gramos</v>
          </cell>
          <cell r="C137">
            <v>0</v>
          </cell>
          <cell r="D137">
            <v>351.66666666666669</v>
          </cell>
          <cell r="E137">
            <v>1537</v>
          </cell>
          <cell r="F137">
            <v>2087.4444444444448</v>
          </cell>
          <cell r="G137">
            <v>2633</v>
          </cell>
          <cell r="H137">
            <v>1652.2777777777778</v>
          </cell>
          <cell r="I137">
            <v>4.859640522875817</v>
          </cell>
        </row>
        <row r="138">
          <cell r="A138" t="str">
            <v>Pan Queso</v>
          </cell>
          <cell r="B138" t="str">
            <v>Unidades</v>
          </cell>
          <cell r="C138">
            <v>0</v>
          </cell>
          <cell r="D138">
            <v>683</v>
          </cell>
          <cell r="E138">
            <v>0</v>
          </cell>
          <cell r="F138">
            <v>0</v>
          </cell>
          <cell r="G138">
            <v>0</v>
          </cell>
          <cell r="H138">
            <v>683</v>
          </cell>
          <cell r="I138">
            <v>683</v>
          </cell>
        </row>
        <row r="139">
          <cell r="A139" t="str">
            <v>Pan tajado</v>
          </cell>
          <cell r="B139" t="str">
            <v>Gramos</v>
          </cell>
          <cell r="C139">
            <v>0</v>
          </cell>
          <cell r="D139">
            <v>3627</v>
          </cell>
          <cell r="E139">
            <v>4067</v>
          </cell>
          <cell r="F139">
            <v>3108.0059523809523</v>
          </cell>
          <cell r="G139">
            <v>3155</v>
          </cell>
          <cell r="H139">
            <v>3489.2514880952381</v>
          </cell>
          <cell r="I139">
            <v>5.3680792124542123</v>
          </cell>
        </row>
        <row r="140">
          <cell r="A140" t="str">
            <v>Pandebono</v>
          </cell>
          <cell r="B140" t="str">
            <v>Unidades</v>
          </cell>
          <cell r="C140">
            <v>0</v>
          </cell>
          <cell r="D140">
            <v>0</v>
          </cell>
          <cell r="E140">
            <v>1148</v>
          </cell>
          <cell r="F140">
            <v>0</v>
          </cell>
          <cell r="G140">
            <v>0</v>
          </cell>
          <cell r="H140">
            <v>1148</v>
          </cell>
          <cell r="I140">
            <v>1148</v>
          </cell>
        </row>
        <row r="141">
          <cell r="A141" t="str">
            <v>Pandequeso</v>
          </cell>
          <cell r="B141" t="str">
            <v>Gramos</v>
          </cell>
          <cell r="C141">
            <v>0</v>
          </cell>
          <cell r="D141">
            <v>370</v>
          </cell>
          <cell r="E141">
            <v>4168.3666666666668</v>
          </cell>
          <cell r="F141">
            <v>3886.3636363636365</v>
          </cell>
          <cell r="G141">
            <v>0</v>
          </cell>
          <cell r="H141">
            <v>2808.2434343434343</v>
          </cell>
          <cell r="I141">
            <v>20.801803217358774</v>
          </cell>
        </row>
        <row r="142">
          <cell r="A142" t="str">
            <v>Pandeyuca</v>
          </cell>
          <cell r="B142" t="str">
            <v>Gramos</v>
          </cell>
          <cell r="C142">
            <v>0</v>
          </cell>
          <cell r="D142">
            <v>1131</v>
          </cell>
          <cell r="E142">
            <v>1128.6458333333335</v>
          </cell>
          <cell r="F142">
            <v>0</v>
          </cell>
          <cell r="G142">
            <v>337.5</v>
          </cell>
          <cell r="H142">
            <v>865.71527777777783</v>
          </cell>
          <cell r="I142">
            <v>865.71527777777783</v>
          </cell>
        </row>
        <row r="143">
          <cell r="A143" t="str">
            <v>Panela</v>
          </cell>
          <cell r="B143" t="str">
            <v>Kilogramo</v>
          </cell>
          <cell r="C143">
            <v>0</v>
          </cell>
          <cell r="D143">
            <v>3100</v>
          </cell>
          <cell r="E143">
            <v>2395</v>
          </cell>
          <cell r="F143">
            <v>2870</v>
          </cell>
          <cell r="G143">
            <v>2430</v>
          </cell>
          <cell r="H143">
            <v>2698.75</v>
          </cell>
          <cell r="I143">
            <v>2.69875</v>
          </cell>
        </row>
        <row r="144">
          <cell r="A144" t="str">
            <v xml:space="preserve">Panelita </v>
          </cell>
          <cell r="B144" t="str">
            <v>Gramos</v>
          </cell>
          <cell r="C144">
            <v>0</v>
          </cell>
          <cell r="D144">
            <v>7061.75</v>
          </cell>
          <cell r="E144">
            <v>9700</v>
          </cell>
          <cell r="F144">
            <v>10260.869565217392</v>
          </cell>
          <cell r="G144">
            <v>9717.391304347826</v>
          </cell>
          <cell r="H144">
            <v>9185.002717391304</v>
          </cell>
          <cell r="I144">
            <v>30.61667572463768</v>
          </cell>
        </row>
        <row r="145">
          <cell r="A145" t="str">
            <v>Panelita de coco</v>
          </cell>
          <cell r="B145" t="str">
            <v>Gramos</v>
          </cell>
          <cell r="C145">
            <v>0</v>
          </cell>
          <cell r="D145">
            <v>7525</v>
          </cell>
          <cell r="E145">
            <v>0</v>
          </cell>
          <cell r="F145">
            <v>3390</v>
          </cell>
          <cell r="G145">
            <v>10021.739130434782</v>
          </cell>
          <cell r="H145">
            <v>6978.913043478261</v>
          </cell>
          <cell r="I145">
            <v>23.263043478260869</v>
          </cell>
        </row>
        <row r="146">
          <cell r="A146" t="str">
            <v>Panelita de leche</v>
          </cell>
          <cell r="B146" t="str">
            <v>Gramos</v>
          </cell>
          <cell r="C146">
            <v>0</v>
          </cell>
          <cell r="D146">
            <v>5818.5</v>
          </cell>
          <cell r="E146">
            <v>9700</v>
          </cell>
          <cell r="F146">
            <v>0</v>
          </cell>
          <cell r="G146">
            <v>10021.739130434782</v>
          </cell>
          <cell r="H146">
            <v>8513.4130434782619</v>
          </cell>
          <cell r="I146">
            <v>24.324037267080747</v>
          </cell>
        </row>
        <row r="147">
          <cell r="A147" t="str">
            <v>Panelita de arequipe  y coco</v>
          </cell>
          <cell r="B147" t="str">
            <v>Gramos</v>
          </cell>
          <cell r="C147">
            <v>0</v>
          </cell>
          <cell r="D147">
            <v>9380</v>
          </cell>
          <cell r="E147">
            <v>7189</v>
          </cell>
          <cell r="F147">
            <v>7720</v>
          </cell>
          <cell r="G147">
            <v>7550</v>
          </cell>
          <cell r="H147">
            <v>7959.75</v>
          </cell>
          <cell r="I147">
            <v>28.839673913043477</v>
          </cell>
        </row>
        <row r="148">
          <cell r="A148" t="str">
            <v>Papa capira</v>
          </cell>
          <cell r="B148" t="str">
            <v>Kilogramo</v>
          </cell>
          <cell r="C148">
            <v>0</v>
          </cell>
          <cell r="D148">
            <v>1490</v>
          </cell>
          <cell r="E148">
            <v>1450</v>
          </cell>
          <cell r="F148">
            <v>980</v>
          </cell>
          <cell r="G148">
            <v>0</v>
          </cell>
          <cell r="H148">
            <v>1306.6666666666667</v>
          </cell>
          <cell r="I148">
            <v>1.3066666666666666</v>
          </cell>
        </row>
        <row r="149">
          <cell r="A149" t="str">
            <v>Papa común</v>
          </cell>
          <cell r="B149" t="str">
            <v>Kilogramo</v>
          </cell>
          <cell r="C149">
            <v>0</v>
          </cell>
          <cell r="D149">
            <v>0</v>
          </cell>
          <cell r="E149">
            <v>0</v>
          </cell>
          <cell r="F149">
            <v>0</v>
          </cell>
          <cell r="G149">
            <v>0</v>
          </cell>
          <cell r="H149">
            <v>0</v>
          </cell>
          <cell r="I149">
            <v>0</v>
          </cell>
        </row>
        <row r="150">
          <cell r="A150" t="str">
            <v>Papa Criolla</v>
          </cell>
          <cell r="B150" t="str">
            <v>Kilogramo</v>
          </cell>
          <cell r="C150">
            <v>0</v>
          </cell>
          <cell r="D150">
            <v>3360</v>
          </cell>
          <cell r="E150">
            <v>2800</v>
          </cell>
          <cell r="F150">
            <v>3100</v>
          </cell>
          <cell r="G150">
            <v>2940</v>
          </cell>
          <cell r="H150">
            <v>3050</v>
          </cell>
          <cell r="I150">
            <v>3.05</v>
          </cell>
        </row>
        <row r="151">
          <cell r="A151" t="str">
            <v>Papa nevada</v>
          </cell>
          <cell r="B151" t="str">
            <v>Kilogramo</v>
          </cell>
          <cell r="C151">
            <v>0</v>
          </cell>
          <cell r="D151">
            <v>3005</v>
          </cell>
          <cell r="E151">
            <v>1800</v>
          </cell>
          <cell r="F151">
            <v>1180</v>
          </cell>
          <cell r="G151">
            <v>1380</v>
          </cell>
          <cell r="H151">
            <v>1841.25</v>
          </cell>
          <cell r="I151">
            <v>1.8412500000000001</v>
          </cell>
        </row>
        <row r="152">
          <cell r="A152" t="str">
            <v>Papaya</v>
          </cell>
          <cell r="B152" t="str">
            <v>Kilogramo</v>
          </cell>
          <cell r="C152">
            <v>0</v>
          </cell>
          <cell r="D152">
            <v>1650</v>
          </cell>
          <cell r="E152">
            <v>4250</v>
          </cell>
          <cell r="F152">
            <v>1670</v>
          </cell>
          <cell r="G152">
            <v>2440</v>
          </cell>
          <cell r="H152">
            <v>2502.5</v>
          </cell>
          <cell r="I152">
            <v>2.5024999999999999</v>
          </cell>
        </row>
        <row r="153">
          <cell r="A153" t="str">
            <v>Pasas</v>
          </cell>
          <cell r="B153" t="str">
            <v>Gramos</v>
          </cell>
          <cell r="C153">
            <v>0</v>
          </cell>
          <cell r="D153">
            <v>2690</v>
          </cell>
          <cell r="E153">
            <v>2000</v>
          </cell>
          <cell r="F153">
            <v>1935.5555555555554</v>
          </cell>
          <cell r="G153">
            <v>2210</v>
          </cell>
          <cell r="H153">
            <v>2208.8888888888887</v>
          </cell>
          <cell r="I153">
            <v>11.044444444444444</v>
          </cell>
        </row>
        <row r="154">
          <cell r="A154" t="str">
            <v>Pasta Cabello de ángel</v>
          </cell>
          <cell r="B154" t="str">
            <v>Gramos</v>
          </cell>
          <cell r="C154">
            <v>0</v>
          </cell>
          <cell r="D154">
            <v>1382.5</v>
          </cell>
          <cell r="E154">
            <v>1650</v>
          </cell>
          <cell r="F154">
            <v>1945</v>
          </cell>
          <cell r="G154">
            <v>1255</v>
          </cell>
          <cell r="H154">
            <v>1558.125</v>
          </cell>
          <cell r="I154">
            <v>6.2324999999999999</v>
          </cell>
        </row>
        <row r="155">
          <cell r="A155" t="str">
            <v>Pasta fideo</v>
          </cell>
          <cell r="B155" t="str">
            <v>Gramos</v>
          </cell>
          <cell r="C155">
            <v>0</v>
          </cell>
          <cell r="D155">
            <v>1265</v>
          </cell>
          <cell r="E155">
            <v>1510</v>
          </cell>
          <cell r="F155">
            <v>1275</v>
          </cell>
          <cell r="G155">
            <v>1255</v>
          </cell>
          <cell r="H155">
            <v>1326.25</v>
          </cell>
          <cell r="I155">
            <v>5.3049999999999997</v>
          </cell>
        </row>
        <row r="156">
          <cell r="A156" t="str">
            <v>Pastas Conchitas</v>
          </cell>
          <cell r="B156" t="str">
            <v>Gramos</v>
          </cell>
          <cell r="C156">
            <v>0</v>
          </cell>
          <cell r="D156">
            <v>1300</v>
          </cell>
          <cell r="E156">
            <v>1415</v>
          </cell>
          <cell r="F156">
            <v>1320</v>
          </cell>
          <cell r="G156">
            <v>1255</v>
          </cell>
          <cell r="H156">
            <v>1322.5</v>
          </cell>
          <cell r="I156">
            <v>5.29</v>
          </cell>
        </row>
        <row r="157">
          <cell r="A157" t="str">
            <v>Pastas letras</v>
          </cell>
          <cell r="B157" t="str">
            <v>Gramos</v>
          </cell>
          <cell r="C157">
            <v>0</v>
          </cell>
          <cell r="D157">
            <v>1305</v>
          </cell>
          <cell r="E157">
            <v>1450</v>
          </cell>
          <cell r="F157">
            <v>1275</v>
          </cell>
          <cell r="G157">
            <v>1255</v>
          </cell>
          <cell r="H157">
            <v>1321.25</v>
          </cell>
          <cell r="I157">
            <v>5.2850000000000001</v>
          </cell>
        </row>
        <row r="158">
          <cell r="A158" t="str">
            <v>Pastel de arequipe</v>
          </cell>
          <cell r="B158" t="str">
            <v>Unidades</v>
          </cell>
          <cell r="C158">
            <v>0</v>
          </cell>
          <cell r="D158">
            <v>555</v>
          </cell>
          <cell r="E158">
            <v>670</v>
          </cell>
          <cell r="F158">
            <v>517.5</v>
          </cell>
          <cell r="G158">
            <v>566.66666666666663</v>
          </cell>
          <cell r="H158">
            <v>577.29166666666663</v>
          </cell>
          <cell r="I158">
            <v>577.29166666666663</v>
          </cell>
        </row>
        <row r="159">
          <cell r="A159" t="str">
            <v>Pastel de guayaba</v>
          </cell>
          <cell r="B159" t="str">
            <v>Unidades</v>
          </cell>
          <cell r="C159">
            <v>0</v>
          </cell>
          <cell r="D159">
            <v>645</v>
          </cell>
          <cell r="E159">
            <v>503.66666666666669</v>
          </cell>
          <cell r="F159">
            <v>517.5</v>
          </cell>
          <cell r="G159">
            <v>646.25</v>
          </cell>
          <cell r="H159">
            <v>578.10416666666674</v>
          </cell>
          <cell r="I159">
            <v>578.10416666666674</v>
          </cell>
        </row>
        <row r="160">
          <cell r="A160" t="str">
            <v>Pastel de Jamón y queso</v>
          </cell>
          <cell r="B160" t="str">
            <v>Unidades</v>
          </cell>
          <cell r="C160">
            <v>0</v>
          </cell>
          <cell r="D160">
            <v>2000</v>
          </cell>
          <cell r="E160">
            <v>0</v>
          </cell>
          <cell r="F160">
            <v>0</v>
          </cell>
          <cell r="G160">
            <v>0</v>
          </cell>
          <cell r="H160">
            <v>2000</v>
          </cell>
          <cell r="I160">
            <v>2000</v>
          </cell>
        </row>
        <row r="161">
          <cell r="A161" t="str">
            <v>Pastel de queso</v>
          </cell>
          <cell r="B161" t="str">
            <v>Unidades</v>
          </cell>
          <cell r="C161">
            <v>0</v>
          </cell>
          <cell r="D161">
            <v>1816</v>
          </cell>
          <cell r="E161">
            <v>0</v>
          </cell>
          <cell r="F161">
            <v>0</v>
          </cell>
          <cell r="G161">
            <v>0</v>
          </cell>
          <cell r="H161">
            <v>1816</v>
          </cell>
          <cell r="I161">
            <v>1816</v>
          </cell>
        </row>
        <row r="162">
          <cell r="A162" t="str">
            <v>Pastelitos</v>
          </cell>
          <cell r="B162" t="str">
            <v>Unidades</v>
          </cell>
          <cell r="C162">
            <v>0</v>
          </cell>
          <cell r="D162">
            <v>850</v>
          </cell>
          <cell r="E162">
            <v>0</v>
          </cell>
          <cell r="F162">
            <v>0</v>
          </cell>
          <cell r="G162">
            <v>0</v>
          </cell>
          <cell r="H162">
            <v>850</v>
          </cell>
          <cell r="I162">
            <v>850</v>
          </cell>
        </row>
        <row r="163">
          <cell r="A163" t="str">
            <v>Pechuga</v>
          </cell>
          <cell r="B163" t="str">
            <v>Kilogramo</v>
          </cell>
          <cell r="C163">
            <v>0</v>
          </cell>
          <cell r="D163">
            <v>10903.333333333334</v>
          </cell>
          <cell r="E163">
            <v>9333.3333333333339</v>
          </cell>
          <cell r="F163">
            <v>13360</v>
          </cell>
          <cell r="G163">
            <v>9915</v>
          </cell>
          <cell r="H163">
            <v>10877.916666666668</v>
          </cell>
          <cell r="I163">
            <v>10.877916666666668</v>
          </cell>
        </row>
        <row r="164">
          <cell r="A164" t="str">
            <v>Pepino</v>
          </cell>
          <cell r="B164" t="str">
            <v>Kilogramo</v>
          </cell>
          <cell r="C164">
            <v>0</v>
          </cell>
          <cell r="D164">
            <v>2150</v>
          </cell>
          <cell r="E164">
            <v>1135</v>
          </cell>
          <cell r="F164">
            <v>1100</v>
          </cell>
          <cell r="G164">
            <v>780</v>
          </cell>
          <cell r="H164">
            <v>1291.25</v>
          </cell>
          <cell r="I164">
            <v>1.29125</v>
          </cell>
        </row>
        <row r="165">
          <cell r="A165" t="str">
            <v>Pera</v>
          </cell>
          <cell r="B165" t="str">
            <v>Kilogramo</v>
          </cell>
          <cell r="C165">
            <v>0</v>
          </cell>
          <cell r="D165">
            <v>5795</v>
          </cell>
          <cell r="E165">
            <v>2400</v>
          </cell>
          <cell r="F165">
            <v>4200</v>
          </cell>
          <cell r="G165">
            <v>3640</v>
          </cell>
          <cell r="H165">
            <v>4008.75</v>
          </cell>
          <cell r="I165">
            <v>4.00875</v>
          </cell>
        </row>
        <row r="166">
          <cell r="A166" t="str">
            <v>Pimentón</v>
          </cell>
          <cell r="B166" t="str">
            <v>Kilogramo</v>
          </cell>
          <cell r="C166">
            <v>0</v>
          </cell>
          <cell r="D166">
            <v>3450</v>
          </cell>
          <cell r="E166">
            <v>3470</v>
          </cell>
          <cell r="F166">
            <v>2380</v>
          </cell>
          <cell r="G166">
            <v>2980</v>
          </cell>
          <cell r="H166">
            <v>3070</v>
          </cell>
          <cell r="I166">
            <v>3.07</v>
          </cell>
        </row>
        <row r="167">
          <cell r="A167" t="str">
            <v>Piña</v>
          </cell>
          <cell r="B167" t="str">
            <v>Kilogramo</v>
          </cell>
          <cell r="C167">
            <v>0</v>
          </cell>
          <cell r="D167">
            <v>940</v>
          </cell>
          <cell r="E167">
            <v>2950</v>
          </cell>
          <cell r="F167">
            <v>0</v>
          </cell>
          <cell r="G167">
            <v>0</v>
          </cell>
          <cell r="H167">
            <v>1945</v>
          </cell>
          <cell r="I167">
            <v>1.9450000000000001</v>
          </cell>
        </row>
        <row r="168">
          <cell r="A168" t="str">
            <v>Pirulito</v>
          </cell>
          <cell r="B168" t="str">
            <v>Gramos</v>
          </cell>
          <cell r="C168">
            <v>0</v>
          </cell>
          <cell r="D168">
            <v>1690</v>
          </cell>
          <cell r="E168">
            <v>0</v>
          </cell>
          <cell r="F168">
            <v>2010</v>
          </cell>
          <cell r="G168">
            <v>0</v>
          </cell>
          <cell r="H168">
            <v>1850</v>
          </cell>
          <cell r="I168">
            <v>10.571428571428571</v>
          </cell>
        </row>
        <row r="169">
          <cell r="A169" t="str">
            <v>Plátano maduro</v>
          </cell>
          <cell r="B169" t="str">
            <v>Kilogramo</v>
          </cell>
          <cell r="C169">
            <v>0</v>
          </cell>
          <cell r="D169">
            <v>1580</v>
          </cell>
          <cell r="E169">
            <v>1600</v>
          </cell>
          <cell r="F169">
            <v>1240</v>
          </cell>
          <cell r="G169">
            <v>1198</v>
          </cell>
          <cell r="H169">
            <v>1404.5</v>
          </cell>
          <cell r="I169">
            <v>1.4045000000000001</v>
          </cell>
        </row>
        <row r="170">
          <cell r="A170" t="str">
            <v>Plátano verde</v>
          </cell>
          <cell r="B170" t="str">
            <v>Kilogramo</v>
          </cell>
          <cell r="C170">
            <v>0</v>
          </cell>
          <cell r="D170">
            <v>1010</v>
          </cell>
          <cell r="E170">
            <v>1600</v>
          </cell>
          <cell r="F170">
            <v>1180</v>
          </cell>
          <cell r="G170">
            <v>980</v>
          </cell>
          <cell r="H170">
            <v>1192.5</v>
          </cell>
          <cell r="I170">
            <v>1.1924999999999999</v>
          </cell>
        </row>
        <row r="171">
          <cell r="A171" t="str">
            <v>Pollo</v>
          </cell>
          <cell r="B171" t="str">
            <v>Kilogramo</v>
          </cell>
          <cell r="C171">
            <v>0</v>
          </cell>
          <cell r="D171">
            <v>8900</v>
          </cell>
          <cell r="E171">
            <v>11000</v>
          </cell>
          <cell r="F171">
            <v>2590</v>
          </cell>
          <cell r="G171">
            <v>5850</v>
          </cell>
          <cell r="H171">
            <v>7085</v>
          </cell>
          <cell r="I171">
            <v>7.085</v>
          </cell>
        </row>
        <row r="172">
          <cell r="A172" t="str">
            <v>Polvo de bizcocho</v>
          </cell>
          <cell r="B172" t="str">
            <v>Gramos</v>
          </cell>
          <cell r="C172">
            <v>0</v>
          </cell>
          <cell r="D172">
            <v>1750</v>
          </cell>
          <cell r="E172">
            <v>1400</v>
          </cell>
          <cell r="F172">
            <v>1504</v>
          </cell>
          <cell r="G172">
            <v>1875</v>
          </cell>
          <cell r="H172">
            <v>1632.25</v>
          </cell>
          <cell r="I172">
            <v>8.1612500000000008</v>
          </cell>
        </row>
        <row r="173">
          <cell r="A173" t="str">
            <v>Ponqué</v>
          </cell>
          <cell r="B173" t="str">
            <v>Gramos</v>
          </cell>
          <cell r="C173">
            <v>0</v>
          </cell>
          <cell r="D173">
            <v>2197</v>
          </cell>
          <cell r="E173">
            <v>2130</v>
          </cell>
          <cell r="F173">
            <v>2735</v>
          </cell>
          <cell r="G173">
            <v>2293.6507936507933</v>
          </cell>
          <cell r="H173">
            <v>2338.9126984126983</v>
          </cell>
          <cell r="I173">
            <v>9.3556507936507938</v>
          </cell>
        </row>
        <row r="174">
          <cell r="A174" t="str">
            <v>Ponqué ramito</v>
          </cell>
          <cell r="B174" t="str">
            <v>Gramos</v>
          </cell>
          <cell r="C174">
            <v>0</v>
          </cell>
          <cell r="D174">
            <v>321</v>
          </cell>
          <cell r="E174">
            <v>1644</v>
          </cell>
          <cell r="F174">
            <v>1690</v>
          </cell>
          <cell r="G174">
            <v>1650</v>
          </cell>
          <cell r="H174">
            <v>1326.25</v>
          </cell>
          <cell r="I174">
            <v>8.8416666666666668</v>
          </cell>
        </row>
        <row r="175">
          <cell r="A175" t="str">
            <v>Pulpa de fresa</v>
          </cell>
          <cell r="B175" t="str">
            <v>Gramos</v>
          </cell>
          <cell r="C175">
            <v>0</v>
          </cell>
          <cell r="D175">
            <v>1890</v>
          </cell>
          <cell r="E175">
            <v>2900</v>
          </cell>
          <cell r="F175">
            <v>2320</v>
          </cell>
          <cell r="G175">
            <v>2003.3333333333333</v>
          </cell>
          <cell r="H175">
            <v>2278.3333333333335</v>
          </cell>
          <cell r="I175">
            <v>9.9057971014492754</v>
          </cell>
        </row>
        <row r="176">
          <cell r="A176" t="str">
            <v>Pulpa de guanábana</v>
          </cell>
          <cell r="B176" t="str">
            <v>Gramos</v>
          </cell>
          <cell r="C176">
            <v>0</v>
          </cell>
          <cell r="D176">
            <v>2263</v>
          </cell>
          <cell r="E176">
            <v>2806</v>
          </cell>
          <cell r="F176">
            <v>5520</v>
          </cell>
          <cell r="G176">
            <v>0</v>
          </cell>
          <cell r="H176">
            <v>3529.6666666666665</v>
          </cell>
          <cell r="I176">
            <v>7.059333333333333</v>
          </cell>
        </row>
        <row r="177">
          <cell r="A177" t="str">
            <v>Pulpa de guayaba</v>
          </cell>
          <cell r="B177" t="str">
            <v>Gramos</v>
          </cell>
          <cell r="C177">
            <v>0</v>
          </cell>
          <cell r="D177">
            <v>1619</v>
          </cell>
          <cell r="E177">
            <v>0</v>
          </cell>
          <cell r="F177">
            <v>2160</v>
          </cell>
          <cell r="G177">
            <v>2159</v>
          </cell>
          <cell r="H177">
            <v>1979.3333333333333</v>
          </cell>
          <cell r="I177">
            <v>8.6057971014492747</v>
          </cell>
        </row>
        <row r="178">
          <cell r="A178" t="str">
            <v>Pulpa de lulo</v>
          </cell>
          <cell r="B178" t="str">
            <v>Gramos</v>
          </cell>
          <cell r="C178">
            <v>0</v>
          </cell>
          <cell r="D178">
            <v>2150</v>
          </cell>
          <cell r="E178">
            <v>2414</v>
          </cell>
          <cell r="F178">
            <v>2550</v>
          </cell>
          <cell r="G178">
            <v>2345.3333333333335</v>
          </cell>
          <cell r="H178">
            <v>2364.8333333333335</v>
          </cell>
          <cell r="I178">
            <v>10.281884057971014</v>
          </cell>
        </row>
        <row r="179">
          <cell r="A179" t="str">
            <v>Pulpa de mango</v>
          </cell>
          <cell r="B179" t="str">
            <v>Gramos</v>
          </cell>
          <cell r="C179">
            <v>0</v>
          </cell>
          <cell r="D179">
            <v>2146</v>
          </cell>
          <cell r="E179">
            <v>0</v>
          </cell>
          <cell r="F179">
            <v>2435</v>
          </cell>
          <cell r="G179">
            <v>2352</v>
          </cell>
          <cell r="H179">
            <v>2311</v>
          </cell>
          <cell r="I179">
            <v>10.047826086956523</v>
          </cell>
        </row>
        <row r="180">
          <cell r="A180" t="str">
            <v>Pulpa de maracuyá</v>
          </cell>
          <cell r="B180" t="str">
            <v>Gramos</v>
          </cell>
          <cell r="C180">
            <v>0</v>
          </cell>
          <cell r="D180">
            <v>2838</v>
          </cell>
          <cell r="E180">
            <v>0</v>
          </cell>
          <cell r="F180">
            <v>2705</v>
          </cell>
          <cell r="G180">
            <v>2365.3333333333335</v>
          </cell>
          <cell r="H180">
            <v>2636.1111111111113</v>
          </cell>
          <cell r="I180">
            <v>11.461352657004833</v>
          </cell>
        </row>
        <row r="181">
          <cell r="A181" t="str">
            <v>Pulpa de mora</v>
          </cell>
          <cell r="B181" t="str">
            <v>Gramos</v>
          </cell>
          <cell r="C181">
            <v>0</v>
          </cell>
          <cell r="D181">
            <v>2171</v>
          </cell>
          <cell r="E181">
            <v>0</v>
          </cell>
          <cell r="F181">
            <v>0</v>
          </cell>
          <cell r="G181">
            <v>2352</v>
          </cell>
          <cell r="H181">
            <v>2261.5</v>
          </cell>
          <cell r="I181">
            <v>9.8326086956521745</v>
          </cell>
        </row>
        <row r="182">
          <cell r="A182" t="str">
            <v xml:space="preserve">Pulpa de Naranja </v>
          </cell>
          <cell r="B182" t="str">
            <v>Gramos</v>
          </cell>
          <cell r="C182">
            <v>0</v>
          </cell>
          <cell r="D182">
            <v>0</v>
          </cell>
          <cell r="E182">
            <v>0</v>
          </cell>
          <cell r="F182">
            <v>0</v>
          </cell>
          <cell r="G182">
            <v>1840</v>
          </cell>
          <cell r="H182">
            <v>1840</v>
          </cell>
          <cell r="I182">
            <v>8</v>
          </cell>
        </row>
        <row r="183">
          <cell r="A183" t="str">
            <v>Pulpa de piña</v>
          </cell>
          <cell r="B183" t="str">
            <v>Gramos</v>
          </cell>
          <cell r="C183">
            <v>0</v>
          </cell>
          <cell r="D183">
            <v>0</v>
          </cell>
          <cell r="E183">
            <v>0</v>
          </cell>
          <cell r="F183">
            <v>0</v>
          </cell>
          <cell r="G183">
            <v>1780</v>
          </cell>
          <cell r="H183">
            <v>1780</v>
          </cell>
          <cell r="I183">
            <v>7.7391304347826084</v>
          </cell>
        </row>
        <row r="184">
          <cell r="A184" t="str">
            <v>Pulpa de tomate de árbol</v>
          </cell>
          <cell r="B184" t="str">
            <v>Gramos</v>
          </cell>
          <cell r="C184">
            <v>0</v>
          </cell>
          <cell r="D184">
            <v>0</v>
          </cell>
          <cell r="E184">
            <v>0</v>
          </cell>
          <cell r="F184">
            <v>0</v>
          </cell>
          <cell r="G184">
            <v>1214</v>
          </cell>
          <cell r="H184">
            <v>1214</v>
          </cell>
          <cell r="I184">
            <v>5.2782608695652176</v>
          </cell>
        </row>
        <row r="185">
          <cell r="A185" t="str">
            <v>Quesito</v>
          </cell>
          <cell r="B185" t="str">
            <v>Gramos</v>
          </cell>
          <cell r="C185">
            <v>0</v>
          </cell>
          <cell r="D185">
            <v>2146.6666666666665</v>
          </cell>
          <cell r="E185">
            <v>2807</v>
          </cell>
          <cell r="F185">
            <v>1760</v>
          </cell>
          <cell r="G185">
            <v>2250.3333333333335</v>
          </cell>
          <cell r="H185">
            <v>2241</v>
          </cell>
          <cell r="I185">
            <v>10.186363636363636</v>
          </cell>
        </row>
        <row r="186">
          <cell r="A186" t="str">
            <v>Queso</v>
          </cell>
          <cell r="B186" t="str">
            <v>Gramos</v>
          </cell>
          <cell r="C186">
            <v>0</v>
          </cell>
          <cell r="D186">
            <v>5855.333333333333</v>
          </cell>
          <cell r="E186">
            <v>5586</v>
          </cell>
          <cell r="F186">
            <v>5936</v>
          </cell>
          <cell r="G186">
            <v>5904</v>
          </cell>
          <cell r="H186">
            <v>5820.333333333333</v>
          </cell>
          <cell r="I186">
            <v>14.550833333333333</v>
          </cell>
        </row>
        <row r="187">
          <cell r="A187" t="str">
            <v>Queso mozarella</v>
          </cell>
          <cell r="B187" t="str">
            <v>Gramos</v>
          </cell>
          <cell r="C187">
            <v>0</v>
          </cell>
          <cell r="D187">
            <v>4620.666666666667</v>
          </cell>
          <cell r="E187">
            <v>4114</v>
          </cell>
          <cell r="F187">
            <v>4555</v>
          </cell>
          <cell r="G187">
            <v>4616.666666666667</v>
          </cell>
          <cell r="H187">
            <v>4476.5833333333339</v>
          </cell>
          <cell r="I187">
            <v>17.906333333333336</v>
          </cell>
        </row>
        <row r="188">
          <cell r="A188" t="str">
            <v>Refresco</v>
          </cell>
          <cell r="B188" t="str">
            <v>Cm3</v>
          </cell>
          <cell r="C188">
            <v>0</v>
          </cell>
          <cell r="D188">
            <v>900</v>
          </cell>
          <cell r="E188">
            <v>1063.3333333333333</v>
          </cell>
          <cell r="F188">
            <v>717</v>
          </cell>
          <cell r="G188">
            <v>0</v>
          </cell>
          <cell r="H188">
            <v>893.44444444444434</v>
          </cell>
          <cell r="I188">
            <v>4.4672222222222215</v>
          </cell>
        </row>
        <row r="189">
          <cell r="A189" t="str">
            <v>Refresco en polvo</v>
          </cell>
          <cell r="B189" t="str">
            <v>Gramos</v>
          </cell>
          <cell r="C189">
            <v>0</v>
          </cell>
          <cell r="D189">
            <v>17419.333333333332</v>
          </cell>
          <cell r="E189">
            <v>6916.333333333333</v>
          </cell>
          <cell r="F189">
            <v>0</v>
          </cell>
          <cell r="G189">
            <v>7280</v>
          </cell>
          <cell r="H189">
            <v>10538.555555555555</v>
          </cell>
          <cell r="I189">
            <v>13.010562414266117</v>
          </cell>
        </row>
        <row r="190">
          <cell r="A190" t="str">
            <v>Remolacha</v>
          </cell>
          <cell r="B190" t="str">
            <v>Kilogramo</v>
          </cell>
          <cell r="C190">
            <v>0</v>
          </cell>
          <cell r="D190">
            <v>1300</v>
          </cell>
          <cell r="E190">
            <v>2700</v>
          </cell>
          <cell r="F190">
            <v>960</v>
          </cell>
          <cell r="G190">
            <v>1100</v>
          </cell>
          <cell r="H190">
            <v>1515</v>
          </cell>
          <cell r="I190">
            <v>1.5149999999999999</v>
          </cell>
        </row>
        <row r="191">
          <cell r="A191" t="str">
            <v xml:space="preserve">Repollo </v>
          </cell>
          <cell r="B191" t="str">
            <v>Kilogramo</v>
          </cell>
          <cell r="C191">
            <v>0</v>
          </cell>
          <cell r="D191">
            <v>1460</v>
          </cell>
          <cell r="E191">
            <v>1675</v>
          </cell>
          <cell r="F191">
            <v>820</v>
          </cell>
          <cell r="G191">
            <v>910</v>
          </cell>
          <cell r="H191">
            <v>1216.25</v>
          </cell>
          <cell r="I191">
            <v>1.2162500000000001</v>
          </cell>
        </row>
        <row r="192">
          <cell r="A192" t="str">
            <v>Rollo dulce</v>
          </cell>
          <cell r="B192" t="str">
            <v>Unidades</v>
          </cell>
          <cell r="C192">
            <v>0</v>
          </cell>
          <cell r="D192">
            <v>704</v>
          </cell>
          <cell r="E192">
            <v>0</v>
          </cell>
          <cell r="F192">
            <v>0</v>
          </cell>
          <cell r="G192">
            <v>0</v>
          </cell>
          <cell r="H192">
            <v>704</v>
          </cell>
          <cell r="I192">
            <v>704</v>
          </cell>
        </row>
        <row r="193">
          <cell r="A193" t="str">
            <v>Roscón</v>
          </cell>
          <cell r="B193" t="str">
            <v>Unidades</v>
          </cell>
          <cell r="C193">
            <v>800</v>
          </cell>
          <cell r="D193">
            <v>1700</v>
          </cell>
          <cell r="E193">
            <v>0</v>
          </cell>
          <cell r="F193">
            <v>4460</v>
          </cell>
          <cell r="G193">
            <v>0</v>
          </cell>
          <cell r="H193">
            <v>2320</v>
          </cell>
          <cell r="I193">
            <v>2320</v>
          </cell>
        </row>
        <row r="194">
          <cell r="A194" t="str">
            <v>Sal</v>
          </cell>
          <cell r="B194" t="str">
            <v>Gramos</v>
          </cell>
          <cell r="C194">
            <v>0</v>
          </cell>
          <cell r="D194">
            <v>365.33333333333331</v>
          </cell>
          <cell r="E194">
            <v>435</v>
          </cell>
          <cell r="F194">
            <v>430</v>
          </cell>
          <cell r="G194">
            <v>440</v>
          </cell>
          <cell r="H194">
            <v>417.58333333333331</v>
          </cell>
          <cell r="I194">
            <v>0.83516666666666661</v>
          </cell>
        </row>
        <row r="195">
          <cell r="A195" t="str">
            <v>Salchicha</v>
          </cell>
          <cell r="B195" t="str">
            <v>Gramos</v>
          </cell>
          <cell r="C195">
            <v>0</v>
          </cell>
          <cell r="D195">
            <v>4103.333333333333</v>
          </cell>
          <cell r="E195">
            <v>6223.333333333333</v>
          </cell>
          <cell r="F195">
            <v>5845</v>
          </cell>
          <cell r="G195">
            <v>6216</v>
          </cell>
          <cell r="H195">
            <v>5596.9166666666661</v>
          </cell>
          <cell r="I195">
            <v>12.437592592592591</v>
          </cell>
        </row>
        <row r="196">
          <cell r="A196" t="str">
            <v>Salchichón</v>
          </cell>
          <cell r="B196" t="str">
            <v>Gramos</v>
          </cell>
          <cell r="C196">
            <v>0</v>
          </cell>
          <cell r="D196">
            <v>3783.3333333333335</v>
          </cell>
          <cell r="E196">
            <v>5852.666666666667</v>
          </cell>
          <cell r="F196">
            <v>3895</v>
          </cell>
          <cell r="G196">
            <v>4010</v>
          </cell>
          <cell r="H196">
            <v>4385.25</v>
          </cell>
          <cell r="I196">
            <v>9.7449999999999992</v>
          </cell>
        </row>
        <row r="197">
          <cell r="A197" t="str">
            <v>Salsa de piña</v>
          </cell>
          <cell r="B197" t="str">
            <v>Gramos</v>
          </cell>
          <cell r="C197">
            <v>0</v>
          </cell>
          <cell r="D197">
            <v>1630</v>
          </cell>
          <cell r="E197">
            <v>2520.6666666666665</v>
          </cell>
          <cell r="F197">
            <v>0</v>
          </cell>
          <cell r="G197">
            <v>1752.3333333333333</v>
          </cell>
          <cell r="H197">
            <v>1967.6666666666663</v>
          </cell>
          <cell r="I197">
            <v>7.8706666666666649</v>
          </cell>
        </row>
        <row r="198">
          <cell r="A198" t="str">
            <v>Salsa de tomate</v>
          </cell>
          <cell r="B198" t="str">
            <v>Gramos</v>
          </cell>
          <cell r="C198">
            <v>0</v>
          </cell>
          <cell r="D198">
            <v>3130</v>
          </cell>
          <cell r="E198">
            <v>3771.6666666666665</v>
          </cell>
          <cell r="F198">
            <v>4065</v>
          </cell>
          <cell r="G198">
            <v>2906.6666666666665</v>
          </cell>
          <cell r="H198">
            <v>3468.333333333333</v>
          </cell>
          <cell r="I198">
            <v>8.6708333333333325</v>
          </cell>
        </row>
        <row r="199">
          <cell r="A199" t="str">
            <v>Salsa rosada</v>
          </cell>
          <cell r="B199" t="str">
            <v>Gramos</v>
          </cell>
          <cell r="C199">
            <v>0</v>
          </cell>
          <cell r="D199">
            <v>2169</v>
          </cell>
          <cell r="E199">
            <v>2397.6666666666665</v>
          </cell>
          <cell r="F199">
            <v>1975</v>
          </cell>
          <cell r="G199">
            <v>2240</v>
          </cell>
          <cell r="H199">
            <v>2195.4166666666665</v>
          </cell>
          <cell r="I199">
            <v>10.977083333333333</v>
          </cell>
        </row>
        <row r="200">
          <cell r="A200" t="str">
            <v>Sandía</v>
          </cell>
          <cell r="B200" t="str">
            <v>Kilogramo</v>
          </cell>
          <cell r="C200">
            <v>0</v>
          </cell>
          <cell r="D200">
            <v>2450</v>
          </cell>
          <cell r="E200">
            <v>1200</v>
          </cell>
          <cell r="F200">
            <v>1800</v>
          </cell>
          <cell r="G200">
            <v>1180</v>
          </cell>
          <cell r="H200">
            <v>1657.5</v>
          </cell>
          <cell r="I200">
            <v>1.6575</v>
          </cell>
        </row>
        <row r="201">
          <cell r="A201" t="str">
            <v xml:space="preserve">Sanduche de Jamon y queso </v>
          </cell>
          <cell r="B201" t="str">
            <v>Gramos</v>
          </cell>
          <cell r="C201">
            <v>0</v>
          </cell>
          <cell r="D201">
            <v>2000</v>
          </cell>
          <cell r="E201">
            <v>0</v>
          </cell>
          <cell r="F201">
            <v>0</v>
          </cell>
          <cell r="G201">
            <v>0</v>
          </cell>
          <cell r="H201">
            <v>2000</v>
          </cell>
          <cell r="I201">
            <v>40</v>
          </cell>
        </row>
        <row r="202">
          <cell r="A202" t="str">
            <v>Spaguetti</v>
          </cell>
          <cell r="B202" t="str">
            <v>Gramos</v>
          </cell>
          <cell r="C202">
            <v>0</v>
          </cell>
          <cell r="D202">
            <v>1645</v>
          </cell>
          <cell r="E202">
            <v>1223.3333333333333</v>
          </cell>
          <cell r="F202">
            <v>1700</v>
          </cell>
          <cell r="G202">
            <v>3395</v>
          </cell>
          <cell r="H202">
            <v>1990.8333333333333</v>
          </cell>
          <cell r="I202">
            <v>7.9633333333333329</v>
          </cell>
        </row>
        <row r="203">
          <cell r="A203" t="str">
            <v>Tomate</v>
          </cell>
          <cell r="B203" t="str">
            <v>Kilogramo</v>
          </cell>
          <cell r="C203">
            <v>0</v>
          </cell>
          <cell r="D203">
            <v>2780</v>
          </cell>
          <cell r="E203">
            <v>4000</v>
          </cell>
          <cell r="F203">
            <v>2520</v>
          </cell>
          <cell r="G203">
            <v>3026.6666666666665</v>
          </cell>
          <cell r="H203">
            <v>3081.6666666666665</v>
          </cell>
          <cell r="I203">
            <v>3.0816666666666666</v>
          </cell>
        </row>
        <row r="204">
          <cell r="A204" t="str">
            <v>Tomate de árbol</v>
          </cell>
          <cell r="B204" t="str">
            <v>Kilogramo</v>
          </cell>
          <cell r="C204">
            <v>0</v>
          </cell>
          <cell r="D204">
            <v>2112</v>
          </cell>
          <cell r="E204">
            <v>2400</v>
          </cell>
          <cell r="F204">
            <v>2380</v>
          </cell>
          <cell r="G204">
            <v>2740</v>
          </cell>
          <cell r="H204">
            <v>2408</v>
          </cell>
          <cell r="I204">
            <v>2.4079999999999999</v>
          </cell>
        </row>
        <row r="205">
          <cell r="A205" t="str">
            <v>Tostadas</v>
          </cell>
          <cell r="B205" t="str">
            <v>Gramos</v>
          </cell>
          <cell r="C205">
            <v>0</v>
          </cell>
          <cell r="D205">
            <v>1870</v>
          </cell>
          <cell r="E205">
            <v>2142.3333333333335</v>
          </cell>
          <cell r="F205">
            <v>1756.1111111111113</v>
          </cell>
          <cell r="G205">
            <v>1868.6666666666667</v>
          </cell>
          <cell r="H205">
            <v>1909.2777777777781</v>
          </cell>
          <cell r="I205">
            <v>10.048830409356727</v>
          </cell>
        </row>
        <row r="206">
          <cell r="A206" t="str">
            <v>Uvas</v>
          </cell>
          <cell r="B206" t="str">
            <v>Kilogramo</v>
          </cell>
          <cell r="C206">
            <v>0</v>
          </cell>
          <cell r="D206">
            <v>7860</v>
          </cell>
          <cell r="E206">
            <v>7450</v>
          </cell>
          <cell r="F206">
            <v>6240</v>
          </cell>
          <cell r="G206">
            <v>0</v>
          </cell>
          <cell r="H206">
            <v>7183.333333333333</v>
          </cell>
          <cell r="I206">
            <v>7.1833333333333327</v>
          </cell>
        </row>
        <row r="207">
          <cell r="A207" t="str">
            <v>Vinagre</v>
          </cell>
          <cell r="B207" t="str">
            <v>Cm3</v>
          </cell>
          <cell r="C207">
            <v>0</v>
          </cell>
          <cell r="D207">
            <v>1733.3333333333333</v>
          </cell>
          <cell r="E207">
            <v>2030</v>
          </cell>
          <cell r="F207">
            <v>1376.6666666666667</v>
          </cell>
          <cell r="G207">
            <v>2096.6666666666665</v>
          </cell>
          <cell r="H207">
            <v>1809.1666666666665</v>
          </cell>
          <cell r="I207">
            <v>3.6183333333333332</v>
          </cell>
        </row>
        <row r="208">
          <cell r="A208" t="str">
            <v>Vinagreta</v>
          </cell>
          <cell r="B208" t="str">
            <v>Gramos</v>
          </cell>
          <cell r="C208">
            <v>0</v>
          </cell>
          <cell r="D208">
            <v>4520</v>
          </cell>
          <cell r="E208">
            <v>3704.2222222222222</v>
          </cell>
          <cell r="F208">
            <v>1347.159090909091</v>
          </cell>
          <cell r="G208">
            <v>1774.3333333333333</v>
          </cell>
          <cell r="H208">
            <v>2836.4286616161621</v>
          </cell>
          <cell r="I208">
            <v>11.345714646464648</v>
          </cell>
        </row>
        <row r="209">
          <cell r="A209" t="str">
            <v>Vinagreta de mago</v>
          </cell>
          <cell r="B209" t="str">
            <v>Gramos</v>
          </cell>
          <cell r="C209">
            <v>0</v>
          </cell>
          <cell r="D209">
            <v>6735</v>
          </cell>
          <cell r="E209">
            <v>9350</v>
          </cell>
          <cell r="F209">
            <v>0</v>
          </cell>
          <cell r="G209">
            <v>0</v>
          </cell>
          <cell r="H209">
            <v>8042.5</v>
          </cell>
          <cell r="I209">
            <v>33.934599156118146</v>
          </cell>
        </row>
        <row r="210">
          <cell r="A210" t="str">
            <v>Yogurt</v>
          </cell>
          <cell r="B210" t="str">
            <v>Cm3</v>
          </cell>
          <cell r="C210">
            <v>0</v>
          </cell>
          <cell r="D210">
            <v>5536.666666666667</v>
          </cell>
          <cell r="E210">
            <v>3785.6666666666665</v>
          </cell>
          <cell r="F210">
            <v>2535</v>
          </cell>
          <cell r="G210">
            <v>3360</v>
          </cell>
          <cell r="H210">
            <v>3804.3333333333335</v>
          </cell>
          <cell r="I210">
            <v>3.8043333333333336</v>
          </cell>
        </row>
        <row r="211">
          <cell r="A211" t="str">
            <v>Yuca</v>
          </cell>
          <cell r="B211" t="str">
            <v>Kilogramo</v>
          </cell>
          <cell r="C211">
            <v>0</v>
          </cell>
          <cell r="D211">
            <v>1430</v>
          </cell>
          <cell r="E211">
            <v>2800</v>
          </cell>
          <cell r="F211">
            <v>1460</v>
          </cell>
          <cell r="G211">
            <v>1740</v>
          </cell>
          <cell r="H211">
            <v>1857.5</v>
          </cell>
          <cell r="I211">
            <v>1.8574999999999999</v>
          </cell>
        </row>
        <row r="212">
          <cell r="A212" t="str">
            <v>Zanahoria</v>
          </cell>
          <cell r="B212" t="str">
            <v>Kilogramo</v>
          </cell>
          <cell r="C212">
            <v>0</v>
          </cell>
          <cell r="D212">
            <v>930</v>
          </cell>
          <cell r="E212">
            <v>1350</v>
          </cell>
          <cell r="F212">
            <v>880</v>
          </cell>
          <cell r="G212">
            <v>1040</v>
          </cell>
          <cell r="H212">
            <v>1050</v>
          </cell>
          <cell r="I212">
            <v>1.05</v>
          </cell>
        </row>
        <row r="213">
          <cell r="A213" t="str">
            <v>Zucaritas</v>
          </cell>
          <cell r="B213" t="str">
            <v>Gramos</v>
          </cell>
          <cell r="C213">
            <v>0</v>
          </cell>
          <cell r="D213">
            <v>9490</v>
          </cell>
          <cell r="E213">
            <v>8699</v>
          </cell>
          <cell r="F213">
            <v>9540</v>
          </cell>
          <cell r="G213">
            <v>9390</v>
          </cell>
          <cell r="H213">
            <v>9279.75</v>
          </cell>
          <cell r="I213">
            <v>22.094642857142858</v>
          </cell>
        </row>
        <row r="214">
          <cell r="A214" t="str">
            <v>Rosquitas</v>
          </cell>
          <cell r="B214" t="str">
            <v>Gramos</v>
          </cell>
          <cell r="C214">
            <v>0</v>
          </cell>
          <cell r="D214">
            <v>454.941176470588</v>
          </cell>
          <cell r="E214">
            <v>501.2</v>
          </cell>
          <cell r="F214">
            <v>0</v>
          </cell>
          <cell r="G214">
            <v>420.3944444444445</v>
          </cell>
          <cell r="H214">
            <v>458.8452069716775</v>
          </cell>
          <cell r="I214">
            <v>30.5896804647785</v>
          </cell>
        </row>
        <row r="215">
          <cell r="A215" t="str">
            <v>Tocino</v>
          </cell>
          <cell r="B215" t="str">
            <v>Kilogramo</v>
          </cell>
          <cell r="C215">
            <v>11425</v>
          </cell>
          <cell r="D215">
            <v>0</v>
          </cell>
          <cell r="E215">
            <v>0</v>
          </cell>
          <cell r="F215">
            <v>0</v>
          </cell>
          <cell r="G215">
            <v>0</v>
          </cell>
          <cell r="H215">
            <v>11425</v>
          </cell>
          <cell r="I215">
            <v>11.425000000000001</v>
          </cell>
        </row>
        <row r="216">
          <cell r="A216" t="str">
            <v xml:space="preserve">Pierna </v>
          </cell>
          <cell r="B216" t="str">
            <v>Kilogramo</v>
          </cell>
          <cell r="C216">
            <v>11755</v>
          </cell>
          <cell r="D216">
            <v>0</v>
          </cell>
          <cell r="E216">
            <v>0</v>
          </cell>
          <cell r="F216">
            <v>0</v>
          </cell>
          <cell r="G216">
            <v>0</v>
          </cell>
          <cell r="H216">
            <v>11755</v>
          </cell>
          <cell r="I216">
            <v>11.755000000000001</v>
          </cell>
        </row>
        <row r="217">
          <cell r="A217" t="str">
            <v>Tocino</v>
          </cell>
          <cell r="B217" t="str">
            <v>Kilogramo</v>
          </cell>
          <cell r="C217">
            <v>11425</v>
          </cell>
          <cell r="D217">
            <v>0</v>
          </cell>
          <cell r="E217">
            <v>0</v>
          </cell>
          <cell r="F217">
            <v>0</v>
          </cell>
          <cell r="G217">
            <v>0</v>
          </cell>
          <cell r="H217">
            <v>11425</v>
          </cell>
          <cell r="I217">
            <v>11.425000000000001</v>
          </cell>
        </row>
        <row r="218">
          <cell r="A218" t="str">
            <v>Carne de cerdo</v>
          </cell>
          <cell r="B218" t="str">
            <v>Kilogramo</v>
          </cell>
          <cell r="C218">
            <v>11590</v>
          </cell>
          <cell r="D218">
            <v>0</v>
          </cell>
          <cell r="E218">
            <v>0</v>
          </cell>
          <cell r="F218">
            <v>0</v>
          </cell>
          <cell r="G218">
            <v>0</v>
          </cell>
          <cell r="H218">
            <v>11590</v>
          </cell>
          <cell r="I218">
            <v>11.59</v>
          </cell>
        </row>
        <row r="219">
          <cell r="A219">
            <v>0</v>
          </cell>
          <cell r="B219">
            <v>0</v>
          </cell>
          <cell r="C219">
            <v>0</v>
          </cell>
          <cell r="D219">
            <v>0</v>
          </cell>
          <cell r="E219">
            <v>0</v>
          </cell>
          <cell r="F219">
            <v>0</v>
          </cell>
          <cell r="G219">
            <v>0</v>
          </cell>
          <cell r="H219">
            <v>0</v>
          </cell>
          <cell r="I219">
            <v>0</v>
          </cell>
        </row>
        <row r="220">
          <cell r="A220">
            <v>0</v>
          </cell>
          <cell r="B220">
            <v>0</v>
          </cell>
          <cell r="C220">
            <v>0</v>
          </cell>
          <cell r="D220">
            <v>0</v>
          </cell>
          <cell r="E220">
            <v>0</v>
          </cell>
          <cell r="F220">
            <v>0</v>
          </cell>
          <cell r="G220">
            <v>0</v>
          </cell>
          <cell r="H220">
            <v>0</v>
          </cell>
          <cell r="I220">
            <v>0</v>
          </cell>
        </row>
        <row r="221">
          <cell r="A221">
            <v>0</v>
          </cell>
          <cell r="B221">
            <v>0</v>
          </cell>
          <cell r="C221">
            <v>0</v>
          </cell>
          <cell r="D221">
            <v>0</v>
          </cell>
          <cell r="E221">
            <v>0</v>
          </cell>
          <cell r="F221">
            <v>0</v>
          </cell>
          <cell r="G221">
            <v>0</v>
          </cell>
          <cell r="H221">
            <v>0</v>
          </cell>
          <cell r="I221">
            <v>0</v>
          </cell>
        </row>
        <row r="222">
          <cell r="A222">
            <v>0</v>
          </cell>
          <cell r="B222">
            <v>0</v>
          </cell>
          <cell r="C222">
            <v>0</v>
          </cell>
          <cell r="D222">
            <v>0</v>
          </cell>
          <cell r="E222">
            <v>0</v>
          </cell>
          <cell r="F222">
            <v>0</v>
          </cell>
          <cell r="G222">
            <v>0</v>
          </cell>
          <cell r="H222">
            <v>0</v>
          </cell>
          <cell r="I222">
            <v>0</v>
          </cell>
        </row>
        <row r="223">
          <cell r="A223">
            <v>0</v>
          </cell>
          <cell r="B223">
            <v>0</v>
          </cell>
          <cell r="C223">
            <v>0</v>
          </cell>
          <cell r="D223">
            <v>0</v>
          </cell>
          <cell r="E223">
            <v>0</v>
          </cell>
          <cell r="F223">
            <v>0</v>
          </cell>
          <cell r="G223">
            <v>0</v>
          </cell>
          <cell r="H223">
            <v>0</v>
          </cell>
          <cell r="I223">
            <v>0</v>
          </cell>
        </row>
        <row r="224">
          <cell r="A224">
            <v>0</v>
          </cell>
          <cell r="B224">
            <v>0</v>
          </cell>
          <cell r="C224">
            <v>0</v>
          </cell>
          <cell r="D224">
            <v>0</v>
          </cell>
          <cell r="E224">
            <v>0</v>
          </cell>
          <cell r="F224">
            <v>0</v>
          </cell>
          <cell r="G224">
            <v>0</v>
          </cell>
          <cell r="H224">
            <v>0</v>
          </cell>
          <cell r="I224">
            <v>0</v>
          </cell>
        </row>
        <row r="225">
          <cell r="A225">
            <v>0</v>
          </cell>
          <cell r="B225">
            <v>0</v>
          </cell>
          <cell r="C225">
            <v>0</v>
          </cell>
          <cell r="D225">
            <v>0</v>
          </cell>
          <cell r="E225">
            <v>0</v>
          </cell>
          <cell r="F225">
            <v>0</v>
          </cell>
          <cell r="G225">
            <v>0</v>
          </cell>
          <cell r="H225">
            <v>0</v>
          </cell>
          <cell r="I225">
            <v>0</v>
          </cell>
        </row>
        <row r="226">
          <cell r="A226">
            <v>0</v>
          </cell>
          <cell r="B226">
            <v>0</v>
          </cell>
          <cell r="C226">
            <v>0</v>
          </cell>
          <cell r="D226">
            <v>0</v>
          </cell>
          <cell r="E226">
            <v>0</v>
          </cell>
          <cell r="F226">
            <v>0</v>
          </cell>
          <cell r="G226">
            <v>0</v>
          </cell>
          <cell r="H226">
            <v>0</v>
          </cell>
          <cell r="I226">
            <v>0</v>
          </cell>
        </row>
      </sheetData>
      <sheetData sheetId="2">
        <row r="11">
          <cell r="G11">
            <v>415.0333333333333</v>
          </cell>
        </row>
        <row r="14">
          <cell r="G14">
            <v>68.804166666666674</v>
          </cell>
        </row>
        <row r="20">
          <cell r="G20">
            <v>194.15214828431374</v>
          </cell>
        </row>
        <row r="22">
          <cell r="G22">
            <v>244.35238095238094</v>
          </cell>
        </row>
        <row r="33">
          <cell r="G33">
            <v>222.96562581020399</v>
          </cell>
        </row>
        <row r="37">
          <cell r="G37">
            <v>371.05795454545455</v>
          </cell>
        </row>
        <row r="44">
          <cell r="G44">
            <v>63.969999999999992</v>
          </cell>
        </row>
        <row r="58">
          <cell r="G58">
            <v>344.4480462962963</v>
          </cell>
        </row>
        <row r="60">
          <cell r="G60">
            <v>52.114166666666662</v>
          </cell>
        </row>
        <row r="75">
          <cell r="G75">
            <v>367.46012393748634</v>
          </cell>
        </row>
        <row r="90">
          <cell r="G90">
            <v>344.4480462962963</v>
          </cell>
        </row>
        <row r="92">
          <cell r="G92">
            <v>52.114166666666662</v>
          </cell>
        </row>
        <row r="106">
          <cell r="G106">
            <v>166.29031060606064</v>
          </cell>
        </row>
        <row r="128">
          <cell r="G128">
            <v>160.22331410256407</v>
          </cell>
        </row>
        <row r="135">
          <cell r="G135">
            <v>67.311589371980673</v>
          </cell>
        </row>
        <row r="138">
          <cell r="G138">
            <v>116.0425</v>
          </cell>
        </row>
        <row r="155">
          <cell r="G155">
            <v>135.5015609301413</v>
          </cell>
        </row>
        <row r="162">
          <cell r="G162">
            <v>66.496166666666667</v>
          </cell>
        </row>
        <row r="169">
          <cell r="N169">
            <v>999.11094629156014</v>
          </cell>
        </row>
        <row r="178">
          <cell r="G178">
            <v>48.440894927536227</v>
          </cell>
        </row>
        <row r="196">
          <cell r="G196">
            <v>167.16478888888884</v>
          </cell>
        </row>
        <row r="201">
          <cell r="G201">
            <v>54.202500000000008</v>
          </cell>
        </row>
        <row r="210">
          <cell r="G210">
            <v>332.65685121227983</v>
          </cell>
        </row>
        <row r="225">
          <cell r="G225">
            <v>344.4480462962963</v>
          </cell>
        </row>
        <row r="227">
          <cell r="G227">
            <v>52.114166666666662</v>
          </cell>
        </row>
        <row r="242">
          <cell r="G242">
            <v>189.71825092161333</v>
          </cell>
        </row>
        <row r="247">
          <cell r="G247">
            <v>415.0333333333333</v>
          </cell>
        </row>
        <row r="251">
          <cell r="G251">
            <v>81.215624999999989</v>
          </cell>
        </row>
        <row r="256">
          <cell r="G256">
            <v>188.83828104575164</v>
          </cell>
        </row>
        <row r="270">
          <cell r="G270">
            <v>168.56690151515156</v>
          </cell>
        </row>
        <row r="285">
          <cell r="G285">
            <v>160.22331410256407</v>
          </cell>
        </row>
        <row r="293">
          <cell r="G293">
            <v>67.311589371980673</v>
          </cell>
        </row>
        <row r="296">
          <cell r="G296">
            <v>77.361666666666679</v>
          </cell>
        </row>
        <row r="313">
          <cell r="G313">
            <v>137.76870378728412</v>
          </cell>
        </row>
        <row r="320">
          <cell r="G320">
            <v>66.496166666666667</v>
          </cell>
        </row>
        <row r="325">
          <cell r="N325">
            <v>993.29447570332468</v>
          </cell>
        </row>
        <row r="335">
          <cell r="G335">
            <v>48.440894927536227</v>
          </cell>
        </row>
        <row r="350">
          <cell r="G350">
            <v>160.22331410256407</v>
          </cell>
        </row>
        <row r="355">
          <cell r="G355">
            <v>54.202500000000008</v>
          </cell>
        </row>
        <row r="361">
          <cell r="G361">
            <v>415.0333333333333</v>
          </cell>
        </row>
        <row r="363">
          <cell r="G363">
            <v>78.263750000000002</v>
          </cell>
        </row>
        <row r="369">
          <cell r="G369">
            <v>69.328500000000005</v>
          </cell>
        </row>
        <row r="377">
          <cell r="G377">
            <v>22.648138179079549</v>
          </cell>
        </row>
      </sheetData>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CTOS INDI DIC ACCIONES"/>
      <sheetName val="CTOS INDI"/>
      <sheetName val="CTOS INDI DIC"/>
      <sheetName val="R_Hno"/>
      <sheetName val="Transp"/>
      <sheetName val="Equp_Comp"/>
      <sheetName val="Arrend"/>
      <sheetName val="DOTACIÓN"/>
      <sheetName val="Mat_Edu"/>
      <sheetName val="PAPELERIA"/>
      <sheetName val="Viveres"/>
      <sheetName val="E_Educ"/>
      <sheetName val="Ins_Cocina"/>
      <sheetName val="IMPUESTOS E INDIRECTOS"/>
    </sheetNames>
    <sheetDataSet>
      <sheetData sheetId="0"/>
      <sheetData sheetId="1"/>
      <sheetData sheetId="2"/>
      <sheetData sheetId="3"/>
      <sheetData sheetId="4"/>
      <sheetData sheetId="5"/>
      <sheetData sheetId="6"/>
      <sheetData sheetId="7"/>
      <sheetData sheetId="8"/>
      <sheetData sheetId="9"/>
      <sheetData sheetId="10"/>
      <sheetData sheetId="11">
        <row r="21">
          <cell r="H21">
            <v>5360</v>
          </cell>
          <cell r="I21">
            <v>7050</v>
          </cell>
        </row>
        <row r="55">
          <cell r="H55">
            <v>9250</v>
          </cell>
          <cell r="I55">
            <v>8950</v>
          </cell>
          <cell r="J55">
            <v>7050</v>
          </cell>
        </row>
      </sheetData>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ESUMEN DE COSTOS"/>
      <sheetName val="Mueblesofi"/>
      <sheetName val="RHno"/>
      <sheetName val="Trans-Alim"/>
      <sheetName val="Pobla"/>
      <sheetName val="Poliza"/>
      <sheetName val="POBLACION"/>
      <sheetName val="C. Indirectos"/>
      <sheetName val="TRANSPORTE Y ALIMENTACION"/>
      <sheetName val="Vest-Inst"/>
      <sheetName val="DOTACION"/>
      <sheetName val="COMUNICACIONES"/>
      <sheetName val="OFICINA Y SERVICIOS"/>
    </sheetNames>
    <sheetDataSet>
      <sheetData sheetId="0" refreshError="1">
        <row r="17">
          <cell r="C17">
            <v>2473785395.7878346</v>
          </cell>
        </row>
        <row r="29">
          <cell r="C29">
            <v>2479563179.7878346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SALARIO (2)"/>
      <sheetName val="R.H."/>
      <sheetName val="KIT agrop.."/>
      <sheetName val="ELECTROD - Gerencia"/>
      <sheetName val="Insumos"/>
      <sheetName val="Herram."/>
      <sheetName val="PAPELERIA Y SUMINISTROS"/>
      <sheetName val="ESPACIO"/>
      <sheetName val="TRANSPORTE"/>
      <sheetName val="COSTOS INDIRECTOS"/>
      <sheetName val="POLIZAS (2)"/>
    </sheetNames>
    <sheetDataSet>
      <sheetData sheetId="0"/>
      <sheetData sheetId="1"/>
      <sheetData sheetId="2">
        <row r="11">
          <cell r="D11">
            <v>2169638.3201526003</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tusalario.org/COLOMBI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9"/>
  <sheetViews>
    <sheetView topLeftCell="L1" workbookViewId="0">
      <pane ySplit="7" topLeftCell="A47" activePane="bottomLeft" state="frozen"/>
      <selection pane="bottomLeft" activeCell="R65" sqref="R65"/>
    </sheetView>
  </sheetViews>
  <sheetFormatPr baseColWidth="10" defaultColWidth="11.375" defaultRowHeight="15" x14ac:dyDescent="0.25"/>
  <cols>
    <col min="1" max="1" width="36.75" style="213" customWidth="1"/>
    <col min="2" max="2" width="12.375" style="215" customWidth="1"/>
    <col min="3" max="4" width="8.625" style="215" customWidth="1"/>
    <col min="5" max="5" width="13.25" style="215" customWidth="1"/>
    <col min="6" max="6" width="12.125" style="215" bestFit="1" customWidth="1"/>
    <col min="7" max="7" width="12.25" style="215" customWidth="1"/>
    <col min="8" max="8" width="11.25" style="215" bestFit="1" customWidth="1"/>
    <col min="9" max="10" width="13" style="213" hidden="1" customWidth="1"/>
    <col min="11" max="11" width="40.875" style="213" bestFit="1" customWidth="1"/>
    <col min="12" max="12" width="18.25" style="213" bestFit="1" customWidth="1"/>
    <col min="13" max="13" width="17.875" style="213" bestFit="1" customWidth="1"/>
    <col min="14" max="14" width="13" style="213" bestFit="1" customWidth="1"/>
    <col min="15" max="15" width="15.875" style="213" customWidth="1"/>
    <col min="16" max="16" width="13.125" style="214" bestFit="1" customWidth="1"/>
    <col min="17" max="17" width="19.875" style="283" bestFit="1" customWidth="1"/>
    <col min="18" max="18" width="18.25" style="283" bestFit="1" customWidth="1"/>
    <col min="19" max="19" width="11.375" style="283"/>
    <col min="20" max="16384" width="11.375" style="214"/>
  </cols>
  <sheetData>
    <row r="1" spans="1:18" x14ac:dyDescent="0.25">
      <c r="A1" s="1305" t="s">
        <v>0</v>
      </c>
      <c r="B1" s="1306"/>
      <c r="C1" s="1306"/>
      <c r="D1" s="1306"/>
      <c r="E1" s="1306"/>
      <c r="F1" s="1306"/>
      <c r="G1" s="1306"/>
      <c r="H1" s="1306"/>
      <c r="I1" s="1306"/>
      <c r="J1" s="1306"/>
      <c r="K1" s="282"/>
      <c r="L1" s="282"/>
      <c r="M1" s="282"/>
      <c r="N1" s="282"/>
    </row>
    <row r="2" spans="1:18" x14ac:dyDescent="0.25">
      <c r="A2" s="1305" t="s">
        <v>1</v>
      </c>
      <c r="B2" s="1306"/>
      <c r="C2" s="1306"/>
      <c r="D2" s="1306"/>
      <c r="E2" s="1306"/>
      <c r="F2" s="1306"/>
      <c r="G2" s="1306"/>
      <c r="H2" s="1306"/>
      <c r="I2" s="1306"/>
      <c r="J2" s="1306"/>
      <c r="K2" s="282"/>
      <c r="L2" s="282"/>
      <c r="M2" s="282"/>
      <c r="N2" s="282"/>
    </row>
    <row r="3" spans="1:18" x14ac:dyDescent="0.25">
      <c r="A3" s="1305" t="s">
        <v>12</v>
      </c>
      <c r="B3" s="1306"/>
      <c r="C3" s="1306"/>
      <c r="D3" s="1306"/>
      <c r="E3" s="1306"/>
      <c r="F3" s="1306"/>
      <c r="G3" s="1306"/>
      <c r="H3" s="1306"/>
      <c r="I3" s="1306"/>
      <c r="J3" s="1306"/>
      <c r="K3" s="282"/>
      <c r="L3" s="282"/>
      <c r="M3" s="282"/>
      <c r="N3" s="282"/>
    </row>
    <row r="4" spans="1:18" x14ac:dyDescent="0.25">
      <c r="I4" s="216"/>
      <c r="J4" s="216"/>
      <c r="K4" s="216"/>
      <c r="L4" s="216"/>
      <c r="M4" s="216"/>
      <c r="N4" s="216"/>
    </row>
    <row r="5" spans="1:18" ht="15.75" thickBot="1" x14ac:dyDescent="0.3">
      <c r="G5" s="1307" t="s">
        <v>210</v>
      </c>
      <c r="H5" s="1307"/>
      <c r="I5" s="1307"/>
      <c r="J5" s="217">
        <v>3.6425800000000001E-2</v>
      </c>
      <c r="K5" s="217"/>
      <c r="L5" s="217"/>
      <c r="M5" s="217"/>
      <c r="N5" s="217"/>
    </row>
    <row r="6" spans="1:18" x14ac:dyDescent="0.25">
      <c r="A6" s="1308" t="s">
        <v>211</v>
      </c>
      <c r="B6" s="1310" t="s">
        <v>13</v>
      </c>
      <c r="C6" s="1310"/>
      <c r="D6" s="1310"/>
      <c r="E6" s="1311" t="s">
        <v>14</v>
      </c>
      <c r="F6" s="1312"/>
      <c r="G6" s="1312"/>
      <c r="H6" s="1313"/>
      <c r="I6" s="218" t="s">
        <v>15</v>
      </c>
      <c r="J6" s="218"/>
      <c r="K6" s="219"/>
      <c r="L6" s="219"/>
      <c r="M6" s="219"/>
      <c r="N6" s="219"/>
      <c r="O6" s="1297" t="s">
        <v>212</v>
      </c>
      <c r="Q6" s="284" t="s">
        <v>266</v>
      </c>
      <c r="R6" s="284" t="s">
        <v>267</v>
      </c>
    </row>
    <row r="7" spans="1:18" ht="45.75" thickBot="1" x14ac:dyDescent="0.3">
      <c r="A7" s="1309"/>
      <c r="B7" s="220" t="s">
        <v>17</v>
      </c>
      <c r="C7" s="220" t="s">
        <v>18</v>
      </c>
      <c r="D7" s="220" t="s">
        <v>19</v>
      </c>
      <c r="E7" s="220" t="s">
        <v>213</v>
      </c>
      <c r="F7" s="220" t="s">
        <v>20</v>
      </c>
      <c r="G7" s="221" t="s">
        <v>21</v>
      </c>
      <c r="H7" s="221" t="s">
        <v>214</v>
      </c>
      <c r="I7" s="222" t="s">
        <v>22</v>
      </c>
      <c r="J7" s="222" t="s">
        <v>72</v>
      </c>
      <c r="K7" s="223" t="s">
        <v>215</v>
      </c>
      <c r="L7" s="209" t="s">
        <v>216</v>
      </c>
      <c r="M7" s="209" t="s">
        <v>268</v>
      </c>
      <c r="N7" s="223" t="s">
        <v>209</v>
      </c>
      <c r="O7" s="1298"/>
      <c r="P7" s="224" t="s">
        <v>269</v>
      </c>
      <c r="Q7" s="285" t="s">
        <v>270</v>
      </c>
      <c r="R7" s="285" t="s">
        <v>280</v>
      </c>
    </row>
    <row r="8" spans="1:18" x14ac:dyDescent="0.25">
      <c r="A8" s="225" t="s">
        <v>217</v>
      </c>
      <c r="B8" s="226"/>
      <c r="C8" s="226"/>
      <c r="D8" s="226"/>
      <c r="E8" s="226"/>
      <c r="F8" s="226"/>
      <c r="G8" s="227"/>
      <c r="H8" s="227"/>
      <c r="I8" s="228"/>
      <c r="J8" s="228"/>
      <c r="K8" s="228"/>
      <c r="L8" s="210"/>
      <c r="M8" s="210"/>
      <c r="N8" s="228"/>
      <c r="O8" s="229"/>
      <c r="P8" s="230"/>
      <c r="Q8" s="286"/>
      <c r="R8" s="286"/>
    </row>
    <row r="9" spans="1:18" x14ac:dyDescent="0.25">
      <c r="A9" s="231" t="s">
        <v>24</v>
      </c>
      <c r="B9" s="232" t="s">
        <v>23</v>
      </c>
      <c r="C9" s="232"/>
      <c r="D9" s="232"/>
      <c r="E9" s="232" t="s">
        <v>23</v>
      </c>
      <c r="F9" s="232"/>
      <c r="G9" s="233"/>
      <c r="H9" s="233"/>
      <c r="I9" s="234"/>
      <c r="J9" s="235"/>
      <c r="K9" s="235"/>
      <c r="L9" s="211">
        <v>1523738</v>
      </c>
      <c r="M9" s="211"/>
      <c r="N9" s="235">
        <f>+L9</f>
        <v>1523738</v>
      </c>
      <c r="O9" s="235"/>
      <c r="P9" s="286">
        <f>1.027*N9</f>
        <v>1564878.926</v>
      </c>
      <c r="Q9" s="286">
        <f>+N9*1.038</f>
        <v>1581640.044</v>
      </c>
      <c r="R9" s="286">
        <f>+Q9*1.0373</f>
        <v>1640635.2176412002</v>
      </c>
    </row>
    <row r="10" spans="1:18" x14ac:dyDescent="0.25">
      <c r="A10" s="231" t="s">
        <v>25</v>
      </c>
      <c r="B10" s="236"/>
      <c r="C10" s="236" t="s">
        <v>23</v>
      </c>
      <c r="D10" s="237"/>
      <c r="E10" s="237" t="s">
        <v>23</v>
      </c>
      <c r="F10" s="237"/>
      <c r="G10" s="237"/>
      <c r="H10" s="237"/>
      <c r="I10" s="238">
        <v>1915271.3085696001</v>
      </c>
      <c r="J10" s="238">
        <f>I10*1.03</f>
        <v>1972729.4478266882</v>
      </c>
      <c r="K10" s="238"/>
      <c r="L10" s="238">
        <v>1951090</v>
      </c>
      <c r="M10" s="238"/>
      <c r="N10" s="238">
        <f>+AVERAGE(J10:L10)</f>
        <v>1961909.7239133441</v>
      </c>
      <c r="O10" s="287">
        <f>+IF(N10&lt;=1030000,61500,0)</f>
        <v>0</v>
      </c>
      <c r="P10" s="286">
        <f t="shared" ref="P10:P62" si="0">1.027*N10</f>
        <v>2014881.2864590043</v>
      </c>
      <c r="Q10" s="286">
        <f t="shared" ref="Q10:Q62" si="1">+N10*1.038</f>
        <v>2036462.2934220512</v>
      </c>
      <c r="R10" s="286">
        <f>+Q10*1.0373</f>
        <v>2112422.3369666939</v>
      </c>
    </row>
    <row r="11" spans="1:18" x14ac:dyDescent="0.25">
      <c r="A11" s="231" t="s">
        <v>218</v>
      </c>
      <c r="B11" s="236"/>
      <c r="C11" s="236"/>
      <c r="D11" s="237" t="s">
        <v>23</v>
      </c>
      <c r="E11" s="237"/>
      <c r="F11" s="237" t="s">
        <v>23</v>
      </c>
      <c r="G11" s="237"/>
      <c r="H11" s="237"/>
      <c r="I11" s="238">
        <v>2992611.41964</v>
      </c>
      <c r="J11" s="238">
        <f>I11*1.03</f>
        <v>3082389.7622292</v>
      </c>
      <c r="K11" s="238"/>
      <c r="L11" s="238"/>
      <c r="M11" s="238"/>
      <c r="N11" s="238">
        <f t="shared" ref="N11:N54" si="2">+AVERAGE(J11:L11)</f>
        <v>3082389.7622292</v>
      </c>
      <c r="O11" s="287">
        <f t="shared" ref="O11:O41" si="3">+IF(N11&lt;=1030000,61500,0)</f>
        <v>0</v>
      </c>
      <c r="P11" s="286">
        <f t="shared" si="0"/>
        <v>3165614.2858093879</v>
      </c>
      <c r="Q11" s="286">
        <f t="shared" si="1"/>
        <v>3199520.5731939096</v>
      </c>
      <c r="R11" s="286">
        <f>+Q11*1.0373</f>
        <v>3318862.690574043</v>
      </c>
    </row>
    <row r="12" spans="1:18" x14ac:dyDescent="0.25">
      <c r="A12" s="231" t="s">
        <v>219</v>
      </c>
      <c r="B12" s="236"/>
      <c r="C12" s="236"/>
      <c r="D12" s="237" t="s">
        <v>23</v>
      </c>
      <c r="E12" s="237"/>
      <c r="F12" s="237"/>
      <c r="G12" s="237" t="s">
        <v>23</v>
      </c>
      <c r="H12" s="237"/>
      <c r="I12" s="238">
        <v>3202707.1773262499</v>
      </c>
      <c r="J12" s="238">
        <f>I12*1.03</f>
        <v>3298788.3926460375</v>
      </c>
      <c r="K12" s="238"/>
      <c r="L12" s="238"/>
      <c r="M12" s="238"/>
      <c r="N12" s="238">
        <f>+AVERAGE(J12:L12)</f>
        <v>3298788.3926460375</v>
      </c>
      <c r="O12" s="287">
        <f>+IF(N12&lt;=1030000,61500,0)</f>
        <v>0</v>
      </c>
      <c r="P12" s="286">
        <f t="shared" si="0"/>
        <v>3387855.6792474804</v>
      </c>
      <c r="Q12" s="286">
        <f t="shared" si="1"/>
        <v>3424142.3515665871</v>
      </c>
      <c r="R12" s="286">
        <f>+Q12*1.0373</f>
        <v>3551862.8612800213</v>
      </c>
    </row>
    <row r="13" spans="1:18" x14ac:dyDescent="0.25">
      <c r="A13" s="231" t="s">
        <v>271</v>
      </c>
      <c r="B13" s="236"/>
      <c r="C13" s="236"/>
      <c r="D13" s="237"/>
      <c r="E13" s="237" t="s">
        <v>272</v>
      </c>
      <c r="F13" s="237"/>
      <c r="G13" s="237"/>
      <c r="H13" s="237"/>
      <c r="I13" s="238"/>
      <c r="J13" s="238"/>
      <c r="K13" s="238"/>
      <c r="L13" s="238"/>
      <c r="M13" s="238"/>
      <c r="N13" s="238"/>
      <c r="O13" s="287"/>
      <c r="P13" s="286"/>
      <c r="Q13" s="286"/>
      <c r="R13" s="286"/>
    </row>
    <row r="14" spans="1:18" x14ac:dyDescent="0.25">
      <c r="A14" s="239" t="s">
        <v>220</v>
      </c>
      <c r="B14" s="236"/>
      <c r="C14" s="236" t="s">
        <v>23</v>
      </c>
      <c r="D14" s="237"/>
      <c r="E14" s="237"/>
      <c r="F14" s="237" t="s">
        <v>23</v>
      </c>
      <c r="G14" s="237"/>
      <c r="H14" s="237"/>
      <c r="I14" s="238">
        <v>2510202.9170806203</v>
      </c>
      <c r="J14" s="238">
        <f>I14*1.03</f>
        <v>2585509.0045930389</v>
      </c>
      <c r="K14" s="238"/>
      <c r="L14" s="238"/>
      <c r="M14" s="238"/>
      <c r="N14" s="238">
        <f t="shared" si="2"/>
        <v>2585509.0045930389</v>
      </c>
      <c r="O14" s="287">
        <f t="shared" si="3"/>
        <v>0</v>
      </c>
      <c r="P14" s="286">
        <f t="shared" si="0"/>
        <v>2655317.7477170508</v>
      </c>
      <c r="Q14" s="286">
        <f t="shared" si="1"/>
        <v>2683758.3467675745</v>
      </c>
      <c r="R14" s="286">
        <f t="shared" ref="R14:R62" si="4">+Q14*1.0373</f>
        <v>2783862.5331020053</v>
      </c>
    </row>
    <row r="15" spans="1:18" x14ac:dyDescent="0.25">
      <c r="A15" s="239" t="s">
        <v>26</v>
      </c>
      <c r="B15" s="236"/>
      <c r="C15" s="236" t="s">
        <v>23</v>
      </c>
      <c r="D15" s="237"/>
      <c r="E15" s="237"/>
      <c r="F15" s="237"/>
      <c r="G15" s="237"/>
      <c r="H15" s="237"/>
      <c r="I15" s="238">
        <v>1631632.0106740501</v>
      </c>
      <c r="J15" s="238">
        <f>I15*1.03</f>
        <v>1680580.9709942716</v>
      </c>
      <c r="K15" s="238"/>
      <c r="L15" s="238"/>
      <c r="M15" s="238"/>
      <c r="N15" s="238">
        <f t="shared" si="2"/>
        <v>1680580.9709942716</v>
      </c>
      <c r="O15" s="287">
        <f t="shared" si="3"/>
        <v>0</v>
      </c>
      <c r="P15" s="286">
        <f t="shared" si="0"/>
        <v>1725956.6572111167</v>
      </c>
      <c r="Q15" s="286">
        <f t="shared" si="1"/>
        <v>1744443.0478920538</v>
      </c>
      <c r="R15" s="286">
        <f t="shared" si="4"/>
        <v>1809510.7735784277</v>
      </c>
    </row>
    <row r="16" spans="1:18" x14ac:dyDescent="0.25">
      <c r="A16" s="240" t="s">
        <v>27</v>
      </c>
      <c r="B16" s="236"/>
      <c r="C16" s="236"/>
      <c r="D16" s="237" t="s">
        <v>23</v>
      </c>
      <c r="E16" s="237"/>
      <c r="F16" s="237"/>
      <c r="G16" s="237"/>
      <c r="H16" s="237"/>
      <c r="I16" s="238">
        <v>957635.65428480005</v>
      </c>
      <c r="J16" s="238">
        <f>I16*1.03</f>
        <v>986364.72391334409</v>
      </c>
      <c r="K16" s="238"/>
      <c r="L16" s="238"/>
      <c r="M16" s="238"/>
      <c r="N16" s="238">
        <f t="shared" si="2"/>
        <v>986364.72391334409</v>
      </c>
      <c r="O16" s="287">
        <v>63600</v>
      </c>
      <c r="P16" s="286">
        <f t="shared" si="0"/>
        <v>1012996.5714590043</v>
      </c>
      <c r="Q16" s="286">
        <f t="shared" si="1"/>
        <v>1023846.5834220512</v>
      </c>
      <c r="R16" s="286">
        <f t="shared" si="4"/>
        <v>1062036.0609836937</v>
      </c>
    </row>
    <row r="17" spans="1:18" x14ac:dyDescent="0.25">
      <c r="A17" s="241" t="s">
        <v>221</v>
      </c>
      <c r="B17" s="242"/>
      <c r="C17" s="242"/>
      <c r="D17" s="243"/>
      <c r="E17" s="243"/>
      <c r="F17" s="243"/>
      <c r="G17" s="243"/>
      <c r="H17" s="243"/>
      <c r="I17" s="244"/>
      <c r="J17" s="244"/>
      <c r="K17" s="244"/>
      <c r="L17" s="244"/>
      <c r="M17" s="244"/>
      <c r="N17" s="244"/>
      <c r="O17" s="288"/>
      <c r="P17" s="286">
        <f t="shared" si="0"/>
        <v>0</v>
      </c>
      <c r="Q17" s="286">
        <f t="shared" si="1"/>
        <v>0</v>
      </c>
      <c r="R17" s="286">
        <f t="shared" si="4"/>
        <v>0</v>
      </c>
    </row>
    <row r="18" spans="1:18" x14ac:dyDescent="0.25">
      <c r="A18" s="239" t="s">
        <v>222</v>
      </c>
      <c r="B18" s="236" t="s">
        <v>23</v>
      </c>
      <c r="C18" s="236"/>
      <c r="D18" s="237"/>
      <c r="E18" s="237"/>
      <c r="F18" s="237"/>
      <c r="G18" s="237"/>
      <c r="H18" s="237"/>
      <c r="I18" s="238"/>
      <c r="J18" s="245">
        <v>635270</v>
      </c>
      <c r="K18" s="245"/>
      <c r="L18" s="246"/>
      <c r="M18" s="246"/>
      <c r="N18" s="246">
        <f t="shared" si="2"/>
        <v>635270</v>
      </c>
      <c r="O18" s="289">
        <f>+O16</f>
        <v>63600</v>
      </c>
      <c r="P18" s="286">
        <f t="shared" si="0"/>
        <v>652422.28999999992</v>
      </c>
      <c r="Q18" s="286">
        <f t="shared" si="1"/>
        <v>659410.26</v>
      </c>
      <c r="R18" s="286">
        <f t="shared" si="4"/>
        <v>684006.26269800006</v>
      </c>
    </row>
    <row r="19" spans="1:18" x14ac:dyDescent="0.25">
      <c r="A19" s="239" t="s">
        <v>223</v>
      </c>
      <c r="B19" s="247"/>
      <c r="C19" s="237" t="s">
        <v>23</v>
      </c>
      <c r="D19" s="247"/>
      <c r="E19" s="247"/>
      <c r="F19" s="247"/>
      <c r="G19" s="247"/>
      <c r="H19" s="247"/>
      <c r="I19" s="238">
        <v>753061.10426747997</v>
      </c>
      <c r="J19" s="245">
        <f>I19*1.03</f>
        <v>775652.93739550444</v>
      </c>
      <c r="K19" s="245">
        <v>653081</v>
      </c>
      <c r="L19" s="246"/>
      <c r="M19" s="246"/>
      <c r="N19" s="246">
        <f t="shared" si="2"/>
        <v>714366.96869775222</v>
      </c>
      <c r="O19" s="289">
        <f>+O18</f>
        <v>63600</v>
      </c>
      <c r="P19" s="286">
        <f t="shared" si="0"/>
        <v>733654.87685259152</v>
      </c>
      <c r="Q19" s="286">
        <f t="shared" si="1"/>
        <v>741512.91350826679</v>
      </c>
      <c r="R19" s="286">
        <f t="shared" si="4"/>
        <v>769171.34518212522</v>
      </c>
    </row>
    <row r="20" spans="1:18" x14ac:dyDescent="0.25">
      <c r="A20" s="239" t="s">
        <v>224</v>
      </c>
      <c r="B20" s="247"/>
      <c r="C20" s="237"/>
      <c r="D20" s="247" t="s">
        <v>23</v>
      </c>
      <c r="E20" s="247"/>
      <c r="F20" s="247"/>
      <c r="G20" s="247"/>
      <c r="H20" s="247"/>
      <c r="I20" s="248"/>
      <c r="J20" s="245">
        <v>817850</v>
      </c>
      <c r="K20" s="245">
        <v>807446</v>
      </c>
      <c r="L20" s="246"/>
      <c r="M20" s="246"/>
      <c r="N20" s="246">
        <f t="shared" si="2"/>
        <v>812648</v>
      </c>
      <c r="O20" s="289">
        <f>+O19</f>
        <v>63600</v>
      </c>
      <c r="P20" s="286">
        <f t="shared" si="0"/>
        <v>834589.49599999993</v>
      </c>
      <c r="Q20" s="286">
        <f t="shared" si="1"/>
        <v>843528.62400000007</v>
      </c>
      <c r="R20" s="286">
        <f t="shared" si="4"/>
        <v>874992.24167520017</v>
      </c>
    </row>
    <row r="21" spans="1:18" x14ac:dyDescent="0.25">
      <c r="A21" s="239" t="s">
        <v>225</v>
      </c>
      <c r="B21" s="247"/>
      <c r="C21" s="237"/>
      <c r="D21" s="247" t="s">
        <v>23</v>
      </c>
      <c r="E21" s="247"/>
      <c r="F21" s="247"/>
      <c r="G21" s="247"/>
      <c r="H21" s="247" t="s">
        <v>23</v>
      </c>
      <c r="I21" s="248"/>
      <c r="J21" s="245"/>
      <c r="K21" s="245">
        <v>1258666</v>
      </c>
      <c r="L21" s="246"/>
      <c r="M21" s="246"/>
      <c r="N21" s="246">
        <f t="shared" si="2"/>
        <v>1258666</v>
      </c>
      <c r="O21" s="289">
        <f t="shared" si="3"/>
        <v>0</v>
      </c>
      <c r="P21" s="286">
        <f t="shared" si="0"/>
        <v>1292649.9819999998</v>
      </c>
      <c r="Q21" s="286">
        <f t="shared" si="1"/>
        <v>1306495.308</v>
      </c>
      <c r="R21" s="286">
        <f t="shared" si="4"/>
        <v>1355227.5829884</v>
      </c>
    </row>
    <row r="22" spans="1:18" x14ac:dyDescent="0.25">
      <c r="A22" s="241" t="s">
        <v>226</v>
      </c>
      <c r="B22" s="242"/>
      <c r="C22" s="242"/>
      <c r="D22" s="243"/>
      <c r="E22" s="243"/>
      <c r="F22" s="243"/>
      <c r="G22" s="243"/>
      <c r="H22" s="243"/>
      <c r="I22" s="244"/>
      <c r="J22" s="244"/>
      <c r="K22" s="244"/>
      <c r="L22" s="244"/>
      <c r="M22" s="244"/>
      <c r="N22" s="244"/>
      <c r="O22" s="288"/>
      <c r="P22" s="286">
        <f t="shared" si="0"/>
        <v>0</v>
      </c>
      <c r="Q22" s="286">
        <f t="shared" si="1"/>
        <v>0</v>
      </c>
      <c r="R22" s="286">
        <f t="shared" si="4"/>
        <v>0</v>
      </c>
    </row>
    <row r="23" spans="1:18" x14ac:dyDescent="0.25">
      <c r="A23" s="249" t="s">
        <v>227</v>
      </c>
      <c r="B23" s="236" t="s">
        <v>23</v>
      </c>
      <c r="C23" s="236"/>
      <c r="D23" s="237"/>
      <c r="E23" s="237"/>
      <c r="F23" s="237"/>
      <c r="G23" s="237"/>
      <c r="H23" s="237"/>
      <c r="I23" s="238"/>
      <c r="J23" s="245"/>
      <c r="K23" s="245">
        <v>831194</v>
      </c>
      <c r="L23" s="246"/>
      <c r="M23" s="246"/>
      <c r="N23" s="246">
        <f t="shared" si="2"/>
        <v>831194</v>
      </c>
      <c r="O23" s="289">
        <f>+O20</f>
        <v>63600</v>
      </c>
      <c r="P23" s="286">
        <f t="shared" si="0"/>
        <v>853636.2379999999</v>
      </c>
      <c r="Q23" s="286">
        <f t="shared" si="1"/>
        <v>862779.37199999997</v>
      </c>
      <c r="R23" s="286">
        <f t="shared" si="4"/>
        <v>894961.04257560009</v>
      </c>
    </row>
    <row r="24" spans="1:18" x14ac:dyDescent="0.25">
      <c r="A24" s="249" t="s">
        <v>228</v>
      </c>
      <c r="B24" s="247"/>
      <c r="C24" s="237" t="s">
        <v>23</v>
      </c>
      <c r="D24" s="247"/>
      <c r="E24" s="247"/>
      <c r="F24" s="247"/>
      <c r="G24" s="247"/>
      <c r="H24" s="247"/>
      <c r="I24" s="238">
        <v>941326.38033435005</v>
      </c>
      <c r="J24" s="245">
        <f>I24*1.03</f>
        <v>969566.17174438061</v>
      </c>
      <c r="K24" s="245">
        <v>1128050</v>
      </c>
      <c r="L24" s="246"/>
      <c r="M24" s="246"/>
      <c r="N24" s="246">
        <f t="shared" si="2"/>
        <v>1048808.0858721903</v>
      </c>
      <c r="O24" s="289">
        <f t="shared" si="3"/>
        <v>0</v>
      </c>
      <c r="P24" s="286">
        <f t="shared" si="0"/>
        <v>1077125.9041907394</v>
      </c>
      <c r="Q24" s="286">
        <f t="shared" si="1"/>
        <v>1088662.7931353336</v>
      </c>
      <c r="R24" s="286">
        <f t="shared" si="4"/>
        <v>1129269.9153192816</v>
      </c>
    </row>
    <row r="25" spans="1:18" x14ac:dyDescent="0.25">
      <c r="A25" s="249" t="s">
        <v>229</v>
      </c>
      <c r="B25" s="236"/>
      <c r="C25" s="236" t="s">
        <v>23</v>
      </c>
      <c r="D25" s="237"/>
      <c r="E25" s="237"/>
      <c r="F25" s="237"/>
      <c r="G25" s="237"/>
      <c r="H25" s="237" t="s">
        <v>23</v>
      </c>
      <c r="I25" s="238"/>
      <c r="J25" s="245"/>
      <c r="K25" s="245">
        <v>1424905</v>
      </c>
      <c r="L25" s="246"/>
      <c r="M25" s="246"/>
      <c r="N25" s="246">
        <f t="shared" si="2"/>
        <v>1424905</v>
      </c>
      <c r="O25" s="289">
        <f t="shared" si="3"/>
        <v>0</v>
      </c>
      <c r="P25" s="286">
        <f t="shared" si="0"/>
        <v>1463377.4349999998</v>
      </c>
      <c r="Q25" s="286">
        <f t="shared" si="1"/>
        <v>1479051.3900000001</v>
      </c>
      <c r="R25" s="286">
        <f t="shared" si="4"/>
        <v>1534220.0068470002</v>
      </c>
    </row>
    <row r="26" spans="1:18" x14ac:dyDescent="0.25">
      <c r="A26" s="249" t="s">
        <v>230</v>
      </c>
      <c r="B26" s="237"/>
      <c r="C26" s="237"/>
      <c r="D26" s="237" t="s">
        <v>23</v>
      </c>
      <c r="E26" s="237"/>
      <c r="F26" s="237"/>
      <c r="G26" s="237"/>
      <c r="H26" s="237"/>
      <c r="I26" s="238">
        <v>1089519.0771465001</v>
      </c>
      <c r="J26" s="245">
        <f>I26*1.03</f>
        <v>1122204.6494608952</v>
      </c>
      <c r="K26" s="245">
        <v>1424905</v>
      </c>
      <c r="L26" s="246"/>
      <c r="M26" s="246"/>
      <c r="N26" s="246">
        <f>+AVERAGE(J26:L26)</f>
        <v>1273554.8247304475</v>
      </c>
      <c r="O26" s="289">
        <f>+IF(N26&lt;=1030000,61500,0)</f>
        <v>0</v>
      </c>
      <c r="P26" s="286">
        <f t="shared" si="0"/>
        <v>1307940.8049981694</v>
      </c>
      <c r="Q26" s="286">
        <f t="shared" si="1"/>
        <v>1321949.9080702045</v>
      </c>
      <c r="R26" s="286">
        <f t="shared" si="4"/>
        <v>1371258.6396412232</v>
      </c>
    </row>
    <row r="27" spans="1:18" x14ac:dyDescent="0.25">
      <c r="A27" s="250" t="s">
        <v>16</v>
      </c>
      <c r="B27" s="242"/>
      <c r="C27" s="242"/>
      <c r="D27" s="243"/>
      <c r="E27" s="243"/>
      <c r="F27" s="243"/>
      <c r="G27" s="243"/>
      <c r="H27" s="243"/>
      <c r="I27" s="244"/>
      <c r="J27" s="244"/>
      <c r="K27" s="244"/>
      <c r="L27" s="244"/>
      <c r="M27" s="244"/>
      <c r="N27" s="244"/>
      <c r="O27" s="288"/>
      <c r="P27" s="286">
        <f t="shared" si="0"/>
        <v>0</v>
      </c>
      <c r="Q27" s="286">
        <f t="shared" si="1"/>
        <v>0</v>
      </c>
      <c r="R27" s="286">
        <f t="shared" si="4"/>
        <v>0</v>
      </c>
    </row>
    <row r="28" spans="1:18" x14ac:dyDescent="0.25">
      <c r="A28" s="239" t="s">
        <v>28</v>
      </c>
      <c r="B28" s="236" t="s">
        <v>23</v>
      </c>
      <c r="C28" s="236"/>
      <c r="D28" s="237"/>
      <c r="E28" s="237" t="s">
        <v>23</v>
      </c>
      <c r="F28" s="237"/>
      <c r="G28" s="237"/>
      <c r="H28" s="237"/>
      <c r="I28" s="238"/>
      <c r="J28" s="245"/>
      <c r="K28" s="245">
        <v>1455313</v>
      </c>
      <c r="L28" s="246">
        <v>1615279</v>
      </c>
      <c r="M28" s="246"/>
      <c r="N28" s="246">
        <f t="shared" si="2"/>
        <v>1535296</v>
      </c>
      <c r="O28" s="289">
        <f t="shared" si="3"/>
        <v>0</v>
      </c>
      <c r="P28" s="286">
        <f t="shared" si="0"/>
        <v>1576748.9919999999</v>
      </c>
      <c r="Q28" s="286">
        <f t="shared" si="1"/>
        <v>1593637.2480000001</v>
      </c>
      <c r="R28" s="286">
        <f t="shared" si="4"/>
        <v>1653079.9173504002</v>
      </c>
    </row>
    <row r="29" spans="1:18" x14ac:dyDescent="0.25">
      <c r="A29" s="239" t="s">
        <v>29</v>
      </c>
      <c r="B29" s="236" t="s">
        <v>23</v>
      </c>
      <c r="C29" s="236"/>
      <c r="D29" s="237"/>
      <c r="E29" s="237" t="s">
        <v>23</v>
      </c>
      <c r="F29" s="237"/>
      <c r="G29" s="237"/>
      <c r="H29" s="237" t="s">
        <v>23</v>
      </c>
      <c r="I29" s="238"/>
      <c r="J29" s="245"/>
      <c r="K29" s="245">
        <v>2015049</v>
      </c>
      <c r="L29" s="246"/>
      <c r="M29" s="246"/>
      <c r="N29" s="246">
        <f t="shared" si="2"/>
        <v>2015049</v>
      </c>
      <c r="O29" s="289">
        <f t="shared" si="3"/>
        <v>0</v>
      </c>
      <c r="P29" s="286">
        <f t="shared" si="0"/>
        <v>2069455.3229999999</v>
      </c>
      <c r="Q29" s="286">
        <f t="shared" si="1"/>
        <v>2091620.862</v>
      </c>
      <c r="R29" s="286">
        <f t="shared" si="4"/>
        <v>2169638.3201526003</v>
      </c>
    </row>
    <row r="30" spans="1:18" x14ac:dyDescent="0.25">
      <c r="A30" s="239" t="s">
        <v>31</v>
      </c>
      <c r="B30" s="236"/>
      <c r="C30" s="236" t="s">
        <v>23</v>
      </c>
      <c r="D30" s="237"/>
      <c r="E30" s="237" t="s">
        <v>23</v>
      </c>
      <c r="F30" s="237"/>
      <c r="G30" s="237"/>
      <c r="H30" s="237"/>
      <c r="I30" s="238">
        <v>1506121.0628184902</v>
      </c>
      <c r="J30" s="245">
        <f>I30*1.03</f>
        <v>1551304.6947030448</v>
      </c>
      <c r="K30" s="245"/>
      <c r="L30" s="246">
        <v>1669323</v>
      </c>
      <c r="M30" s="246"/>
      <c r="N30" s="246">
        <f t="shared" si="2"/>
        <v>1610313.8473515224</v>
      </c>
      <c r="O30" s="289">
        <f t="shared" si="3"/>
        <v>0</v>
      </c>
      <c r="P30" s="286">
        <f t="shared" si="0"/>
        <v>1653792.3212300134</v>
      </c>
      <c r="Q30" s="286">
        <f t="shared" si="1"/>
        <v>1671505.7735508804</v>
      </c>
      <c r="R30" s="286">
        <f t="shared" si="4"/>
        <v>1733852.9389043285</v>
      </c>
    </row>
    <row r="31" spans="1:18" x14ac:dyDescent="0.25">
      <c r="A31" s="239" t="s">
        <v>231</v>
      </c>
      <c r="B31" s="236"/>
      <c r="C31" s="236"/>
      <c r="D31" s="237" t="s">
        <v>23</v>
      </c>
      <c r="E31" s="237" t="s">
        <v>23</v>
      </c>
      <c r="F31" s="237"/>
      <c r="G31" s="237"/>
      <c r="H31" s="237"/>
      <c r="I31" s="238"/>
      <c r="J31" s="245"/>
      <c r="K31" s="245">
        <v>1791155</v>
      </c>
      <c r="L31" s="246">
        <v>1777980</v>
      </c>
      <c r="M31" s="246"/>
      <c r="N31" s="246">
        <f t="shared" si="2"/>
        <v>1784567.5</v>
      </c>
      <c r="O31" s="289">
        <f t="shared" si="3"/>
        <v>0</v>
      </c>
      <c r="P31" s="286">
        <f t="shared" si="0"/>
        <v>1832750.8224999998</v>
      </c>
      <c r="Q31" s="286">
        <f t="shared" si="1"/>
        <v>1852381.0649999999</v>
      </c>
      <c r="R31" s="286">
        <f t="shared" si="4"/>
        <v>1921474.8787245001</v>
      </c>
    </row>
    <row r="32" spans="1:18" x14ac:dyDescent="0.25">
      <c r="A32" s="239" t="s">
        <v>232</v>
      </c>
      <c r="B32" s="236"/>
      <c r="C32" s="236"/>
      <c r="D32" s="237" t="s">
        <v>23</v>
      </c>
      <c r="E32" s="237" t="s">
        <v>23</v>
      </c>
      <c r="F32" s="237"/>
      <c r="G32" s="237"/>
      <c r="H32" s="237" t="s">
        <v>23</v>
      </c>
      <c r="I32" s="238"/>
      <c r="J32" s="245"/>
      <c r="K32" s="245">
        <v>2359496</v>
      </c>
      <c r="L32" s="246"/>
      <c r="M32" s="246"/>
      <c r="N32" s="246"/>
      <c r="O32" s="289"/>
      <c r="P32" s="286">
        <f t="shared" si="0"/>
        <v>0</v>
      </c>
      <c r="Q32" s="286">
        <f t="shared" si="1"/>
        <v>0</v>
      </c>
      <c r="R32" s="286">
        <f t="shared" si="4"/>
        <v>0</v>
      </c>
    </row>
    <row r="33" spans="1:18" x14ac:dyDescent="0.25">
      <c r="A33" s="239" t="s">
        <v>233</v>
      </c>
      <c r="B33" s="236" t="s">
        <v>23</v>
      </c>
      <c r="C33" s="236"/>
      <c r="D33" s="237"/>
      <c r="E33" s="237"/>
      <c r="F33" s="237" t="s">
        <v>23</v>
      </c>
      <c r="G33" s="237"/>
      <c r="H33" s="237"/>
      <c r="I33" s="238"/>
      <c r="J33" s="245"/>
      <c r="K33" s="245">
        <v>2144996</v>
      </c>
      <c r="L33" s="246"/>
      <c r="M33" s="246"/>
      <c r="N33" s="246">
        <f t="shared" si="2"/>
        <v>2144996</v>
      </c>
      <c r="O33" s="289">
        <f t="shared" si="3"/>
        <v>0</v>
      </c>
      <c r="P33" s="286">
        <f t="shared" si="0"/>
        <v>2202910.892</v>
      </c>
      <c r="Q33" s="286">
        <f t="shared" si="1"/>
        <v>2226505.8480000002</v>
      </c>
      <c r="R33" s="286">
        <f t="shared" si="4"/>
        <v>2309554.5161304004</v>
      </c>
    </row>
    <row r="34" spans="1:18" x14ac:dyDescent="0.25">
      <c r="A34" s="239" t="s">
        <v>234</v>
      </c>
      <c r="B34" s="236" t="s">
        <v>23</v>
      </c>
      <c r="C34" s="236"/>
      <c r="D34" s="237"/>
      <c r="E34" s="237"/>
      <c r="F34" s="237" t="s">
        <v>23</v>
      </c>
      <c r="G34" s="237"/>
      <c r="H34" s="237" t="s">
        <v>23</v>
      </c>
      <c r="I34" s="238"/>
      <c r="J34" s="245"/>
      <c r="K34" s="245">
        <v>2681245</v>
      </c>
      <c r="L34" s="246"/>
      <c r="M34" s="246"/>
      <c r="N34" s="246">
        <f t="shared" si="2"/>
        <v>2681245</v>
      </c>
      <c r="O34" s="289">
        <f t="shared" si="3"/>
        <v>0</v>
      </c>
      <c r="P34" s="286">
        <f t="shared" si="0"/>
        <v>2753638.6149999998</v>
      </c>
      <c r="Q34" s="286">
        <f t="shared" si="1"/>
        <v>2783132.31</v>
      </c>
      <c r="R34" s="286">
        <f t="shared" si="4"/>
        <v>2886943.1451630006</v>
      </c>
    </row>
    <row r="35" spans="1:18" x14ac:dyDescent="0.25">
      <c r="A35" s="239" t="s">
        <v>235</v>
      </c>
      <c r="B35" s="236"/>
      <c r="C35" s="236" t="s">
        <v>30</v>
      </c>
      <c r="D35" s="237"/>
      <c r="E35" s="237"/>
      <c r="F35" s="237" t="s">
        <v>23</v>
      </c>
      <c r="G35" s="237"/>
      <c r="H35" s="237"/>
      <c r="I35" s="238">
        <v>2259182.1670859698</v>
      </c>
      <c r="J35" s="245">
        <f>I35*1.03</f>
        <v>2326957.632098549</v>
      </c>
      <c r="K35" s="245"/>
      <c r="L35" s="246"/>
      <c r="M35" s="246"/>
      <c r="N35" s="246">
        <f>+AVERAGE(J35:L35)</f>
        <v>2326957.632098549</v>
      </c>
      <c r="O35" s="289">
        <f t="shared" si="3"/>
        <v>0</v>
      </c>
      <c r="P35" s="286">
        <f t="shared" si="0"/>
        <v>2389785.4881652095</v>
      </c>
      <c r="Q35" s="286">
        <f t="shared" si="1"/>
        <v>2415382.0221182941</v>
      </c>
      <c r="R35" s="286">
        <f t="shared" si="4"/>
        <v>2505475.7715433068</v>
      </c>
    </row>
    <row r="36" spans="1:18" x14ac:dyDescent="0.25">
      <c r="A36" s="239" t="s">
        <v>236</v>
      </c>
      <c r="B36" s="236"/>
      <c r="C36" s="236"/>
      <c r="D36" s="237" t="s">
        <v>23</v>
      </c>
      <c r="E36" s="237"/>
      <c r="F36" s="237" t="s">
        <v>23</v>
      </c>
      <c r="G36" s="237"/>
      <c r="H36" s="237"/>
      <c r="I36" s="238"/>
      <c r="J36" s="245"/>
      <c r="K36" s="245">
        <v>2681245</v>
      </c>
      <c r="L36" s="246"/>
      <c r="M36" s="246"/>
      <c r="N36" s="246">
        <f t="shared" si="2"/>
        <v>2681245</v>
      </c>
      <c r="O36" s="289">
        <f t="shared" si="3"/>
        <v>0</v>
      </c>
      <c r="P36" s="286">
        <f t="shared" si="0"/>
        <v>2753638.6149999998</v>
      </c>
      <c r="Q36" s="286">
        <f t="shared" si="1"/>
        <v>2783132.31</v>
      </c>
      <c r="R36" s="286">
        <f t="shared" si="4"/>
        <v>2886943.1451630006</v>
      </c>
    </row>
    <row r="37" spans="1:18" x14ac:dyDescent="0.25">
      <c r="A37" s="239" t="s">
        <v>237</v>
      </c>
      <c r="B37" s="236"/>
      <c r="C37" s="236"/>
      <c r="D37" s="237" t="s">
        <v>23</v>
      </c>
      <c r="E37" s="237"/>
      <c r="F37" s="237" t="s">
        <v>23</v>
      </c>
      <c r="G37" s="237"/>
      <c r="H37" s="237" t="s">
        <v>23</v>
      </c>
      <c r="I37" s="238"/>
      <c r="J37" s="245"/>
      <c r="K37" s="245">
        <v>3002995</v>
      </c>
      <c r="L37" s="246"/>
      <c r="M37" s="246"/>
      <c r="N37" s="246">
        <f t="shared" si="2"/>
        <v>3002995</v>
      </c>
      <c r="O37" s="289">
        <f t="shared" si="3"/>
        <v>0</v>
      </c>
      <c r="P37" s="286">
        <f t="shared" si="0"/>
        <v>3084075.8649999998</v>
      </c>
      <c r="Q37" s="286">
        <f t="shared" si="1"/>
        <v>3117108.81</v>
      </c>
      <c r="R37" s="286">
        <f t="shared" si="4"/>
        <v>3233376.9686130006</v>
      </c>
    </row>
    <row r="38" spans="1:18" x14ac:dyDescent="0.25">
      <c r="A38" s="239" t="s">
        <v>238</v>
      </c>
      <c r="B38" s="236" t="s">
        <v>23</v>
      </c>
      <c r="C38" s="236"/>
      <c r="D38" s="237"/>
      <c r="E38" s="237"/>
      <c r="F38" s="237"/>
      <c r="G38" s="237" t="s">
        <v>23</v>
      </c>
      <c r="H38" s="237"/>
      <c r="I38" s="238"/>
      <c r="J38" s="245"/>
      <c r="K38" s="245">
        <v>2788495</v>
      </c>
      <c r="L38" s="246"/>
      <c r="M38" s="246"/>
      <c r="N38" s="246">
        <f t="shared" si="2"/>
        <v>2788495</v>
      </c>
      <c r="O38" s="289">
        <f t="shared" si="3"/>
        <v>0</v>
      </c>
      <c r="P38" s="286">
        <f t="shared" si="0"/>
        <v>2863784.3649999998</v>
      </c>
      <c r="Q38" s="286">
        <f t="shared" si="1"/>
        <v>2894457.81</v>
      </c>
      <c r="R38" s="286">
        <f t="shared" si="4"/>
        <v>3002421.0863130004</v>
      </c>
    </row>
    <row r="39" spans="1:18" x14ac:dyDescent="0.25">
      <c r="A39" s="239" t="s">
        <v>239</v>
      </c>
      <c r="B39" s="236" t="s">
        <v>23</v>
      </c>
      <c r="C39" s="236"/>
      <c r="D39" s="237"/>
      <c r="E39" s="237"/>
      <c r="F39" s="237"/>
      <c r="G39" s="237" t="s">
        <v>23</v>
      </c>
      <c r="H39" s="237" t="s">
        <v>23</v>
      </c>
      <c r="I39" s="238"/>
      <c r="J39" s="245"/>
      <c r="K39" s="245">
        <v>3217494</v>
      </c>
      <c r="L39" s="246"/>
      <c r="M39" s="246"/>
      <c r="N39" s="246">
        <f t="shared" si="2"/>
        <v>3217494</v>
      </c>
      <c r="O39" s="289">
        <f t="shared" si="3"/>
        <v>0</v>
      </c>
      <c r="P39" s="286">
        <f t="shared" si="0"/>
        <v>3304366.3379999995</v>
      </c>
      <c r="Q39" s="286">
        <f t="shared" si="1"/>
        <v>3339758.7719999999</v>
      </c>
      <c r="R39" s="286">
        <f t="shared" si="4"/>
        <v>3464331.7741956003</v>
      </c>
    </row>
    <row r="40" spans="1:18" x14ac:dyDescent="0.25">
      <c r="A40" s="239" t="s">
        <v>240</v>
      </c>
      <c r="B40" s="236"/>
      <c r="C40" s="236"/>
      <c r="D40" s="237" t="s">
        <v>23</v>
      </c>
      <c r="E40" s="237"/>
      <c r="F40" s="237"/>
      <c r="G40" s="237" t="s">
        <v>23</v>
      </c>
      <c r="H40" s="237"/>
      <c r="I40" s="238">
        <v>2886732.3234978905</v>
      </c>
      <c r="J40" s="245">
        <f>I40*1.03</f>
        <v>2973334.2932028272</v>
      </c>
      <c r="K40" s="245">
        <v>3217494</v>
      </c>
      <c r="L40" s="246"/>
      <c r="M40" s="246"/>
      <c r="N40" s="246">
        <f t="shared" si="2"/>
        <v>3095414.1466014134</v>
      </c>
      <c r="O40" s="289">
        <f t="shared" si="3"/>
        <v>0</v>
      </c>
      <c r="P40" s="286">
        <f t="shared" si="0"/>
        <v>3178990.328559651</v>
      </c>
      <c r="Q40" s="286">
        <f t="shared" si="1"/>
        <v>3213039.8841722673</v>
      </c>
      <c r="R40" s="286">
        <f t="shared" si="4"/>
        <v>3332886.271851893</v>
      </c>
    </row>
    <row r="41" spans="1:18" x14ac:dyDescent="0.25">
      <c r="A41" s="239" t="s">
        <v>241</v>
      </c>
      <c r="B41" s="236"/>
      <c r="C41" s="236"/>
      <c r="D41" s="237" t="s">
        <v>23</v>
      </c>
      <c r="E41" s="237"/>
      <c r="F41" s="237"/>
      <c r="G41" s="237" t="s">
        <v>23</v>
      </c>
      <c r="H41" s="237" t="s">
        <v>23</v>
      </c>
      <c r="I41" s="238"/>
      <c r="J41" s="245"/>
      <c r="K41" s="245">
        <v>3753743</v>
      </c>
      <c r="L41" s="246"/>
      <c r="M41" s="246"/>
      <c r="N41" s="246">
        <f t="shared" si="2"/>
        <v>3753743</v>
      </c>
      <c r="O41" s="289">
        <f t="shared" si="3"/>
        <v>0</v>
      </c>
      <c r="P41" s="286">
        <f t="shared" si="0"/>
        <v>3855094.0609999998</v>
      </c>
      <c r="Q41" s="286">
        <f t="shared" si="1"/>
        <v>3896385.2340000002</v>
      </c>
      <c r="R41" s="286">
        <f t="shared" si="4"/>
        <v>4041720.4032282005</v>
      </c>
    </row>
    <row r="42" spans="1:18" x14ac:dyDescent="0.25">
      <c r="A42" s="250" t="s">
        <v>242</v>
      </c>
      <c r="B42" s="242"/>
      <c r="C42" s="242"/>
      <c r="D42" s="243"/>
      <c r="E42" s="243"/>
      <c r="F42" s="243"/>
      <c r="G42" s="243"/>
      <c r="H42" s="243"/>
      <c r="I42" s="244"/>
      <c r="J42" s="244"/>
      <c r="K42" s="244"/>
      <c r="L42" s="244"/>
      <c r="M42" s="244"/>
      <c r="N42" s="244"/>
      <c r="O42" s="288"/>
      <c r="P42" s="286">
        <f t="shared" si="0"/>
        <v>0</v>
      </c>
      <c r="Q42" s="286">
        <f t="shared" si="1"/>
        <v>0</v>
      </c>
      <c r="R42" s="286">
        <f t="shared" si="4"/>
        <v>0</v>
      </c>
    </row>
    <row r="43" spans="1:18" x14ac:dyDescent="0.25">
      <c r="A43" s="251" t="s">
        <v>32</v>
      </c>
      <c r="B43" s="236" t="s">
        <v>23</v>
      </c>
      <c r="C43" s="236"/>
      <c r="D43" s="237"/>
      <c r="E43" s="237" t="s">
        <v>23</v>
      </c>
      <c r="F43" s="237"/>
      <c r="G43" s="237"/>
      <c r="H43" s="237"/>
      <c r="I43" s="238"/>
      <c r="J43" s="245"/>
      <c r="K43" s="245"/>
      <c r="L43" s="246">
        <v>3366952</v>
      </c>
      <c r="M43" s="246"/>
      <c r="N43" s="246">
        <f>+AVERAGE(J43:L43)</f>
        <v>3366952</v>
      </c>
      <c r="O43" s="289">
        <f>+IF(N43&lt;=1030000,61500,0)</f>
        <v>0</v>
      </c>
      <c r="P43" s="286">
        <f t="shared" si="0"/>
        <v>3457859.7039999999</v>
      </c>
      <c r="Q43" s="286">
        <f t="shared" si="1"/>
        <v>3494896.176</v>
      </c>
      <c r="R43" s="286">
        <f t="shared" si="4"/>
        <v>3625255.8033648003</v>
      </c>
    </row>
    <row r="44" spans="1:18" x14ac:dyDescent="0.25">
      <c r="A44" s="251" t="s">
        <v>32</v>
      </c>
      <c r="B44" s="237"/>
      <c r="C44" s="237" t="s">
        <v>23</v>
      </c>
      <c r="D44" s="247"/>
      <c r="E44" s="247" t="s">
        <v>23</v>
      </c>
      <c r="F44" s="237"/>
      <c r="G44" s="237"/>
      <c r="H44" s="237"/>
      <c r="I44" s="238">
        <v>2070916.8910191001</v>
      </c>
      <c r="J44" s="245">
        <f>I44*1.03</f>
        <v>2133044.3977496731</v>
      </c>
      <c r="K44" s="245"/>
      <c r="L44" s="246">
        <v>3494911</v>
      </c>
      <c r="M44" s="246"/>
      <c r="N44" s="246">
        <f>+AVERAGE(J44:L44)</f>
        <v>2813977.6988748368</v>
      </c>
      <c r="O44" s="289">
        <f>+IF(N44&lt;=1030000,61500,0)</f>
        <v>0</v>
      </c>
      <c r="P44" s="286">
        <f t="shared" si="0"/>
        <v>2889955.0967444573</v>
      </c>
      <c r="Q44" s="286">
        <f t="shared" si="1"/>
        <v>2920908.8514320808</v>
      </c>
      <c r="R44" s="286">
        <f t="shared" si="4"/>
        <v>3029858.7515904978</v>
      </c>
    </row>
    <row r="45" spans="1:18" x14ac:dyDescent="0.25">
      <c r="A45" s="251" t="s">
        <v>33</v>
      </c>
      <c r="B45" s="237"/>
      <c r="C45" s="237" t="s">
        <v>23</v>
      </c>
      <c r="D45" s="247"/>
      <c r="E45" s="247"/>
      <c r="F45" s="237" t="s">
        <v>23</v>
      </c>
      <c r="G45" s="237"/>
      <c r="H45" s="237"/>
      <c r="I45" s="238">
        <v>2864291.1749999998</v>
      </c>
      <c r="J45" s="245">
        <f>I45*1.03</f>
        <v>2950219.9102499997</v>
      </c>
      <c r="K45" s="245"/>
      <c r="L45" s="246"/>
      <c r="M45" s="246"/>
      <c r="N45" s="246">
        <f>+AVERAGE(J45:L45)</f>
        <v>2950219.9102499997</v>
      </c>
      <c r="O45" s="289">
        <f>+IF(N45&lt;=1030000,61500,0)</f>
        <v>0</v>
      </c>
      <c r="P45" s="286">
        <f t="shared" si="0"/>
        <v>3029875.8478267496</v>
      </c>
      <c r="Q45" s="286">
        <f t="shared" si="1"/>
        <v>3062328.2668394996</v>
      </c>
      <c r="R45" s="286">
        <f t="shared" si="4"/>
        <v>3176553.1111926134</v>
      </c>
    </row>
    <row r="46" spans="1:18" x14ac:dyDescent="0.25">
      <c r="A46" s="251" t="s">
        <v>32</v>
      </c>
      <c r="B46" s="236"/>
      <c r="C46" s="236"/>
      <c r="D46" s="237" t="s">
        <v>23</v>
      </c>
      <c r="E46" s="237" t="s">
        <v>23</v>
      </c>
      <c r="F46" s="237"/>
      <c r="G46" s="237"/>
      <c r="H46" s="237"/>
      <c r="I46" s="238"/>
      <c r="J46" s="245"/>
      <c r="K46" s="245"/>
      <c r="L46" s="246">
        <v>3623238</v>
      </c>
      <c r="M46" s="246"/>
      <c r="N46" s="246">
        <f>+AVERAGE(J46:L46)</f>
        <v>3623238</v>
      </c>
      <c r="O46" s="289">
        <f>+IF(N46&lt;=1030000,61500,0)</f>
        <v>0</v>
      </c>
      <c r="P46" s="286">
        <f t="shared" si="0"/>
        <v>3721065.4259999995</v>
      </c>
      <c r="Q46" s="286">
        <f t="shared" si="1"/>
        <v>3760921.0440000002</v>
      </c>
      <c r="R46" s="286">
        <f t="shared" si="4"/>
        <v>3901203.3989412007</v>
      </c>
    </row>
    <row r="47" spans="1:18" x14ac:dyDescent="0.25">
      <c r="A47" s="251" t="s">
        <v>273</v>
      </c>
      <c r="B47" s="236" t="s">
        <v>23</v>
      </c>
      <c r="C47" s="236"/>
      <c r="D47" s="237"/>
      <c r="E47" s="237"/>
      <c r="F47" s="237"/>
      <c r="G47" s="237"/>
      <c r="H47" s="237"/>
      <c r="I47" s="238"/>
      <c r="J47" s="245"/>
      <c r="K47" s="245"/>
      <c r="L47" s="246"/>
      <c r="M47" s="246">
        <v>1700000</v>
      </c>
      <c r="N47" s="246">
        <f>+AVERAGE(J47:M47)</f>
        <v>1700000</v>
      </c>
      <c r="O47" s="289"/>
      <c r="P47" s="286">
        <f t="shared" si="0"/>
        <v>1745899.9999999998</v>
      </c>
      <c r="Q47" s="286">
        <f t="shared" si="1"/>
        <v>1764600</v>
      </c>
      <c r="R47" s="286">
        <f t="shared" si="4"/>
        <v>1830419.5800000003</v>
      </c>
    </row>
    <row r="48" spans="1:18" x14ac:dyDescent="0.25">
      <c r="A48" s="251" t="s">
        <v>273</v>
      </c>
      <c r="B48" s="236"/>
      <c r="C48" s="236" t="s">
        <v>23</v>
      </c>
      <c r="D48" s="237"/>
      <c r="E48" s="237"/>
      <c r="F48" s="237"/>
      <c r="G48" s="237"/>
      <c r="H48" s="237"/>
      <c r="I48" s="238"/>
      <c r="J48" s="245"/>
      <c r="K48" s="245"/>
      <c r="L48" s="246"/>
      <c r="M48" s="246">
        <v>1980000</v>
      </c>
      <c r="N48" s="246">
        <f>+AVERAGE(J48:M48)</f>
        <v>1980000</v>
      </c>
      <c r="O48" s="289"/>
      <c r="P48" s="286">
        <f t="shared" si="0"/>
        <v>2033459.9999999998</v>
      </c>
      <c r="Q48" s="286">
        <f t="shared" si="1"/>
        <v>2055240</v>
      </c>
      <c r="R48" s="286">
        <f t="shared" si="4"/>
        <v>2131900.452</v>
      </c>
    </row>
    <row r="49" spans="1:18" x14ac:dyDescent="0.25">
      <c r="A49" s="239" t="s">
        <v>35</v>
      </c>
      <c r="B49" s="247"/>
      <c r="C49" s="237" t="s">
        <v>23</v>
      </c>
      <c r="D49" s="247"/>
      <c r="E49" s="247"/>
      <c r="F49" s="247"/>
      <c r="G49" s="247"/>
      <c r="H49" s="247"/>
      <c r="I49" s="238">
        <v>838091.59780500003</v>
      </c>
      <c r="J49" s="245">
        <f>I49*1.03</f>
        <v>863234.34573915007</v>
      </c>
      <c r="K49" s="245"/>
      <c r="L49" s="246"/>
      <c r="M49" s="246"/>
      <c r="N49" s="246">
        <f t="shared" si="2"/>
        <v>863234.34573915007</v>
      </c>
      <c r="O49" s="289">
        <f>+O50</f>
        <v>63600</v>
      </c>
      <c r="P49" s="286">
        <f t="shared" si="0"/>
        <v>886541.67307410704</v>
      </c>
      <c r="Q49" s="286">
        <f t="shared" si="1"/>
        <v>896037.25087723776</v>
      </c>
      <c r="R49" s="286">
        <f t="shared" si="4"/>
        <v>929459.44033495884</v>
      </c>
    </row>
    <row r="50" spans="1:18" x14ac:dyDescent="0.25">
      <c r="A50" s="239" t="s">
        <v>34</v>
      </c>
      <c r="B50" s="247"/>
      <c r="C50" s="237" t="s">
        <v>23</v>
      </c>
      <c r="D50" s="247"/>
      <c r="E50" s="247"/>
      <c r="F50" s="247"/>
      <c r="G50" s="247"/>
      <c r="H50" s="247"/>
      <c r="I50" s="238">
        <v>753061.10426747997</v>
      </c>
      <c r="J50" s="245">
        <f>I50*1.03</f>
        <v>775652.93739550444</v>
      </c>
      <c r="K50" s="245"/>
      <c r="L50" s="246"/>
      <c r="M50" s="246"/>
      <c r="N50" s="246">
        <f t="shared" si="2"/>
        <v>775652.93739550444</v>
      </c>
      <c r="O50" s="289">
        <f>+O54</f>
        <v>63600</v>
      </c>
      <c r="P50" s="286">
        <f t="shared" si="0"/>
        <v>796595.56670518301</v>
      </c>
      <c r="Q50" s="286">
        <f t="shared" si="1"/>
        <v>805127.74901653361</v>
      </c>
      <c r="R50" s="286">
        <f t="shared" si="4"/>
        <v>835159.01405485044</v>
      </c>
    </row>
    <row r="51" spans="1:18" x14ac:dyDescent="0.25">
      <c r="A51" s="251" t="s">
        <v>44</v>
      </c>
      <c r="B51" s="237"/>
      <c r="C51" s="237"/>
      <c r="D51" s="237" t="s">
        <v>23</v>
      </c>
      <c r="E51" s="237"/>
      <c r="F51" s="237" t="s">
        <v>23</v>
      </c>
      <c r="G51" s="237"/>
      <c r="H51" s="237"/>
      <c r="I51" s="238">
        <v>3295628.793050895</v>
      </c>
      <c r="J51" s="245">
        <f>I51*1.03</f>
        <v>3394497.6568424217</v>
      </c>
      <c r="K51" s="245"/>
      <c r="L51" s="246"/>
      <c r="M51" s="246"/>
      <c r="N51" s="246">
        <f>+AVERAGE(J51:L51)</f>
        <v>3394497.6568424217</v>
      </c>
      <c r="O51" s="289">
        <f>+IF(N51&lt;=1030000,61500,0)</f>
        <v>0</v>
      </c>
      <c r="P51" s="286">
        <f t="shared" si="0"/>
        <v>3486149.093577167</v>
      </c>
      <c r="Q51" s="286">
        <f t="shared" si="1"/>
        <v>3523488.5678024339</v>
      </c>
      <c r="R51" s="286">
        <f t="shared" si="4"/>
        <v>3654914.6913814652</v>
      </c>
    </row>
    <row r="52" spans="1:18" x14ac:dyDescent="0.25">
      <c r="A52" s="251" t="s">
        <v>45</v>
      </c>
      <c r="B52" s="237"/>
      <c r="C52" s="237" t="s">
        <v>23</v>
      </c>
      <c r="D52" s="237"/>
      <c r="E52" s="237"/>
      <c r="F52" s="237"/>
      <c r="G52" s="237"/>
      <c r="H52" s="237"/>
      <c r="I52" s="238">
        <v>2259182.1670859698</v>
      </c>
      <c r="J52" s="245">
        <f>I52*1.03</f>
        <v>2326957.632098549</v>
      </c>
      <c r="K52" s="245"/>
      <c r="L52" s="246"/>
      <c r="M52" s="246"/>
      <c r="N52" s="246">
        <f>+AVERAGE(J52:L52)</f>
        <v>2326957.632098549</v>
      </c>
      <c r="O52" s="289">
        <f>+IF(N52&lt;=1030000,61500,0)</f>
        <v>0</v>
      </c>
      <c r="P52" s="286">
        <f t="shared" si="0"/>
        <v>2389785.4881652095</v>
      </c>
      <c r="Q52" s="286">
        <f t="shared" si="1"/>
        <v>2415382.0221182941</v>
      </c>
      <c r="R52" s="286">
        <f t="shared" si="4"/>
        <v>2505475.7715433068</v>
      </c>
    </row>
    <row r="53" spans="1:18" x14ac:dyDescent="0.25">
      <c r="A53" s="250" t="s">
        <v>243</v>
      </c>
      <c r="B53" s="252"/>
      <c r="C53" s="243"/>
      <c r="D53" s="252"/>
      <c r="E53" s="252"/>
      <c r="F53" s="252"/>
      <c r="G53" s="252"/>
      <c r="H53" s="252"/>
      <c r="I53" s="244"/>
      <c r="J53" s="244"/>
      <c r="K53" s="244"/>
      <c r="L53" s="244"/>
      <c r="M53" s="244"/>
      <c r="N53" s="244"/>
      <c r="O53" s="288"/>
      <c r="P53" s="286">
        <f t="shared" si="0"/>
        <v>0</v>
      </c>
      <c r="Q53" s="286">
        <f t="shared" si="1"/>
        <v>0</v>
      </c>
      <c r="R53" s="286">
        <f t="shared" si="4"/>
        <v>0</v>
      </c>
    </row>
    <row r="54" spans="1:18" x14ac:dyDescent="0.25">
      <c r="A54" s="239" t="s">
        <v>36</v>
      </c>
      <c r="B54" s="247"/>
      <c r="C54" s="237" t="s">
        <v>23</v>
      </c>
      <c r="D54" s="247"/>
      <c r="E54" s="247"/>
      <c r="F54" s="247"/>
      <c r="G54" s="247"/>
      <c r="H54" s="247"/>
      <c r="I54" s="238">
        <v>838091.59780500003</v>
      </c>
      <c r="J54" s="245">
        <f>I54*1.03</f>
        <v>863234.34573915007</v>
      </c>
      <c r="K54" s="245"/>
      <c r="L54" s="246">
        <v>869687</v>
      </c>
      <c r="M54" s="246"/>
      <c r="N54" s="246">
        <f t="shared" si="2"/>
        <v>866460.67286957498</v>
      </c>
      <c r="O54" s="289">
        <f>+$O$62</f>
        <v>63600</v>
      </c>
      <c r="P54" s="286">
        <f t="shared" si="0"/>
        <v>889855.1110370534</v>
      </c>
      <c r="Q54" s="286">
        <f t="shared" si="1"/>
        <v>899386.1784386189</v>
      </c>
      <c r="R54" s="286">
        <f t="shared" si="4"/>
        <v>932933.28289437946</v>
      </c>
    </row>
    <row r="55" spans="1:18" x14ac:dyDescent="0.25">
      <c r="A55" s="239" t="s">
        <v>244</v>
      </c>
      <c r="B55" s="247"/>
      <c r="C55" s="237" t="s">
        <v>23</v>
      </c>
      <c r="D55" s="247"/>
      <c r="E55" s="247"/>
      <c r="F55" s="247"/>
      <c r="G55" s="247"/>
      <c r="H55" s="247"/>
      <c r="I55" s="238"/>
      <c r="J55" s="245"/>
      <c r="K55" s="245"/>
      <c r="L55" s="246">
        <v>918924</v>
      </c>
      <c r="M55" s="246"/>
      <c r="N55" s="246">
        <f>L55</f>
        <v>918924</v>
      </c>
      <c r="O55" s="289">
        <f t="shared" ref="O55:O60" si="5">+$O$62</f>
        <v>63600</v>
      </c>
      <c r="P55" s="286">
        <f t="shared" si="0"/>
        <v>943734.94799999997</v>
      </c>
      <c r="Q55" s="286">
        <f t="shared" si="1"/>
        <v>953843.11200000008</v>
      </c>
      <c r="R55" s="286">
        <f t="shared" si="4"/>
        <v>989421.4600776002</v>
      </c>
    </row>
    <row r="56" spans="1:18" x14ac:dyDescent="0.25">
      <c r="A56" s="239" t="s">
        <v>37</v>
      </c>
      <c r="B56" s="247"/>
      <c r="C56" s="237" t="s">
        <v>23</v>
      </c>
      <c r="D56" s="247"/>
      <c r="E56" s="247"/>
      <c r="F56" s="247"/>
      <c r="G56" s="247"/>
      <c r="H56" s="247"/>
      <c r="I56" s="238">
        <v>838091.59780500003</v>
      </c>
      <c r="J56" s="245">
        <f>I56*1.03</f>
        <v>863234.34573915007</v>
      </c>
      <c r="K56" s="245"/>
      <c r="L56" s="246"/>
      <c r="M56" s="246"/>
      <c r="N56" s="246">
        <f>+AVERAGE(J56:L56)</f>
        <v>863234.34573915007</v>
      </c>
      <c r="O56" s="289">
        <f t="shared" si="5"/>
        <v>63600</v>
      </c>
      <c r="P56" s="286">
        <f t="shared" si="0"/>
        <v>886541.67307410704</v>
      </c>
      <c r="Q56" s="286">
        <f t="shared" si="1"/>
        <v>896037.25087723776</v>
      </c>
      <c r="R56" s="286">
        <f t="shared" si="4"/>
        <v>929459.44033495884</v>
      </c>
    </row>
    <row r="57" spans="1:18" x14ac:dyDescent="0.25">
      <c r="A57" s="239" t="s">
        <v>38</v>
      </c>
      <c r="B57" s="247"/>
      <c r="C57" s="237" t="s">
        <v>23</v>
      </c>
      <c r="D57" s="247"/>
      <c r="E57" s="247"/>
      <c r="F57" s="247"/>
      <c r="G57" s="247"/>
      <c r="H57" s="247"/>
      <c r="I57" s="238">
        <v>515572.41149999999</v>
      </c>
      <c r="J57" s="245">
        <f>I57*1.03</f>
        <v>531039.58384500002</v>
      </c>
      <c r="K57" s="245"/>
      <c r="L57" s="246"/>
      <c r="M57" s="246"/>
      <c r="N57" s="246">
        <f>+AVERAGE(J57:L57)</f>
        <v>531039.58384500002</v>
      </c>
      <c r="O57" s="289">
        <f t="shared" si="5"/>
        <v>63600</v>
      </c>
      <c r="P57" s="286">
        <f t="shared" si="0"/>
        <v>545377.652608815</v>
      </c>
      <c r="Q57" s="286">
        <f t="shared" si="1"/>
        <v>551219.08803111</v>
      </c>
      <c r="R57" s="286">
        <f t="shared" si="4"/>
        <v>571779.56001467048</v>
      </c>
    </row>
    <row r="58" spans="1:18" x14ac:dyDescent="0.25">
      <c r="A58" s="239" t="s">
        <v>245</v>
      </c>
      <c r="B58" s="247" t="s">
        <v>23</v>
      </c>
      <c r="C58" s="237"/>
      <c r="D58" s="247"/>
      <c r="E58" s="247"/>
      <c r="F58" s="247"/>
      <c r="G58" s="247"/>
      <c r="H58" s="247"/>
      <c r="I58" s="238"/>
      <c r="J58" s="245"/>
      <c r="K58" s="245"/>
      <c r="L58" s="246">
        <v>613625</v>
      </c>
      <c r="M58" s="246"/>
      <c r="N58" s="246">
        <f t="shared" ref="N58:N66" si="6">+AVERAGE(J58:L58)</f>
        <v>613625</v>
      </c>
      <c r="O58" s="289">
        <f t="shared" si="5"/>
        <v>63600</v>
      </c>
      <c r="P58" s="286">
        <f t="shared" si="0"/>
        <v>630192.875</v>
      </c>
      <c r="Q58" s="286">
        <f t="shared" si="1"/>
        <v>636942.75</v>
      </c>
      <c r="R58" s="286">
        <f t="shared" si="4"/>
        <v>660700.71457500011</v>
      </c>
    </row>
    <row r="59" spans="1:18" x14ac:dyDescent="0.25">
      <c r="A59" s="239" t="s">
        <v>245</v>
      </c>
      <c r="B59" s="247"/>
      <c r="C59" s="237" t="s">
        <v>23</v>
      </c>
      <c r="D59" s="247"/>
      <c r="E59" s="247"/>
      <c r="F59" s="247"/>
      <c r="G59" s="247"/>
      <c r="H59" s="247"/>
      <c r="I59" s="238"/>
      <c r="J59" s="245"/>
      <c r="K59" s="245"/>
      <c r="L59" s="246">
        <v>642292</v>
      </c>
      <c r="M59" s="246"/>
      <c r="N59" s="246">
        <f t="shared" si="6"/>
        <v>642292</v>
      </c>
      <c r="O59" s="289">
        <f t="shared" si="5"/>
        <v>63600</v>
      </c>
      <c r="P59" s="286">
        <f t="shared" si="0"/>
        <v>659633.88399999996</v>
      </c>
      <c r="Q59" s="286">
        <f t="shared" si="1"/>
        <v>666699.09600000002</v>
      </c>
      <c r="R59" s="286">
        <f t="shared" si="4"/>
        <v>691566.97228080011</v>
      </c>
    </row>
    <row r="60" spans="1:18" x14ac:dyDescent="0.25">
      <c r="A60" s="239" t="s">
        <v>245</v>
      </c>
      <c r="B60" s="247"/>
      <c r="C60" s="237"/>
      <c r="D60" s="247" t="s">
        <v>23</v>
      </c>
      <c r="E60" s="247"/>
      <c r="F60" s="247"/>
      <c r="G60" s="247"/>
      <c r="H60" s="247"/>
      <c r="I60" s="238"/>
      <c r="J60" s="245"/>
      <c r="K60" s="245"/>
      <c r="L60" s="246">
        <v>674184</v>
      </c>
      <c r="M60" s="246"/>
      <c r="N60" s="246">
        <f t="shared" si="6"/>
        <v>674184</v>
      </c>
      <c r="O60" s="289">
        <f t="shared" si="5"/>
        <v>63600</v>
      </c>
      <c r="P60" s="286">
        <f t="shared" si="0"/>
        <v>692386.96799999999</v>
      </c>
      <c r="Q60" s="286">
        <f t="shared" si="1"/>
        <v>699802.99199999997</v>
      </c>
      <c r="R60" s="286">
        <f t="shared" si="4"/>
        <v>725905.64360160008</v>
      </c>
    </row>
    <row r="61" spans="1:18" x14ac:dyDescent="0.25">
      <c r="A61" s="250" t="s">
        <v>246</v>
      </c>
      <c r="B61" s="252"/>
      <c r="C61" s="243"/>
      <c r="D61" s="252"/>
      <c r="E61" s="252"/>
      <c r="F61" s="252"/>
      <c r="G61" s="252"/>
      <c r="H61" s="252"/>
      <c r="I61" s="244"/>
      <c r="J61" s="244"/>
      <c r="K61" s="244"/>
      <c r="L61" s="244"/>
      <c r="M61" s="244"/>
      <c r="N61" s="244"/>
      <c r="O61" s="288"/>
      <c r="P61" s="286">
        <f t="shared" si="0"/>
        <v>0</v>
      </c>
      <c r="Q61" s="286">
        <f t="shared" si="1"/>
        <v>0</v>
      </c>
      <c r="R61" s="286">
        <f t="shared" si="4"/>
        <v>0</v>
      </c>
    </row>
    <row r="62" spans="1:18" x14ac:dyDescent="0.25">
      <c r="A62" s="253" t="s">
        <v>39</v>
      </c>
      <c r="B62" s="247"/>
      <c r="C62" s="237" t="s">
        <v>23</v>
      </c>
      <c r="D62" s="247"/>
      <c r="E62" s="247"/>
      <c r="F62" s="247"/>
      <c r="G62" s="247"/>
      <c r="H62" s="247"/>
      <c r="I62" s="238">
        <v>837931.1974992</v>
      </c>
      <c r="J62" s="245">
        <f>I62*1.03</f>
        <v>863069.13342417602</v>
      </c>
      <c r="K62" s="245"/>
      <c r="L62" s="246"/>
      <c r="M62" s="246"/>
      <c r="N62" s="246">
        <f t="shared" si="6"/>
        <v>863069.13342417602</v>
      </c>
      <c r="O62" s="289">
        <v>63600</v>
      </c>
      <c r="P62" s="286">
        <f t="shared" si="0"/>
        <v>886372.00002662872</v>
      </c>
      <c r="Q62" s="286">
        <f t="shared" si="1"/>
        <v>895865.76049429469</v>
      </c>
      <c r="R62" s="286">
        <f t="shared" si="4"/>
        <v>929281.55336073204</v>
      </c>
    </row>
    <row r="63" spans="1:18" x14ac:dyDescent="0.25">
      <c r="A63" s="239" t="s">
        <v>40</v>
      </c>
      <c r="B63" s="247"/>
      <c r="C63" s="237"/>
      <c r="D63" s="237" t="s">
        <v>23</v>
      </c>
      <c r="E63" s="237"/>
      <c r="F63" s="247"/>
      <c r="G63" s="247"/>
      <c r="H63" s="247"/>
      <c r="I63" s="238">
        <v>496900</v>
      </c>
      <c r="J63" s="245">
        <f>I63*1.0364258</f>
        <v>514999.98001999996</v>
      </c>
      <c r="K63" s="245"/>
      <c r="L63" s="246"/>
      <c r="M63" s="246"/>
      <c r="N63" s="246">
        <f t="shared" si="6"/>
        <v>514999.98001999996</v>
      </c>
      <c r="O63" s="289">
        <f>+O62</f>
        <v>63600</v>
      </c>
      <c r="P63" s="286">
        <f>+P66</f>
        <v>535600</v>
      </c>
      <c r="Q63" s="286">
        <f>+P63</f>
        <v>535600</v>
      </c>
      <c r="R63" s="286">
        <v>566700</v>
      </c>
    </row>
    <row r="64" spans="1:18" x14ac:dyDescent="0.25">
      <c r="A64" s="239" t="s">
        <v>41</v>
      </c>
      <c r="B64" s="237" t="s">
        <v>23</v>
      </c>
      <c r="C64" s="237"/>
      <c r="D64" s="237"/>
      <c r="E64" s="237"/>
      <c r="F64" s="247"/>
      <c r="G64" s="247"/>
      <c r="H64" s="247"/>
      <c r="I64" s="238">
        <v>496900</v>
      </c>
      <c r="J64" s="245">
        <f>I64*1.0364258</f>
        <v>514999.98001999996</v>
      </c>
      <c r="K64" s="245"/>
      <c r="L64" s="246"/>
      <c r="M64" s="246"/>
      <c r="N64" s="246">
        <f t="shared" si="6"/>
        <v>514999.98001999996</v>
      </c>
      <c r="O64" s="289">
        <f>+O63</f>
        <v>63600</v>
      </c>
      <c r="P64" s="286">
        <f>+P63</f>
        <v>535600</v>
      </c>
      <c r="Q64" s="286">
        <f>+P64</f>
        <v>535600</v>
      </c>
      <c r="R64" s="286">
        <v>566700</v>
      </c>
    </row>
    <row r="65" spans="1:31" x14ac:dyDescent="0.25">
      <c r="A65" s="239" t="s">
        <v>42</v>
      </c>
      <c r="B65" s="237"/>
      <c r="C65" s="237" t="s">
        <v>23</v>
      </c>
      <c r="D65" s="237"/>
      <c r="E65" s="237"/>
      <c r="F65" s="247"/>
      <c r="G65" s="247"/>
      <c r="H65" s="247"/>
      <c r="I65" s="238">
        <v>496900</v>
      </c>
      <c r="J65" s="245">
        <f>I65*1.0364258</f>
        <v>514999.98001999996</v>
      </c>
      <c r="K65" s="245"/>
      <c r="L65" s="246"/>
      <c r="M65" s="246"/>
      <c r="N65" s="246">
        <f t="shared" si="6"/>
        <v>514999.98001999996</v>
      </c>
      <c r="O65" s="289">
        <f>+O64</f>
        <v>63600</v>
      </c>
      <c r="P65" s="286">
        <f>+P64</f>
        <v>535600</v>
      </c>
      <c r="Q65" s="286">
        <f>+P65</f>
        <v>535600</v>
      </c>
      <c r="R65" s="286">
        <v>566700</v>
      </c>
    </row>
    <row r="66" spans="1:31" x14ac:dyDescent="0.25">
      <c r="A66" s="239" t="s">
        <v>43</v>
      </c>
      <c r="B66" s="237"/>
      <c r="C66" s="237" t="s">
        <v>23</v>
      </c>
      <c r="D66" s="237"/>
      <c r="E66" s="237"/>
      <c r="F66" s="247"/>
      <c r="G66" s="247"/>
      <c r="H66" s="247"/>
      <c r="I66" s="238">
        <v>496900</v>
      </c>
      <c r="J66" s="245">
        <f>I66*1.0364</f>
        <v>514987.16</v>
      </c>
      <c r="K66" s="245"/>
      <c r="L66" s="246"/>
      <c r="M66" s="246"/>
      <c r="N66" s="246">
        <f t="shared" si="6"/>
        <v>514987.16</v>
      </c>
      <c r="O66" s="289">
        <f>+O65</f>
        <v>63600</v>
      </c>
      <c r="P66" s="286">
        <v>535600</v>
      </c>
      <c r="Q66" s="286">
        <f>+P66</f>
        <v>535600</v>
      </c>
      <c r="R66" s="286">
        <v>566700</v>
      </c>
    </row>
    <row r="78" spans="1:31" ht="15.75" thickBot="1" x14ac:dyDescent="0.3"/>
    <row r="79" spans="1:31" ht="15.75" thickBot="1" x14ac:dyDescent="0.3">
      <c r="A79" s="254" t="s">
        <v>247</v>
      </c>
      <c r="B79" s="255"/>
      <c r="C79" s="256"/>
      <c r="D79" s="257"/>
      <c r="E79" s="257"/>
      <c r="F79" s="257"/>
      <c r="G79" s="257"/>
      <c r="H79" s="257"/>
      <c r="I79" s="258"/>
      <c r="J79" s="258"/>
      <c r="K79" s="258"/>
      <c r="L79" s="258"/>
      <c r="M79" s="258"/>
      <c r="N79" s="258"/>
      <c r="O79" s="258"/>
      <c r="P79" s="257"/>
      <c r="Q79" s="290"/>
      <c r="R79" s="290"/>
      <c r="S79" s="291"/>
      <c r="T79" s="258"/>
      <c r="U79" s="258"/>
      <c r="V79" s="257"/>
      <c r="W79" s="258"/>
      <c r="X79" s="259"/>
      <c r="Y79" s="259"/>
      <c r="Z79" s="259"/>
      <c r="AA79" s="259"/>
      <c r="AB79" s="259"/>
      <c r="AC79" s="259"/>
      <c r="AD79" s="259"/>
      <c r="AE79" s="259"/>
    </row>
    <row r="80" spans="1:31" x14ac:dyDescent="0.25">
      <c r="A80" s="260" t="s">
        <v>248</v>
      </c>
      <c r="B80" s="261"/>
      <c r="C80" s="262"/>
      <c r="D80" s="257"/>
      <c r="E80" s="257"/>
      <c r="F80" s="257"/>
      <c r="G80" s="257"/>
      <c r="H80" s="257"/>
      <c r="I80" s="258"/>
      <c r="J80" s="258"/>
      <c r="K80" s="1299" t="s">
        <v>249</v>
      </c>
      <c r="L80" s="1300"/>
      <c r="M80" s="1300"/>
      <c r="N80" s="1300"/>
      <c r="O80" s="1301"/>
      <c r="P80" s="257"/>
      <c r="Q80" s="290"/>
      <c r="R80" s="290"/>
      <c r="S80" s="291"/>
      <c r="T80" s="258"/>
      <c r="U80" s="258"/>
      <c r="V80" s="257"/>
      <c r="W80" s="258"/>
      <c r="X80" s="259"/>
      <c r="Y80" s="259"/>
      <c r="Z80" s="259"/>
      <c r="AA80" s="259"/>
      <c r="AB80" s="259"/>
      <c r="AC80" s="259"/>
      <c r="AD80" s="259"/>
      <c r="AE80" s="259"/>
    </row>
    <row r="81" spans="1:31" ht="15.75" thickBot="1" x14ac:dyDescent="0.3">
      <c r="A81" s="260" t="s">
        <v>274</v>
      </c>
      <c r="B81" s="261"/>
      <c r="C81" s="262"/>
      <c r="D81" s="257"/>
      <c r="E81" s="257"/>
      <c r="F81" s="257"/>
      <c r="G81" s="257"/>
      <c r="H81" s="257"/>
      <c r="I81" s="258"/>
      <c r="J81" s="258"/>
      <c r="K81" s="1302" t="s">
        <v>250</v>
      </c>
      <c r="L81" s="1303"/>
      <c r="M81" s="1303"/>
      <c r="N81" s="1303"/>
      <c r="O81" s="1304"/>
      <c r="P81" s="257"/>
      <c r="Q81" s="290"/>
      <c r="R81" s="290"/>
      <c r="S81" s="291"/>
      <c r="T81" s="258"/>
      <c r="U81" s="258"/>
      <c r="V81" s="257"/>
      <c r="W81" s="258"/>
      <c r="X81" s="259"/>
      <c r="Y81" s="259"/>
      <c r="Z81" s="259"/>
      <c r="AA81" s="259"/>
      <c r="AB81" s="259"/>
      <c r="AC81" s="259"/>
      <c r="AD81" s="259"/>
      <c r="AE81" s="259"/>
    </row>
    <row r="82" spans="1:31" x14ac:dyDescent="0.25">
      <c r="A82" s="260" t="s">
        <v>251</v>
      </c>
      <c r="B82" s="261"/>
      <c r="C82" s="262"/>
      <c r="D82" s="257"/>
      <c r="E82" s="257"/>
      <c r="F82" s="263"/>
      <c r="G82" s="257"/>
      <c r="H82" s="257"/>
      <c r="I82" s="258"/>
      <c r="J82" s="258"/>
      <c r="K82" s="258"/>
      <c r="L82" s="258"/>
      <c r="M82" s="258"/>
      <c r="N82" s="258"/>
      <c r="O82" s="259"/>
      <c r="P82" s="259"/>
      <c r="Q82" s="290"/>
      <c r="R82" s="290"/>
      <c r="S82" s="291"/>
      <c r="T82" s="258"/>
      <c r="U82" s="258"/>
      <c r="V82" s="257"/>
      <c r="W82" s="258"/>
      <c r="X82" s="259"/>
      <c r="Y82" s="259"/>
      <c r="Z82" s="259"/>
      <c r="AA82" s="259"/>
      <c r="AB82" s="259"/>
      <c r="AC82" s="259"/>
      <c r="AD82" s="259"/>
      <c r="AE82" s="259"/>
    </row>
    <row r="83" spans="1:31" ht="15.75" thickBot="1" x14ac:dyDescent="0.3">
      <c r="A83" s="260" t="s">
        <v>252</v>
      </c>
      <c r="B83" s="261"/>
      <c r="C83" s="262"/>
      <c r="D83" s="257"/>
      <c r="E83" s="257"/>
      <c r="F83" s="257"/>
      <c r="G83" s="257"/>
      <c r="H83" s="257"/>
      <c r="I83" s="258"/>
      <c r="J83" s="258"/>
      <c r="K83" s="264"/>
      <c r="L83" s="264"/>
      <c r="M83" s="264"/>
      <c r="N83" s="264"/>
      <c r="O83" s="265"/>
      <c r="P83" s="265"/>
      <c r="Q83" s="290"/>
      <c r="R83" s="290"/>
      <c r="S83" s="291"/>
      <c r="T83" s="258"/>
      <c r="U83" s="258"/>
      <c r="V83" s="257"/>
      <c r="W83" s="258"/>
      <c r="X83" s="259"/>
      <c r="Y83" s="259"/>
      <c r="Z83" s="259"/>
      <c r="AA83" s="259"/>
      <c r="AB83" s="259"/>
      <c r="AC83" s="259"/>
      <c r="AD83" s="259"/>
      <c r="AE83" s="259"/>
    </row>
    <row r="84" spans="1:31" ht="15.75" thickBot="1" x14ac:dyDescent="0.3">
      <c r="A84" s="260" t="s">
        <v>253</v>
      </c>
      <c r="B84" s="266"/>
      <c r="C84" s="262"/>
      <c r="D84" s="257"/>
      <c r="E84" s="257"/>
      <c r="F84" s="257"/>
      <c r="G84" s="257"/>
      <c r="H84" s="257"/>
      <c r="I84" s="258"/>
      <c r="J84" s="258"/>
      <c r="K84" s="267" t="s">
        <v>254</v>
      </c>
      <c r="L84" s="268"/>
      <c r="M84" s="268"/>
      <c r="N84" s="268"/>
      <c r="O84" s="264"/>
      <c r="P84" s="269"/>
      <c r="Q84" s="291"/>
      <c r="R84" s="291"/>
      <c r="S84" s="291"/>
      <c r="T84" s="258"/>
      <c r="U84" s="258"/>
      <c r="V84" s="258"/>
      <c r="W84" s="258"/>
      <c r="X84" s="259"/>
      <c r="Y84" s="259"/>
      <c r="Z84" s="259"/>
      <c r="AA84" s="259"/>
      <c r="AB84" s="259"/>
      <c r="AC84" s="259"/>
      <c r="AD84" s="259"/>
      <c r="AE84" s="259"/>
    </row>
    <row r="85" spans="1:31" x14ac:dyDescent="0.25">
      <c r="A85" s="260"/>
      <c r="B85" s="261"/>
      <c r="C85" s="262"/>
      <c r="D85" s="257"/>
      <c r="E85" s="257"/>
      <c r="F85" s="257"/>
      <c r="G85" s="257"/>
      <c r="H85" s="257"/>
      <c r="I85" s="258"/>
      <c r="J85" s="258"/>
      <c r="K85" s="270" t="s">
        <v>255</v>
      </c>
      <c r="L85" s="271"/>
      <c r="M85" s="271"/>
      <c r="N85" s="271"/>
      <c r="O85" s="258"/>
      <c r="P85" s="272"/>
      <c r="Q85" s="291"/>
      <c r="R85" s="291"/>
      <c r="S85" s="291"/>
      <c r="T85" s="258"/>
      <c r="U85" s="258"/>
      <c r="V85" s="258"/>
      <c r="W85" s="258"/>
      <c r="X85" s="259"/>
      <c r="Y85" s="259"/>
      <c r="Z85" s="259"/>
      <c r="AA85" s="259"/>
      <c r="AB85" s="259"/>
      <c r="AC85" s="259"/>
      <c r="AD85" s="259"/>
      <c r="AE85" s="259"/>
    </row>
    <row r="86" spans="1:31" x14ac:dyDescent="0.25">
      <c r="A86" s="273" t="s">
        <v>256</v>
      </c>
      <c r="B86" s="274"/>
      <c r="C86" s="262"/>
      <c r="D86" s="257"/>
      <c r="E86" s="257"/>
      <c r="F86" s="257"/>
      <c r="G86" s="257"/>
      <c r="H86" s="257"/>
      <c r="I86" s="258"/>
      <c r="J86" s="258"/>
      <c r="K86" s="275" t="s">
        <v>257</v>
      </c>
      <c r="L86" s="271"/>
      <c r="M86" s="271"/>
      <c r="N86" s="271"/>
      <c r="O86" s="258"/>
      <c r="P86" s="258"/>
      <c r="Q86" s="292"/>
      <c r="R86" s="291"/>
      <c r="S86" s="291"/>
      <c r="T86" s="258"/>
      <c r="U86" s="258"/>
      <c r="V86" s="258"/>
      <c r="W86" s="258"/>
      <c r="X86" s="259"/>
      <c r="Y86" s="259"/>
      <c r="Z86" s="259"/>
      <c r="AA86" s="259"/>
      <c r="AB86" s="259"/>
      <c r="AC86" s="259"/>
      <c r="AD86" s="259"/>
      <c r="AE86" s="259"/>
    </row>
    <row r="87" spans="1:31" x14ac:dyDescent="0.25">
      <c r="A87" s="260" t="s">
        <v>275</v>
      </c>
      <c r="B87" s="261"/>
      <c r="C87" s="262"/>
      <c r="D87" s="257"/>
      <c r="E87" s="257"/>
      <c r="F87" s="257"/>
      <c r="G87" s="257"/>
      <c r="H87" s="257"/>
      <c r="I87" s="258"/>
      <c r="J87" s="258"/>
      <c r="K87" s="276" t="s">
        <v>258</v>
      </c>
      <c r="L87" s="277"/>
      <c r="M87" s="277"/>
      <c r="N87" s="277"/>
      <c r="O87" s="258"/>
      <c r="P87" s="258"/>
      <c r="Q87" s="292"/>
      <c r="R87" s="291"/>
      <c r="S87" s="291"/>
      <c r="T87" s="258"/>
      <c r="U87" s="258"/>
      <c r="V87" s="258"/>
      <c r="W87" s="258"/>
      <c r="X87" s="259"/>
      <c r="Y87" s="259"/>
      <c r="Z87" s="259"/>
      <c r="AA87" s="259"/>
      <c r="AB87" s="259"/>
      <c r="AC87" s="259"/>
      <c r="AD87" s="259"/>
      <c r="AE87" s="259"/>
    </row>
    <row r="88" spans="1:31" x14ac:dyDescent="0.25">
      <c r="A88" s="260" t="s">
        <v>276</v>
      </c>
      <c r="B88" s="261"/>
      <c r="C88" s="262"/>
      <c r="D88" s="257"/>
      <c r="E88" s="257"/>
      <c r="F88" s="257"/>
      <c r="G88" s="257"/>
      <c r="H88" s="257"/>
      <c r="I88" s="258"/>
      <c r="J88" s="258"/>
      <c r="K88" s="275" t="s">
        <v>259</v>
      </c>
      <c r="L88" s="271"/>
      <c r="M88" s="271"/>
      <c r="N88" s="271"/>
      <c r="O88" s="258"/>
      <c r="P88" s="258"/>
      <c r="Q88" s="292"/>
      <c r="R88" s="291"/>
      <c r="S88" s="291"/>
      <c r="T88" s="258"/>
      <c r="U88" s="258"/>
      <c r="V88" s="258"/>
      <c r="W88" s="258"/>
      <c r="X88" s="259"/>
      <c r="Y88" s="259"/>
      <c r="Z88" s="259"/>
      <c r="AA88" s="259"/>
      <c r="AB88" s="259"/>
      <c r="AC88" s="259"/>
      <c r="AD88" s="259"/>
      <c r="AE88" s="259"/>
    </row>
    <row r="89" spans="1:31" ht="15.75" thickBot="1" x14ac:dyDescent="0.3">
      <c r="A89" s="278" t="s">
        <v>277</v>
      </c>
      <c r="B89" s="279"/>
      <c r="C89" s="280"/>
      <c r="D89" s="280"/>
      <c r="E89" s="280"/>
      <c r="F89" s="280"/>
      <c r="G89" s="280"/>
      <c r="H89" s="280"/>
      <c r="I89" s="214"/>
      <c r="J89" s="214"/>
      <c r="K89" s="214"/>
      <c r="L89" s="214"/>
      <c r="M89" s="214"/>
      <c r="N89" s="214"/>
      <c r="O89" s="214"/>
    </row>
  </sheetData>
  <mergeCells count="10">
    <mergeCell ref="O6:O7"/>
    <mergeCell ref="K80:O80"/>
    <mergeCell ref="K81:O81"/>
    <mergeCell ref="A1:J1"/>
    <mergeCell ref="A2:J2"/>
    <mergeCell ref="A3:J3"/>
    <mergeCell ref="G5:I5"/>
    <mergeCell ref="A6:A7"/>
    <mergeCell ref="B6:D6"/>
    <mergeCell ref="E6:H6"/>
  </mergeCells>
  <hyperlinks>
    <hyperlink ref="L7"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zoomScale="75" zoomScaleNormal="75" workbookViewId="0">
      <selection activeCell="A27" sqref="A27"/>
    </sheetView>
  </sheetViews>
  <sheetFormatPr baseColWidth="10" defaultRowHeight="15" x14ac:dyDescent="0.25"/>
  <cols>
    <col min="1" max="1" width="51.875" customWidth="1"/>
    <col min="2" max="2" width="10" customWidth="1"/>
    <col min="3" max="3" width="10.375" hidden="1" customWidth="1"/>
    <col min="4" max="4" width="8.75" hidden="1" customWidth="1"/>
    <col min="5" max="5" width="18.875" customWidth="1"/>
    <col min="6" max="6" width="20.125" customWidth="1"/>
    <col min="7" max="7" width="9.125" hidden="1" customWidth="1"/>
    <col min="8" max="8" width="10.375" hidden="1" customWidth="1"/>
    <col min="9" max="9" width="6.375" hidden="1" customWidth="1"/>
    <col min="10" max="10" width="9.125" hidden="1" customWidth="1"/>
    <col min="11" max="11" width="13" bestFit="1" customWidth="1"/>
    <col min="12" max="12" width="13" hidden="1" customWidth="1"/>
    <col min="13" max="13" width="12.125" bestFit="1" customWidth="1"/>
    <col min="14" max="14" width="17.75" bestFit="1" customWidth="1"/>
    <col min="15" max="15" width="13.75" bestFit="1" customWidth="1"/>
  </cols>
  <sheetData>
    <row r="1" spans="1:15" ht="16.5" x14ac:dyDescent="0.25">
      <c r="A1" s="1321" t="s">
        <v>0</v>
      </c>
      <c r="B1" s="1321"/>
      <c r="C1" s="1321"/>
      <c r="D1" s="1321"/>
      <c r="E1" s="1321"/>
      <c r="F1" s="1321"/>
      <c r="G1" s="1321"/>
      <c r="H1" s="1321"/>
      <c r="I1" s="1321"/>
      <c r="J1" s="1321"/>
      <c r="K1" s="1321"/>
      <c r="L1" s="1321"/>
      <c r="M1" s="1321"/>
      <c r="N1" s="1321"/>
    </row>
    <row r="2" spans="1:15" ht="16.5" x14ac:dyDescent="0.25">
      <c r="A2" s="1321" t="s">
        <v>1</v>
      </c>
      <c r="B2" s="1321"/>
      <c r="C2" s="1321"/>
      <c r="D2" s="1321"/>
      <c r="E2" s="1321"/>
      <c r="F2" s="1321"/>
      <c r="G2" s="1321"/>
      <c r="H2" s="1321"/>
      <c r="I2" s="1321"/>
      <c r="J2" s="1321"/>
      <c r="K2" s="1321"/>
      <c r="L2" s="1321"/>
      <c r="M2" s="1321"/>
      <c r="N2" s="1321"/>
    </row>
    <row r="3" spans="1:15" ht="16.5" x14ac:dyDescent="0.25">
      <c r="A3" s="1322" t="s">
        <v>104</v>
      </c>
      <c r="B3" s="1322"/>
      <c r="C3" s="1322"/>
      <c r="D3" s="1322"/>
      <c r="E3" s="1322"/>
      <c r="F3" s="1322"/>
      <c r="G3" s="1322"/>
      <c r="H3" s="1322"/>
      <c r="I3" s="1322"/>
      <c r="J3" s="1322"/>
      <c r="K3" s="1322"/>
      <c r="L3" s="1322"/>
      <c r="M3" s="1322"/>
      <c r="N3" s="1322"/>
    </row>
    <row r="4" spans="1:15" ht="16.5" x14ac:dyDescent="0.25">
      <c r="A4" s="1322" t="s">
        <v>96</v>
      </c>
      <c r="B4" s="1322"/>
      <c r="C4" s="1322"/>
      <c r="D4" s="1322"/>
      <c r="E4" s="1322"/>
      <c r="F4" s="1322"/>
      <c r="G4" s="1322"/>
      <c r="H4" s="1322"/>
      <c r="I4" s="1322"/>
      <c r="J4" s="1322"/>
      <c r="K4" s="1322"/>
      <c r="L4" s="1322"/>
      <c r="M4" s="1322"/>
      <c r="N4" s="1322"/>
    </row>
    <row r="7" spans="1:15" ht="16.5" x14ac:dyDescent="0.25">
      <c r="A7" s="30" t="s">
        <v>134</v>
      </c>
      <c r="B7" s="30"/>
    </row>
    <row r="8" spans="1:15" ht="16.5" x14ac:dyDescent="0.25">
      <c r="A8" s="30"/>
      <c r="B8" s="30"/>
    </row>
    <row r="10" spans="1:15" s="25" customFormat="1" ht="16.5" x14ac:dyDescent="0.25">
      <c r="A10" s="1314" t="s">
        <v>137</v>
      </c>
      <c r="B10" s="1314"/>
      <c r="C10" s="1314"/>
      <c r="D10" s="1314"/>
      <c r="E10" s="1314"/>
      <c r="F10" s="1314"/>
      <c r="G10" s="1314"/>
      <c r="H10" s="1314"/>
      <c r="I10" s="1314"/>
      <c r="J10" s="1314"/>
      <c r="K10" s="1314"/>
      <c r="L10" s="1314"/>
      <c r="M10" s="1314"/>
      <c r="N10" s="1314"/>
    </row>
    <row r="11" spans="1:15" s="25" customFormat="1" ht="16.5" x14ac:dyDescent="0.25">
      <c r="A11" s="33"/>
      <c r="B11" s="33"/>
      <c r="C11" s="33"/>
      <c r="D11" s="33"/>
      <c r="E11" s="33"/>
      <c r="F11" s="33"/>
      <c r="G11" s="33"/>
      <c r="H11" s="33"/>
      <c r="I11" s="33"/>
      <c r="J11" s="33"/>
      <c r="K11" s="33"/>
      <c r="L11" s="33"/>
      <c r="M11" s="33"/>
      <c r="N11" s="33"/>
    </row>
    <row r="12" spans="1:15" ht="15.75" thickBot="1" x14ac:dyDescent="0.3">
      <c r="C12" s="32"/>
      <c r="D12" s="32"/>
      <c r="F12" s="1323"/>
      <c r="G12" s="1323"/>
      <c r="H12" s="1323">
        <v>40082</v>
      </c>
      <c r="I12" s="1323"/>
      <c r="J12" s="1323"/>
      <c r="K12" s="32"/>
      <c r="L12" s="32"/>
      <c r="M12" s="32"/>
    </row>
    <row r="13" spans="1:15" s="24" customFormat="1" ht="38.25" customHeight="1" thickBot="1" x14ac:dyDescent="0.3">
      <c r="A13" s="62" t="s">
        <v>46</v>
      </c>
      <c r="B13" s="62" t="s">
        <v>82</v>
      </c>
      <c r="C13" s="1324" t="s">
        <v>92</v>
      </c>
      <c r="D13" s="1326"/>
      <c r="E13" s="62" t="s">
        <v>47</v>
      </c>
      <c r="F13" s="67" t="s">
        <v>99</v>
      </c>
      <c r="G13" s="72"/>
      <c r="H13" s="1324" t="s">
        <v>69</v>
      </c>
      <c r="I13" s="1325"/>
      <c r="J13" s="1326"/>
      <c r="K13" s="62" t="s">
        <v>64</v>
      </c>
      <c r="L13" s="69"/>
      <c r="M13" s="81" t="s">
        <v>133</v>
      </c>
      <c r="N13" s="66" t="s">
        <v>48</v>
      </c>
    </row>
    <row r="14" spans="1:15" s="24" customFormat="1" ht="18" customHeight="1" x14ac:dyDescent="0.25">
      <c r="A14" s="60" t="s">
        <v>51</v>
      </c>
      <c r="B14" s="1315"/>
      <c r="C14" s="1316"/>
      <c r="D14" s="1316"/>
      <c r="E14" s="1316"/>
      <c r="F14" s="1316"/>
      <c r="G14" s="1316"/>
      <c r="H14" s="1316"/>
      <c r="I14" s="1316"/>
      <c r="J14" s="1316"/>
      <c r="K14" s="1317"/>
      <c r="L14" s="73"/>
      <c r="M14" s="61" t="s">
        <v>135</v>
      </c>
      <c r="N14" s="56"/>
    </row>
    <row r="15" spans="1:15" s="23" customFormat="1" ht="20.100000000000001" customHeight="1" x14ac:dyDescent="0.25">
      <c r="A15" s="38" t="s">
        <v>86</v>
      </c>
      <c r="B15" s="79" t="s">
        <v>9</v>
      </c>
      <c r="C15" s="35"/>
      <c r="D15" s="47"/>
      <c r="E15" s="49">
        <v>7000</v>
      </c>
      <c r="F15" s="49">
        <v>7000</v>
      </c>
      <c r="G15" s="76">
        <f>F15*0.25</f>
        <v>1750</v>
      </c>
      <c r="H15" s="27">
        <v>7300</v>
      </c>
      <c r="I15" s="27" t="s">
        <v>70</v>
      </c>
      <c r="J15" s="74"/>
      <c r="K15" s="49">
        <f>(E15+F15)/2</f>
        <v>7000</v>
      </c>
      <c r="L15" s="54"/>
      <c r="M15" s="44">
        <v>0.25</v>
      </c>
      <c r="N15" s="53">
        <f>K15*0.25</f>
        <v>1750</v>
      </c>
      <c r="O15" s="31"/>
    </row>
    <row r="16" spans="1:15" s="23" customFormat="1" ht="20.100000000000001" customHeight="1" x14ac:dyDescent="0.25">
      <c r="A16" s="38" t="s">
        <v>85</v>
      </c>
      <c r="B16" s="79" t="s">
        <v>9</v>
      </c>
      <c r="C16" s="43">
        <v>4900</v>
      </c>
      <c r="D16" s="48" t="s">
        <v>70</v>
      </c>
      <c r="E16" s="49">
        <v>5200</v>
      </c>
      <c r="F16" s="49">
        <v>5200</v>
      </c>
      <c r="G16" s="76">
        <f>F16*0.25</f>
        <v>1300</v>
      </c>
      <c r="H16" s="27">
        <v>4200</v>
      </c>
      <c r="I16" s="27" t="s">
        <v>9</v>
      </c>
      <c r="J16" s="74"/>
      <c r="K16" s="49">
        <f>(E16+F16)/2</f>
        <v>5200</v>
      </c>
      <c r="L16" s="54"/>
      <c r="M16" s="45">
        <v>0.25</v>
      </c>
      <c r="N16" s="57">
        <f>K16*0.25</f>
        <v>1300</v>
      </c>
      <c r="O16" s="31"/>
    </row>
    <row r="17" spans="1:15" s="29" customFormat="1" ht="20.100000000000001" customHeight="1" x14ac:dyDescent="0.25">
      <c r="A17" s="39" t="s">
        <v>52</v>
      </c>
      <c r="B17" s="1327"/>
      <c r="C17" s="1328"/>
      <c r="D17" s="1328"/>
      <c r="E17" s="1328"/>
      <c r="F17" s="1328"/>
      <c r="G17" s="1328"/>
      <c r="H17" s="1328"/>
      <c r="I17" s="1328"/>
      <c r="J17" s="1328"/>
      <c r="K17" s="1329"/>
      <c r="L17" s="54"/>
      <c r="M17" s="46" t="s">
        <v>136</v>
      </c>
      <c r="N17" s="58"/>
    </row>
    <row r="18" spans="1:15" s="23" customFormat="1" ht="20.100000000000001" customHeight="1" x14ac:dyDescent="0.25">
      <c r="A18" s="40" t="s">
        <v>138</v>
      </c>
      <c r="B18" s="51" t="s">
        <v>11</v>
      </c>
      <c r="C18" s="36"/>
      <c r="D18" s="48"/>
      <c r="E18" s="49">
        <v>6000</v>
      </c>
      <c r="F18" s="49">
        <v>6000</v>
      </c>
      <c r="G18" s="76">
        <f t="shared" ref="G18:G25" si="0">F18/500*20</f>
        <v>240</v>
      </c>
      <c r="H18" s="27">
        <v>6750</v>
      </c>
      <c r="I18" s="28" t="s">
        <v>11</v>
      </c>
      <c r="J18" s="74">
        <f t="shared" ref="J18:J25" si="1">H18/454*20</f>
        <v>297.3568281938326</v>
      </c>
      <c r="K18" s="49">
        <f t="shared" ref="K18:K25" si="2">(E18+F18)/2</f>
        <v>6000</v>
      </c>
      <c r="L18" s="54"/>
      <c r="M18" s="45">
        <v>20</v>
      </c>
      <c r="N18" s="57">
        <f t="shared" ref="N18:N25" si="3">K18/500*20</f>
        <v>240</v>
      </c>
      <c r="O18" s="31"/>
    </row>
    <row r="19" spans="1:15" s="23" customFormat="1" ht="20.100000000000001" customHeight="1" x14ac:dyDescent="0.25">
      <c r="A19" s="40" t="s">
        <v>139</v>
      </c>
      <c r="B19" s="51" t="s">
        <v>11</v>
      </c>
      <c r="C19" s="36"/>
      <c r="D19" s="48"/>
      <c r="E19" s="49">
        <v>16300</v>
      </c>
      <c r="F19" s="49">
        <v>16300</v>
      </c>
      <c r="G19" s="76">
        <f t="shared" si="0"/>
        <v>652</v>
      </c>
      <c r="H19" s="27">
        <v>9900</v>
      </c>
      <c r="I19" s="28" t="s">
        <v>11</v>
      </c>
      <c r="J19" s="74">
        <f t="shared" si="1"/>
        <v>436.1233480176212</v>
      </c>
      <c r="K19" s="49">
        <f t="shared" si="2"/>
        <v>16300</v>
      </c>
      <c r="L19" s="54"/>
      <c r="M19" s="45">
        <v>20</v>
      </c>
      <c r="N19" s="57">
        <f t="shared" si="3"/>
        <v>652</v>
      </c>
      <c r="O19" s="31"/>
    </row>
    <row r="20" spans="1:15" s="23" customFormat="1" ht="20.100000000000001" customHeight="1" x14ac:dyDescent="0.25">
      <c r="A20" s="40" t="s">
        <v>140</v>
      </c>
      <c r="B20" s="51" t="s">
        <v>11</v>
      </c>
      <c r="C20" s="43">
        <v>14900</v>
      </c>
      <c r="D20" s="48" t="s">
        <v>11</v>
      </c>
      <c r="E20" s="49">
        <v>16900</v>
      </c>
      <c r="F20" s="49">
        <v>16900</v>
      </c>
      <c r="G20" s="76">
        <f t="shared" si="0"/>
        <v>676</v>
      </c>
      <c r="H20" s="27">
        <v>11700</v>
      </c>
      <c r="I20" s="28" t="s">
        <v>11</v>
      </c>
      <c r="J20" s="74">
        <f t="shared" si="1"/>
        <v>515.41850220264314</v>
      </c>
      <c r="K20" s="49">
        <f t="shared" si="2"/>
        <v>16900</v>
      </c>
      <c r="L20" s="54"/>
      <c r="M20" s="45">
        <v>20</v>
      </c>
      <c r="N20" s="57">
        <f t="shared" si="3"/>
        <v>676</v>
      </c>
      <c r="O20" s="31"/>
    </row>
    <row r="21" spans="1:15" s="23" customFormat="1" ht="20.100000000000001" customHeight="1" x14ac:dyDescent="0.25">
      <c r="A21" s="40" t="s">
        <v>141</v>
      </c>
      <c r="B21" s="51" t="s">
        <v>11</v>
      </c>
      <c r="C21" s="36"/>
      <c r="D21" s="48"/>
      <c r="E21" s="49">
        <v>32500</v>
      </c>
      <c r="F21" s="49">
        <v>32500</v>
      </c>
      <c r="G21" s="76">
        <f t="shared" si="0"/>
        <v>1300</v>
      </c>
      <c r="H21" s="27">
        <v>36000</v>
      </c>
      <c r="I21" s="28" t="s">
        <v>11</v>
      </c>
      <c r="J21" s="74">
        <f t="shared" si="1"/>
        <v>1585.9030837004407</v>
      </c>
      <c r="K21" s="49">
        <f t="shared" si="2"/>
        <v>32500</v>
      </c>
      <c r="L21" s="54"/>
      <c r="M21" s="45">
        <v>20</v>
      </c>
      <c r="N21" s="57">
        <f t="shared" si="3"/>
        <v>1300</v>
      </c>
      <c r="O21" s="31"/>
    </row>
    <row r="22" spans="1:15" s="23" customFormat="1" ht="20.100000000000001" customHeight="1" x14ac:dyDescent="0.25">
      <c r="A22" s="40" t="s">
        <v>142</v>
      </c>
      <c r="B22" s="51" t="s">
        <v>11</v>
      </c>
      <c r="C22" s="43">
        <v>29700</v>
      </c>
      <c r="D22" s="48" t="s">
        <v>93</v>
      </c>
      <c r="E22" s="49">
        <v>23800</v>
      </c>
      <c r="F22" s="49">
        <v>23800</v>
      </c>
      <c r="G22" s="76">
        <f t="shared" si="0"/>
        <v>952</v>
      </c>
      <c r="H22" s="27">
        <v>21600</v>
      </c>
      <c r="I22" s="28" t="s">
        <v>11</v>
      </c>
      <c r="J22" s="74">
        <f t="shared" si="1"/>
        <v>951.54185022026422</v>
      </c>
      <c r="K22" s="49">
        <f t="shared" si="2"/>
        <v>23800</v>
      </c>
      <c r="L22" s="54"/>
      <c r="M22" s="45">
        <v>20</v>
      </c>
      <c r="N22" s="57">
        <f t="shared" si="3"/>
        <v>952</v>
      </c>
      <c r="O22" s="31"/>
    </row>
    <row r="23" spans="1:15" s="23" customFormat="1" ht="20.100000000000001" customHeight="1" x14ac:dyDescent="0.25">
      <c r="A23" s="40" t="s">
        <v>145</v>
      </c>
      <c r="B23" s="51" t="s">
        <v>11</v>
      </c>
      <c r="C23" s="36"/>
      <c r="D23" s="48"/>
      <c r="E23" s="49">
        <v>93800</v>
      </c>
      <c r="F23" s="49">
        <v>93800</v>
      </c>
      <c r="G23" s="76">
        <f t="shared" si="0"/>
        <v>3752</v>
      </c>
      <c r="H23" s="27">
        <v>81000</v>
      </c>
      <c r="I23" s="28" t="s">
        <v>11</v>
      </c>
      <c r="J23" s="74">
        <f t="shared" si="1"/>
        <v>3568.2819383259912</v>
      </c>
      <c r="K23" s="49">
        <f t="shared" si="2"/>
        <v>93800</v>
      </c>
      <c r="L23" s="54"/>
      <c r="M23" s="45">
        <v>20</v>
      </c>
      <c r="N23" s="57">
        <f t="shared" si="3"/>
        <v>3752</v>
      </c>
      <c r="O23" s="31"/>
    </row>
    <row r="24" spans="1:15" s="23" customFormat="1" ht="20.100000000000001" customHeight="1" x14ac:dyDescent="0.25">
      <c r="A24" s="40" t="s">
        <v>143</v>
      </c>
      <c r="B24" s="51" t="s">
        <v>11</v>
      </c>
      <c r="C24" s="36"/>
      <c r="D24" s="48"/>
      <c r="E24" s="49">
        <v>25000</v>
      </c>
      <c r="F24" s="49">
        <v>25000</v>
      </c>
      <c r="G24" s="76">
        <f t="shared" si="0"/>
        <v>1000</v>
      </c>
      <c r="H24" s="27">
        <v>16200</v>
      </c>
      <c r="I24" s="28" t="s">
        <v>11</v>
      </c>
      <c r="J24" s="74">
        <f t="shared" si="1"/>
        <v>713.65638766519828</v>
      </c>
      <c r="K24" s="49">
        <f t="shared" si="2"/>
        <v>25000</v>
      </c>
      <c r="L24" s="54"/>
      <c r="M24" s="45">
        <v>20</v>
      </c>
      <c r="N24" s="57">
        <f t="shared" si="3"/>
        <v>1000</v>
      </c>
      <c r="O24" s="31"/>
    </row>
    <row r="25" spans="1:15" s="23" customFormat="1" ht="20.100000000000001" customHeight="1" x14ac:dyDescent="0.25">
      <c r="A25" s="40" t="s">
        <v>144</v>
      </c>
      <c r="B25" s="51" t="s">
        <v>11</v>
      </c>
      <c r="C25" s="36"/>
      <c r="D25" s="48"/>
      <c r="E25" s="49">
        <v>56300</v>
      </c>
      <c r="F25" s="49">
        <v>56300</v>
      </c>
      <c r="G25" s="76">
        <f t="shared" si="0"/>
        <v>2252</v>
      </c>
      <c r="H25" s="27">
        <v>45000</v>
      </c>
      <c r="I25" s="28" t="s">
        <v>11</v>
      </c>
      <c r="J25" s="74">
        <f t="shared" si="1"/>
        <v>1982.3788546255505</v>
      </c>
      <c r="K25" s="49">
        <f t="shared" si="2"/>
        <v>56300</v>
      </c>
      <c r="L25" s="54"/>
      <c r="M25" s="45">
        <v>20</v>
      </c>
      <c r="N25" s="57">
        <f t="shared" si="3"/>
        <v>2252</v>
      </c>
      <c r="O25" s="31"/>
    </row>
    <row r="26" spans="1:15" s="26" customFormat="1" ht="20.100000000000001" customHeight="1" x14ac:dyDescent="0.25">
      <c r="A26" s="37" t="s">
        <v>49</v>
      </c>
      <c r="B26" s="1327"/>
      <c r="C26" s="1328"/>
      <c r="D26" s="1328"/>
      <c r="E26" s="1328"/>
      <c r="F26" s="1328"/>
      <c r="G26" s="1328"/>
      <c r="H26" s="1328"/>
      <c r="I26" s="1328"/>
      <c r="J26" s="1328"/>
      <c r="K26" s="1329"/>
      <c r="L26" s="54"/>
      <c r="M26" s="78" t="s">
        <v>4</v>
      </c>
      <c r="N26" s="77"/>
    </row>
    <row r="27" spans="1:15" s="23" customFormat="1" ht="20.100000000000001" customHeight="1" x14ac:dyDescent="0.25">
      <c r="A27" s="41" t="s">
        <v>105</v>
      </c>
      <c r="B27" s="51" t="s">
        <v>4</v>
      </c>
      <c r="C27" s="36"/>
      <c r="D27" s="48"/>
      <c r="E27" s="49">
        <v>4000</v>
      </c>
      <c r="F27" s="49">
        <v>4200</v>
      </c>
      <c r="G27" s="76">
        <v>4200</v>
      </c>
      <c r="H27" s="27"/>
      <c r="I27" s="27"/>
      <c r="J27" s="74"/>
      <c r="K27" s="49">
        <f t="shared" ref="K27:K32" si="4">(E27+F27)/2</f>
        <v>4100</v>
      </c>
      <c r="L27" s="54"/>
      <c r="M27" s="45">
        <v>5</v>
      </c>
      <c r="N27" s="57">
        <f>K27*5</f>
        <v>20500</v>
      </c>
      <c r="O27" s="31"/>
    </row>
    <row r="28" spans="1:15" s="23" customFormat="1" ht="20.100000000000001" customHeight="1" x14ac:dyDescent="0.25">
      <c r="A28" s="41" t="s">
        <v>106</v>
      </c>
      <c r="B28" s="51" t="s">
        <v>4</v>
      </c>
      <c r="C28" s="36"/>
      <c r="D28" s="48"/>
      <c r="E28" s="49">
        <v>4000</v>
      </c>
      <c r="F28" s="49">
        <v>4200</v>
      </c>
      <c r="G28" s="76">
        <v>4200</v>
      </c>
      <c r="H28" s="27"/>
      <c r="I28" s="27"/>
      <c r="J28" s="74"/>
      <c r="K28" s="49">
        <f t="shared" si="4"/>
        <v>4100</v>
      </c>
      <c r="L28" s="54"/>
      <c r="M28" s="45">
        <v>2</v>
      </c>
      <c r="N28" s="57">
        <f>K28*2</f>
        <v>8200</v>
      </c>
      <c r="O28" s="31"/>
    </row>
    <row r="29" spans="1:15" s="23" customFormat="1" ht="20.100000000000001" customHeight="1" x14ac:dyDescent="0.25">
      <c r="A29" s="41" t="s">
        <v>107</v>
      </c>
      <c r="B29" s="51" t="s">
        <v>4</v>
      </c>
      <c r="C29" s="36"/>
      <c r="D29" s="48"/>
      <c r="E29" s="49">
        <v>4000</v>
      </c>
      <c r="F29" s="49">
        <v>4200</v>
      </c>
      <c r="G29" s="76">
        <v>4200</v>
      </c>
      <c r="H29" s="27"/>
      <c r="I29" s="27"/>
      <c r="J29" s="74"/>
      <c r="K29" s="49">
        <f t="shared" si="4"/>
        <v>4100</v>
      </c>
      <c r="L29" s="54"/>
      <c r="M29" s="45">
        <v>2</v>
      </c>
      <c r="N29" s="57">
        <f>K29*2</f>
        <v>8200</v>
      </c>
      <c r="O29" s="31"/>
    </row>
    <row r="30" spans="1:15" s="23" customFormat="1" ht="20.100000000000001" customHeight="1" x14ac:dyDescent="0.25">
      <c r="A30" s="41" t="s">
        <v>108</v>
      </c>
      <c r="B30" s="51" t="s">
        <v>4</v>
      </c>
      <c r="C30" s="36"/>
      <c r="D30" s="48"/>
      <c r="E30" s="49">
        <v>4000</v>
      </c>
      <c r="F30" s="49">
        <v>4200</v>
      </c>
      <c r="G30" s="76">
        <v>4200</v>
      </c>
      <c r="H30" s="27"/>
      <c r="I30" s="27"/>
      <c r="J30" s="74"/>
      <c r="K30" s="49">
        <f t="shared" si="4"/>
        <v>4100</v>
      </c>
      <c r="L30" s="54"/>
      <c r="M30" s="45">
        <v>2</v>
      </c>
      <c r="N30" s="57">
        <f>K30*2</f>
        <v>8200</v>
      </c>
      <c r="O30" s="31"/>
    </row>
    <row r="31" spans="1:15" s="23" customFormat="1" ht="20.100000000000001" customHeight="1" x14ac:dyDescent="0.25">
      <c r="A31" s="41" t="s">
        <v>109</v>
      </c>
      <c r="B31" s="51" t="s">
        <v>4</v>
      </c>
      <c r="C31" s="36"/>
      <c r="D31" s="48"/>
      <c r="E31" s="49">
        <v>4000</v>
      </c>
      <c r="F31" s="49">
        <v>4200</v>
      </c>
      <c r="G31" s="76">
        <v>4200</v>
      </c>
      <c r="H31" s="27"/>
      <c r="I31" s="27"/>
      <c r="J31" s="74"/>
      <c r="K31" s="49">
        <f t="shared" si="4"/>
        <v>4100</v>
      </c>
      <c r="L31" s="54"/>
      <c r="M31" s="45">
        <v>5</v>
      </c>
      <c r="N31" s="57">
        <f>K31*5</f>
        <v>20500</v>
      </c>
      <c r="O31" s="31"/>
    </row>
    <row r="32" spans="1:15" s="23" customFormat="1" ht="20.100000000000001" customHeight="1" thickBot="1" x14ac:dyDescent="0.3">
      <c r="A32" s="42" t="s">
        <v>110</v>
      </c>
      <c r="B32" s="52" t="s">
        <v>4</v>
      </c>
      <c r="C32" s="82"/>
      <c r="D32" s="83"/>
      <c r="E32" s="50">
        <v>4000</v>
      </c>
      <c r="F32" s="85">
        <v>4200</v>
      </c>
      <c r="G32" s="86">
        <v>4200</v>
      </c>
      <c r="H32" s="87"/>
      <c r="I32" s="87"/>
      <c r="J32" s="88"/>
      <c r="K32" s="85">
        <f t="shared" si="4"/>
        <v>4100</v>
      </c>
      <c r="L32" s="55"/>
      <c r="M32" s="89">
        <v>2</v>
      </c>
      <c r="N32" s="59">
        <f>K32*2</f>
        <v>8200</v>
      </c>
      <c r="O32" s="31"/>
    </row>
    <row r="33" spans="1:15" ht="21.95" customHeight="1" thickBot="1" x14ac:dyDescent="0.3">
      <c r="F33" s="1318" t="s">
        <v>146</v>
      </c>
      <c r="G33" s="1319"/>
      <c r="H33" s="1319"/>
      <c r="I33" s="1319"/>
      <c r="J33" s="1319"/>
      <c r="K33" s="1319"/>
      <c r="L33" s="1319"/>
      <c r="M33" s="1320"/>
      <c r="N33" s="90">
        <f>SUM(N15:N32)</f>
        <v>87674</v>
      </c>
      <c r="O33" s="63"/>
    </row>
    <row r="34" spans="1:15" ht="21.95" customHeight="1" thickBot="1" x14ac:dyDescent="0.3">
      <c r="F34" s="1318" t="s">
        <v>165</v>
      </c>
      <c r="G34" s="1319"/>
      <c r="H34" s="1319"/>
      <c r="I34" s="1319"/>
      <c r="J34" s="1319"/>
      <c r="K34" s="1319"/>
      <c r="L34" s="1319"/>
      <c r="M34" s="1320"/>
      <c r="N34" s="90">
        <f>N33*1.03</f>
        <v>90304.22</v>
      </c>
      <c r="O34" s="63"/>
    </row>
    <row r="35" spans="1:15" ht="21.95" customHeight="1" thickBot="1" x14ac:dyDescent="0.3">
      <c r="F35" s="1318" t="s">
        <v>147</v>
      </c>
      <c r="G35" s="1319"/>
      <c r="H35" s="1319"/>
      <c r="I35" s="1319"/>
      <c r="J35" s="1319"/>
      <c r="K35" s="1319"/>
      <c r="L35" s="1319"/>
      <c r="M35" s="1320"/>
      <c r="N35" s="92">
        <v>200</v>
      </c>
    </row>
    <row r="36" spans="1:15" ht="21.95" customHeight="1" thickBot="1" x14ac:dyDescent="0.3">
      <c r="F36" s="1318" t="s">
        <v>100</v>
      </c>
      <c r="G36" s="1319"/>
      <c r="H36" s="1319"/>
      <c r="I36" s="1319"/>
      <c r="J36" s="1319"/>
      <c r="K36" s="1319"/>
      <c r="L36" s="1319"/>
      <c r="M36" s="1320"/>
      <c r="N36" s="93">
        <f>N35*N34</f>
        <v>18060844</v>
      </c>
    </row>
    <row r="37" spans="1:15" ht="15" customHeight="1" x14ac:dyDescent="0.25"/>
    <row r="40" spans="1:15" x14ac:dyDescent="0.25">
      <c r="A40" t="s">
        <v>148</v>
      </c>
    </row>
    <row r="44" spans="1:15" x14ac:dyDescent="0.25">
      <c r="A44" t="s">
        <v>103</v>
      </c>
    </row>
    <row r="45" spans="1:15" x14ac:dyDescent="0.25">
      <c r="A45" s="84">
        <v>40134</v>
      </c>
    </row>
    <row r="51" s="24" customFormat="1" ht="16.5" x14ac:dyDescent="0.25"/>
    <row r="52" s="24" customFormat="1" ht="16.5" x14ac:dyDescent="0.25"/>
    <row r="53" s="23" customFormat="1" ht="15" customHeight="1" x14ac:dyDescent="0.25"/>
    <row r="54" s="23" customFormat="1" ht="15" customHeight="1" x14ac:dyDescent="0.25"/>
    <row r="55" s="24" customFormat="1" ht="16.5" x14ac:dyDescent="0.25"/>
    <row r="56" s="24" customFormat="1" ht="16.5" x14ac:dyDescent="0.25"/>
    <row r="57" s="24" customFormat="1" ht="16.5" x14ac:dyDescent="0.25"/>
    <row r="58" s="23" customFormat="1" ht="15" customHeight="1" x14ac:dyDescent="0.25"/>
    <row r="59" s="24" customFormat="1" ht="16.5" x14ac:dyDescent="0.25"/>
    <row r="60" s="24" customFormat="1" ht="16.5" x14ac:dyDescent="0.25"/>
    <row r="61" s="24" customFormat="1" ht="16.5" x14ac:dyDescent="0.25"/>
    <row r="62" s="24" customFormat="1" ht="33.75" customHeight="1" x14ac:dyDescent="0.25"/>
    <row r="63" s="24" customFormat="1" ht="39.75" customHeight="1" x14ac:dyDescent="0.25"/>
    <row r="64" s="24" customFormat="1" ht="16.5" x14ac:dyDescent="0.25"/>
    <row r="65" s="24" customFormat="1" ht="16.5" customHeight="1" x14ac:dyDescent="0.25"/>
    <row r="66" s="24" customFormat="1" ht="53.25" customHeight="1" x14ac:dyDescent="0.25"/>
    <row r="67" s="24" customFormat="1" ht="16.5" x14ac:dyDescent="0.25"/>
  </sheetData>
  <mergeCells count="16">
    <mergeCell ref="F35:M35"/>
    <mergeCell ref="F36:M36"/>
    <mergeCell ref="H13:J13"/>
    <mergeCell ref="F34:M34"/>
    <mergeCell ref="C13:D13"/>
    <mergeCell ref="B26:K26"/>
    <mergeCell ref="B17:K17"/>
    <mergeCell ref="A10:N10"/>
    <mergeCell ref="B14:K14"/>
    <mergeCell ref="F33:M33"/>
    <mergeCell ref="A1:N1"/>
    <mergeCell ref="A2:N2"/>
    <mergeCell ref="A3:N3"/>
    <mergeCell ref="A4:N4"/>
    <mergeCell ref="H12:J12"/>
    <mergeCell ref="F12:G12"/>
  </mergeCells>
  <pageMargins left="1.8503937007874016" right="0.70866141732283472" top="0.74803149606299213" bottom="0.38" header="0.31496062992125984" footer="0.31496062992125984"/>
  <pageSetup scale="65" fitToWidth="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D11" sqref="D11"/>
    </sheetView>
  </sheetViews>
  <sheetFormatPr baseColWidth="10" defaultRowHeight="15" x14ac:dyDescent="0.25"/>
  <cols>
    <col min="1" max="1" width="47" customWidth="1"/>
    <col min="2" max="2" width="14" bestFit="1" customWidth="1"/>
    <col min="3" max="3" width="14.125" bestFit="1" customWidth="1"/>
    <col min="4" max="4" width="22.25" bestFit="1" customWidth="1"/>
    <col min="5" max="5" width="19.25" customWidth="1"/>
    <col min="6" max="6" width="14.875" customWidth="1"/>
    <col min="7" max="7" width="15.75" customWidth="1"/>
    <col min="8" max="8" width="14.125" bestFit="1" customWidth="1"/>
    <col min="9" max="9" width="18.625" bestFit="1" customWidth="1"/>
  </cols>
  <sheetData>
    <row r="1" spans="1:8" ht="15" customHeight="1" x14ac:dyDescent="0.25">
      <c r="A1" s="1330" t="s">
        <v>6</v>
      </c>
      <c r="B1" s="1331" t="s">
        <v>10</v>
      </c>
      <c r="C1" s="1331" t="s">
        <v>59</v>
      </c>
      <c r="D1" s="1331" t="s">
        <v>60</v>
      </c>
      <c r="E1" s="1330" t="s">
        <v>61</v>
      </c>
      <c r="F1" s="1330" t="s">
        <v>62</v>
      </c>
      <c r="G1" s="1330" t="s">
        <v>63</v>
      </c>
      <c r="H1" s="1330" t="s">
        <v>53</v>
      </c>
    </row>
    <row r="2" spans="1:8" ht="24" customHeight="1" x14ac:dyDescent="0.25">
      <c r="A2" s="1330"/>
      <c r="B2" s="1332"/>
      <c r="C2" s="1332"/>
      <c r="D2" s="1332"/>
      <c r="E2" s="1330"/>
      <c r="F2" s="1330"/>
      <c r="G2" s="1330"/>
      <c r="H2" s="1330"/>
    </row>
    <row r="3" spans="1:8" s="5" customFormat="1" x14ac:dyDescent="0.2">
      <c r="A3" s="7" t="s">
        <v>66</v>
      </c>
      <c r="B3" s="14">
        <v>1</v>
      </c>
      <c r="C3" s="20">
        <v>449000</v>
      </c>
      <c r="D3" s="15">
        <v>510000</v>
      </c>
      <c r="E3" s="15">
        <v>450000</v>
      </c>
      <c r="F3" s="8"/>
      <c r="G3" s="8"/>
      <c r="H3" s="20">
        <f>(C3+D3+E3+F3+G3)/3</f>
        <v>469666.66666666669</v>
      </c>
    </row>
    <row r="4" spans="1:8" ht="15" customHeight="1" x14ac:dyDescent="0.25">
      <c r="A4" s="18"/>
      <c r="B4" s="18"/>
      <c r="C4" s="18" t="s">
        <v>56</v>
      </c>
      <c r="D4" s="21" t="s">
        <v>58</v>
      </c>
      <c r="E4" s="21" t="s">
        <v>57</v>
      </c>
      <c r="F4" s="1"/>
      <c r="G4" s="1"/>
      <c r="H4" s="20"/>
    </row>
    <row r="5" spans="1:8" ht="22.5" customHeight="1" x14ac:dyDescent="0.25">
      <c r="A5" s="7" t="s">
        <v>7</v>
      </c>
      <c r="B5" s="14">
        <v>1</v>
      </c>
      <c r="C5" s="20">
        <v>1160000</v>
      </c>
      <c r="D5" s="8"/>
      <c r="E5" s="20">
        <v>1105000</v>
      </c>
      <c r="F5" s="1"/>
      <c r="G5" s="1"/>
      <c r="H5" s="20">
        <f>(C5+E5)/2</f>
        <v>1132500</v>
      </c>
    </row>
    <row r="6" spans="1:8" ht="21.75" customHeight="1" x14ac:dyDescent="0.25">
      <c r="A6" s="10" t="s">
        <v>55</v>
      </c>
      <c r="B6" s="14">
        <v>7</v>
      </c>
      <c r="C6" s="20">
        <v>140000</v>
      </c>
      <c r="D6" s="8"/>
      <c r="E6" s="20">
        <v>119000</v>
      </c>
      <c r="F6" s="1"/>
      <c r="G6" s="1"/>
      <c r="H6" s="20">
        <f>(C6+E6)/2</f>
        <v>129500</v>
      </c>
    </row>
    <row r="7" spans="1:8" ht="24" customHeight="1" x14ac:dyDescent="0.25">
      <c r="A7" s="7" t="s">
        <v>54</v>
      </c>
      <c r="B7" s="14">
        <v>1</v>
      </c>
      <c r="C7" s="13"/>
      <c r="D7" s="8"/>
      <c r="E7" s="20">
        <v>140000</v>
      </c>
      <c r="F7" s="1"/>
      <c r="G7" s="1"/>
      <c r="H7" s="20">
        <f>E7</f>
        <v>140000</v>
      </c>
    </row>
    <row r="8" spans="1:8" ht="27" customHeight="1" x14ac:dyDescent="0.25">
      <c r="A8" s="10" t="s">
        <v>8</v>
      </c>
      <c r="B8" s="14">
        <v>1</v>
      </c>
      <c r="C8" s="13"/>
      <c r="D8" s="8"/>
      <c r="E8" s="4"/>
      <c r="F8" s="1"/>
      <c r="G8" s="1"/>
      <c r="H8" s="20"/>
    </row>
    <row r="9" spans="1:8" s="5" customFormat="1" ht="45" customHeight="1" x14ac:dyDescent="0.2">
      <c r="A9" s="7" t="s">
        <v>65</v>
      </c>
      <c r="B9" s="14">
        <v>1</v>
      </c>
      <c r="C9" s="9"/>
      <c r="D9" s="16"/>
      <c r="E9" s="13"/>
      <c r="F9" s="8"/>
      <c r="G9" s="8"/>
      <c r="H9" s="20"/>
    </row>
    <row r="10" spans="1:8" s="5" customFormat="1" ht="51.75" customHeight="1" x14ac:dyDescent="0.2">
      <c r="A10" s="10" t="s">
        <v>68</v>
      </c>
      <c r="B10" s="14">
        <v>1</v>
      </c>
      <c r="C10" s="9">
        <v>1199000</v>
      </c>
      <c r="D10" s="16"/>
      <c r="E10" s="13"/>
      <c r="F10" s="8"/>
      <c r="G10" s="8"/>
      <c r="H10" s="20"/>
    </row>
    <row r="11" spans="1:8" s="5" customFormat="1" ht="106.5" customHeight="1" x14ac:dyDescent="0.2">
      <c r="A11" s="22" t="s">
        <v>67</v>
      </c>
      <c r="B11" s="11">
        <v>1</v>
      </c>
      <c r="C11" s="12"/>
      <c r="D11" s="13"/>
      <c r="E11" s="13"/>
      <c r="F11" s="8"/>
      <c r="G11" s="8"/>
      <c r="H11" s="20"/>
    </row>
    <row r="22" spans="1:5" s="2" customFormat="1" ht="15.75" x14ac:dyDescent="0.25">
      <c r="A22" s="17"/>
      <c r="B22" s="19"/>
      <c r="C22" s="6"/>
      <c r="D22" s="6"/>
      <c r="E22" s="6"/>
    </row>
    <row r="23" spans="1:5" s="2" customFormat="1" ht="15.75" x14ac:dyDescent="0.25">
      <c r="A23" s="17"/>
      <c r="B23" s="19"/>
      <c r="C23" s="6"/>
      <c r="D23" s="6"/>
      <c r="E23" s="6"/>
    </row>
    <row r="24" spans="1:5" s="2" customFormat="1" ht="15.75" x14ac:dyDescent="0.25">
      <c r="A24" s="17"/>
      <c r="B24" s="19"/>
      <c r="C24" s="6"/>
      <c r="D24" s="6"/>
      <c r="E24" s="6"/>
    </row>
  </sheetData>
  <mergeCells count="8">
    <mergeCell ref="H1:H2"/>
    <mergeCell ref="E1:E2"/>
    <mergeCell ref="F1:F2"/>
    <mergeCell ref="G1:G2"/>
    <mergeCell ref="A1:A2"/>
    <mergeCell ref="B1:B2"/>
    <mergeCell ref="C1:C2"/>
    <mergeCell ref="D1:D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opLeftCell="A7" zoomScale="75" zoomScaleNormal="75" workbookViewId="0">
      <selection activeCell="E16" sqref="E16"/>
    </sheetView>
  </sheetViews>
  <sheetFormatPr baseColWidth="10" defaultRowHeight="15" x14ac:dyDescent="0.25"/>
  <cols>
    <col min="1" max="1" width="31.875" customWidth="1"/>
    <col min="2" max="2" width="15.875" customWidth="1"/>
    <col min="3" max="3" width="16" customWidth="1"/>
    <col min="4" max="4" width="14.875" bestFit="1" customWidth="1"/>
    <col min="5" max="5" width="12.125" bestFit="1" customWidth="1"/>
    <col min="6" max="6" width="13.125" customWidth="1"/>
    <col min="7" max="7" width="13.875" customWidth="1"/>
    <col min="8" max="8" width="14" customWidth="1"/>
    <col min="9" max="9" width="20.625" customWidth="1"/>
    <col min="10" max="10" width="12.625" customWidth="1"/>
    <col min="11" max="11" width="15.625" customWidth="1"/>
    <col min="12" max="12" width="17.25" customWidth="1"/>
    <col min="13" max="13" width="11.125" customWidth="1"/>
    <col min="14" max="14" width="16" bestFit="1" customWidth="1"/>
    <col min="15" max="15" width="16.125" customWidth="1"/>
    <col min="16" max="16" width="17.125" customWidth="1"/>
    <col min="17" max="17" width="14.25" customWidth="1"/>
    <col min="18" max="18" width="11.75" bestFit="1" customWidth="1"/>
  </cols>
  <sheetData>
    <row r="1" spans="1:14" ht="16.5" x14ac:dyDescent="0.25">
      <c r="A1" s="1321" t="s">
        <v>0</v>
      </c>
      <c r="B1" s="1321"/>
      <c r="C1" s="1321"/>
      <c r="D1" s="1321"/>
      <c r="E1" s="1321"/>
      <c r="F1" s="1321"/>
      <c r="G1" s="1321"/>
      <c r="H1" s="1321"/>
      <c r="I1" s="1321"/>
      <c r="J1" s="1321"/>
      <c r="K1" s="1321"/>
      <c r="L1" s="1321"/>
      <c r="M1" s="1321"/>
      <c r="N1" s="1321"/>
    </row>
    <row r="2" spans="1:14" ht="16.5" x14ac:dyDescent="0.25">
      <c r="A2" s="1321" t="s">
        <v>1</v>
      </c>
      <c r="B2" s="1321"/>
      <c r="C2" s="1321"/>
      <c r="D2" s="1321"/>
      <c r="E2" s="1321"/>
      <c r="F2" s="1321"/>
      <c r="G2" s="1321"/>
      <c r="H2" s="1321"/>
      <c r="I2" s="1321"/>
      <c r="J2" s="1321"/>
      <c r="K2" s="1321"/>
      <c r="L2" s="1321"/>
      <c r="M2" s="1321"/>
      <c r="N2" s="1321"/>
    </row>
    <row r="3" spans="1:14" ht="16.5" x14ac:dyDescent="0.25">
      <c r="A3" s="1322" t="s">
        <v>104</v>
      </c>
      <c r="B3" s="1322"/>
      <c r="C3" s="1322"/>
      <c r="D3" s="1322"/>
      <c r="E3" s="1322"/>
      <c r="F3" s="1322"/>
      <c r="G3" s="1322"/>
      <c r="H3" s="1322"/>
      <c r="I3" s="1322"/>
      <c r="J3" s="1322"/>
      <c r="K3" s="1322"/>
      <c r="L3" s="1322"/>
      <c r="M3" s="1322"/>
      <c r="N3" s="1322"/>
    </row>
    <row r="4" spans="1:14" ht="16.5" x14ac:dyDescent="0.25">
      <c r="A4" s="1322" t="s">
        <v>96</v>
      </c>
      <c r="B4" s="1322"/>
      <c r="C4" s="1322"/>
      <c r="D4" s="1322"/>
      <c r="E4" s="1322"/>
      <c r="F4" s="1322"/>
      <c r="G4" s="1322"/>
      <c r="H4" s="1322"/>
      <c r="I4" s="1322"/>
      <c r="J4" s="1322"/>
      <c r="K4" s="1322"/>
      <c r="L4" s="1322"/>
      <c r="M4" s="1322"/>
      <c r="N4" s="1322"/>
    </row>
    <row r="7" spans="1:14" ht="16.5" x14ac:dyDescent="0.25">
      <c r="A7" s="30" t="s">
        <v>134</v>
      </c>
      <c r="B7" s="30"/>
    </row>
    <row r="10" spans="1:14" ht="16.5" x14ac:dyDescent="0.25">
      <c r="A10" s="1333" t="s">
        <v>152</v>
      </c>
      <c r="B10" s="1333"/>
      <c r="C10" s="1333"/>
      <c r="D10" s="1333"/>
      <c r="E10" s="1333"/>
      <c r="F10" s="1333"/>
    </row>
    <row r="11" spans="1:14" ht="15.75" thickBot="1" x14ac:dyDescent="0.3"/>
    <row r="12" spans="1:14" s="24" customFormat="1" ht="20.100000000000001" customHeight="1" thickBot="1" x14ac:dyDescent="0.3">
      <c r="A12" s="141" t="s">
        <v>98</v>
      </c>
      <c r="B12" s="1319" t="s">
        <v>154</v>
      </c>
      <c r="C12" s="1319"/>
      <c r="D12" s="141" t="s">
        <v>82</v>
      </c>
      <c r="E12" s="141" t="s">
        <v>161</v>
      </c>
      <c r="F12" s="91" t="s">
        <v>160</v>
      </c>
    </row>
    <row r="13" spans="1:14" ht="20.100000000000001" customHeight="1" thickBot="1" x14ac:dyDescent="0.3">
      <c r="A13" s="127" t="s">
        <v>88</v>
      </c>
      <c r="B13" s="1336" t="s">
        <v>73</v>
      </c>
      <c r="C13" s="1337"/>
      <c r="D13" s="136" t="s">
        <v>159</v>
      </c>
      <c r="E13" s="128">
        <v>9500</v>
      </c>
      <c r="F13" s="129" t="s">
        <v>155</v>
      </c>
    </row>
    <row r="14" spans="1:14" ht="20.100000000000001" customHeight="1" x14ac:dyDescent="0.25">
      <c r="A14" s="1340" t="s">
        <v>87</v>
      </c>
      <c r="B14" s="1342" t="s">
        <v>73</v>
      </c>
      <c r="C14" s="1343"/>
      <c r="D14" s="138" t="s">
        <v>159</v>
      </c>
      <c r="E14" s="123">
        <v>12120</v>
      </c>
      <c r="F14" s="125" t="s">
        <v>155</v>
      </c>
    </row>
    <row r="15" spans="1:14" ht="20.100000000000001" customHeight="1" thickBot="1" x14ac:dyDescent="0.3">
      <c r="A15" s="1341"/>
      <c r="B15" s="1344" t="s">
        <v>74</v>
      </c>
      <c r="C15" s="1345"/>
      <c r="D15" s="139" t="s">
        <v>159</v>
      </c>
      <c r="E15" s="124">
        <v>9240</v>
      </c>
      <c r="F15" s="126" t="s">
        <v>155</v>
      </c>
    </row>
    <row r="16" spans="1:14" ht="20.100000000000001" customHeight="1" thickBot="1" x14ac:dyDescent="0.3">
      <c r="A16" s="127" t="s">
        <v>132</v>
      </c>
      <c r="B16" s="1336" t="s">
        <v>74</v>
      </c>
      <c r="C16" s="1337"/>
      <c r="D16" s="136" t="s">
        <v>158</v>
      </c>
      <c r="E16" s="128">
        <v>205000</v>
      </c>
      <c r="F16" s="129" t="s">
        <v>153</v>
      </c>
    </row>
    <row r="17" spans="1:14" ht="20.100000000000001" customHeight="1" thickBot="1" x14ac:dyDescent="0.3">
      <c r="A17" s="127" t="s">
        <v>127</v>
      </c>
      <c r="B17" s="1336" t="s">
        <v>74</v>
      </c>
      <c r="C17" s="1337"/>
      <c r="D17" s="136" t="s">
        <v>159</v>
      </c>
      <c r="E17" s="128">
        <v>4300</v>
      </c>
      <c r="F17" s="129" t="s">
        <v>155</v>
      </c>
    </row>
    <row r="18" spans="1:14" ht="20.100000000000001" customHeight="1" x14ac:dyDescent="0.25">
      <c r="A18" s="1340" t="s">
        <v>92</v>
      </c>
      <c r="B18" s="1342" t="s">
        <v>74</v>
      </c>
      <c r="C18" s="1343"/>
      <c r="D18" s="138" t="s">
        <v>159</v>
      </c>
      <c r="E18" s="123">
        <v>8000</v>
      </c>
      <c r="F18" s="125" t="s">
        <v>155</v>
      </c>
    </row>
    <row r="19" spans="1:14" ht="20.100000000000001" customHeight="1" thickBot="1" x14ac:dyDescent="0.3">
      <c r="A19" s="1341"/>
      <c r="B19" s="1344" t="s">
        <v>75</v>
      </c>
      <c r="C19" s="1345"/>
      <c r="D19" s="139" t="s">
        <v>149</v>
      </c>
      <c r="E19" s="124">
        <v>204800</v>
      </c>
      <c r="F19" s="126" t="s">
        <v>157</v>
      </c>
    </row>
    <row r="20" spans="1:14" ht="20.100000000000001" customHeight="1" thickBot="1" x14ac:dyDescent="0.3">
      <c r="A20" s="127" t="s">
        <v>119</v>
      </c>
      <c r="B20" s="1336" t="s">
        <v>75</v>
      </c>
      <c r="C20" s="1337"/>
      <c r="D20" s="136" t="s">
        <v>11</v>
      </c>
      <c r="E20" s="128">
        <v>3800</v>
      </c>
      <c r="F20" s="129" t="s">
        <v>156</v>
      </c>
    </row>
    <row r="21" spans="1:14" ht="20.100000000000001" customHeight="1" thickBot="1" x14ac:dyDescent="0.3">
      <c r="A21" s="130" t="s">
        <v>120</v>
      </c>
      <c r="B21" s="1334" t="s">
        <v>75</v>
      </c>
      <c r="C21" s="1335"/>
      <c r="D21" s="137" t="s">
        <v>11</v>
      </c>
      <c r="E21" s="131">
        <v>5000</v>
      </c>
      <c r="F21" s="132" t="s">
        <v>156</v>
      </c>
    </row>
    <row r="22" spans="1:14" ht="20.100000000000001" customHeight="1" thickBot="1" x14ac:dyDescent="0.3">
      <c r="A22" s="127" t="s">
        <v>131</v>
      </c>
      <c r="B22" s="1336" t="s">
        <v>75</v>
      </c>
      <c r="C22" s="1337"/>
      <c r="D22" s="136" t="s">
        <v>11</v>
      </c>
      <c r="E22" s="128">
        <v>5000</v>
      </c>
      <c r="F22" s="129" t="s">
        <v>156</v>
      </c>
    </row>
    <row r="23" spans="1:14" ht="20.100000000000001" customHeight="1" thickBot="1" x14ac:dyDescent="0.3">
      <c r="A23" s="130" t="s">
        <v>128</v>
      </c>
      <c r="B23" s="1334" t="s">
        <v>78</v>
      </c>
      <c r="C23" s="1335"/>
      <c r="D23" s="137" t="s">
        <v>159</v>
      </c>
      <c r="E23" s="131">
        <v>25000</v>
      </c>
      <c r="F23" s="132" t="s">
        <v>155</v>
      </c>
    </row>
    <row r="24" spans="1:14" ht="20.100000000000001" customHeight="1" thickBot="1" x14ac:dyDescent="0.3">
      <c r="A24" s="127" t="s">
        <v>129</v>
      </c>
      <c r="B24" s="1336" t="s">
        <v>78</v>
      </c>
      <c r="C24" s="1337"/>
      <c r="D24" s="136" t="s">
        <v>159</v>
      </c>
      <c r="E24" s="128">
        <v>20000</v>
      </c>
      <c r="F24" s="129" t="s">
        <v>155</v>
      </c>
    </row>
    <row r="25" spans="1:14" ht="20.100000000000001" customHeight="1" thickBot="1" x14ac:dyDescent="0.3">
      <c r="A25" s="133" t="s">
        <v>130</v>
      </c>
      <c r="B25" s="1338" t="s">
        <v>78</v>
      </c>
      <c r="C25" s="1339"/>
      <c r="D25" s="140" t="s">
        <v>159</v>
      </c>
      <c r="E25" s="134">
        <v>20000</v>
      </c>
      <c r="F25" s="135" t="s">
        <v>155</v>
      </c>
    </row>
    <row r="29" spans="1:14" ht="15.75" thickBot="1" x14ac:dyDescent="0.3"/>
    <row r="30" spans="1:14" ht="41.25" customHeight="1" thickBot="1" x14ac:dyDescent="0.3">
      <c r="A30" s="62" t="s">
        <v>46</v>
      </c>
      <c r="B30" s="69" t="s">
        <v>133</v>
      </c>
      <c r="C30" s="62" t="s">
        <v>131</v>
      </c>
      <c r="D30" s="69" t="s">
        <v>88</v>
      </c>
      <c r="E30" s="62" t="s">
        <v>127</v>
      </c>
      <c r="F30" s="69" t="s">
        <v>92</v>
      </c>
      <c r="G30" s="62" t="s">
        <v>119</v>
      </c>
      <c r="H30" s="69" t="s">
        <v>120</v>
      </c>
      <c r="I30" s="62" t="s">
        <v>87</v>
      </c>
      <c r="J30" s="62" t="s">
        <v>132</v>
      </c>
      <c r="K30" s="120" t="s">
        <v>128</v>
      </c>
      <c r="L30" s="121" t="s">
        <v>129</v>
      </c>
      <c r="M30" s="81" t="s">
        <v>130</v>
      </c>
      <c r="N30" s="68" t="s">
        <v>64</v>
      </c>
    </row>
    <row r="31" spans="1:14" ht="21.95" customHeight="1" x14ac:dyDescent="0.25">
      <c r="A31" s="98" t="s">
        <v>73</v>
      </c>
      <c r="B31" s="100" t="s">
        <v>149</v>
      </c>
      <c r="C31" s="103"/>
      <c r="D31" s="105">
        <f>9500/50*25</f>
        <v>4750</v>
      </c>
      <c r="E31" s="103"/>
      <c r="F31" s="108"/>
      <c r="G31" s="111"/>
      <c r="H31" s="108"/>
      <c r="I31" s="105">
        <f>12120/50*25</f>
        <v>6060</v>
      </c>
      <c r="J31" s="114"/>
      <c r="K31" s="103"/>
      <c r="L31" s="114"/>
      <c r="M31" s="103"/>
      <c r="N31" s="97">
        <f>(I31+D31)/2</f>
        <v>5405</v>
      </c>
    </row>
    <row r="32" spans="1:14" ht="21.95" customHeight="1" x14ac:dyDescent="0.25">
      <c r="A32" s="71" t="s">
        <v>74</v>
      </c>
      <c r="B32" s="101" t="s">
        <v>150</v>
      </c>
      <c r="C32" s="49"/>
      <c r="D32" s="51"/>
      <c r="E32" s="75">
        <f>4300/50*5</f>
        <v>430</v>
      </c>
      <c r="F32" s="109">
        <f>8000/50*5</f>
        <v>800</v>
      </c>
      <c r="G32" s="49"/>
      <c r="H32" s="80"/>
      <c r="I32" s="75">
        <f>9240/50*5</f>
        <v>924</v>
      </c>
      <c r="J32" s="109">
        <f>205000/1000*5</f>
        <v>1025</v>
      </c>
      <c r="K32" s="106"/>
      <c r="L32" s="115"/>
      <c r="M32" s="106"/>
      <c r="N32" s="96">
        <f>(J32+I32+F32)/3</f>
        <v>916.33333333333337</v>
      </c>
    </row>
    <row r="33" spans="1:15" ht="21.95" customHeight="1" x14ac:dyDescent="0.25">
      <c r="A33" s="71" t="s">
        <v>75</v>
      </c>
      <c r="B33" s="101" t="s">
        <v>151</v>
      </c>
      <c r="C33" s="75">
        <f>5000/500*200</f>
        <v>2000</v>
      </c>
      <c r="D33" s="51"/>
      <c r="E33" s="106"/>
      <c r="F33" s="109">
        <f>(176552*1.16)/25000*200</f>
        <v>1638.4025599999998</v>
      </c>
      <c r="G33" s="75">
        <f>3800/500*200</f>
        <v>1520</v>
      </c>
      <c r="H33" s="109">
        <f>5000/500*200</f>
        <v>2000</v>
      </c>
      <c r="I33" s="112"/>
      <c r="J33" s="115"/>
      <c r="K33" s="106"/>
      <c r="L33" s="115"/>
      <c r="M33" s="106"/>
      <c r="N33" s="96">
        <f>(H33+F33)/2</f>
        <v>1819.2012799999998</v>
      </c>
    </row>
    <row r="34" spans="1:15" ht="21.95" customHeight="1" thickBot="1" x14ac:dyDescent="0.3">
      <c r="A34" s="99" t="s">
        <v>78</v>
      </c>
      <c r="B34" s="102" t="s">
        <v>151</v>
      </c>
      <c r="C34" s="104"/>
      <c r="D34" s="104"/>
      <c r="E34" s="107"/>
      <c r="F34" s="110"/>
      <c r="G34" s="104"/>
      <c r="H34" s="110"/>
      <c r="I34" s="113"/>
      <c r="J34" s="116"/>
      <c r="K34" s="117">
        <f>25000/50/1000*200</f>
        <v>100</v>
      </c>
      <c r="L34" s="118">
        <f>20000/50/1000*200</f>
        <v>80</v>
      </c>
      <c r="M34" s="117">
        <f>20000/50/1000*200</f>
        <v>80</v>
      </c>
      <c r="N34" s="119">
        <f>(K34+L34)/2</f>
        <v>90</v>
      </c>
    </row>
    <row r="35" spans="1:15" ht="21.95" customHeight="1" thickBot="1" x14ac:dyDescent="0.3">
      <c r="I35" s="94"/>
      <c r="J35" s="94"/>
      <c r="K35" s="1318" t="s">
        <v>146</v>
      </c>
      <c r="L35" s="1319"/>
      <c r="M35" s="1320"/>
      <c r="N35" s="95">
        <f>SUM(N31:N34)</f>
        <v>8230.5346133333333</v>
      </c>
    </row>
    <row r="36" spans="1:15" ht="21.95" customHeight="1" thickBot="1" x14ac:dyDescent="0.3">
      <c r="I36" s="94"/>
      <c r="J36" s="94"/>
      <c r="K36" s="1318" t="s">
        <v>165</v>
      </c>
      <c r="L36" s="1319"/>
      <c r="M36" s="1320"/>
      <c r="N36" s="95">
        <f>N35*1.03</f>
        <v>8477.4506517333339</v>
      </c>
    </row>
    <row r="37" spans="1:15" ht="21.95" customHeight="1" thickBot="1" x14ac:dyDescent="0.3">
      <c r="I37" s="94"/>
      <c r="J37" s="94"/>
      <c r="K37" s="1318" t="s">
        <v>147</v>
      </c>
      <c r="L37" s="1319"/>
      <c r="M37" s="1320"/>
      <c r="N37" s="92">
        <v>200</v>
      </c>
    </row>
    <row r="38" spans="1:15" ht="21.95" customHeight="1" thickBot="1" x14ac:dyDescent="0.3">
      <c r="I38" s="94"/>
      <c r="J38" s="94"/>
      <c r="K38" s="1318" t="s">
        <v>100</v>
      </c>
      <c r="L38" s="1319"/>
      <c r="M38" s="1320"/>
      <c r="N38" s="93">
        <f>N36*N37</f>
        <v>1695490.1303466668</v>
      </c>
    </row>
    <row r="39" spans="1:15" ht="21.95" customHeight="1" x14ac:dyDescent="0.25"/>
    <row r="40" spans="1:15" x14ac:dyDescent="0.25">
      <c r="A40" t="s">
        <v>103</v>
      </c>
    </row>
    <row r="41" spans="1:15" x14ac:dyDescent="0.25">
      <c r="A41" s="84">
        <v>40134</v>
      </c>
    </row>
    <row r="44" spans="1:15" ht="17.25" x14ac:dyDescent="0.3">
      <c r="M44" s="64"/>
      <c r="O44" s="65"/>
    </row>
  </sheetData>
  <mergeCells count="25">
    <mergeCell ref="K37:M37"/>
    <mergeCell ref="K38:M38"/>
    <mergeCell ref="B22:C22"/>
    <mergeCell ref="B13:C13"/>
    <mergeCell ref="B17:C17"/>
    <mergeCell ref="B18:C18"/>
    <mergeCell ref="B19:C19"/>
    <mergeCell ref="K36:M36"/>
    <mergeCell ref="B16:C16"/>
    <mergeCell ref="A1:N1"/>
    <mergeCell ref="A2:N2"/>
    <mergeCell ref="A3:N3"/>
    <mergeCell ref="A4:N4"/>
    <mergeCell ref="K35:M35"/>
    <mergeCell ref="A10:F10"/>
    <mergeCell ref="B23:C23"/>
    <mergeCell ref="B24:C24"/>
    <mergeCell ref="B25:C25"/>
    <mergeCell ref="B12:C12"/>
    <mergeCell ref="A18:A19"/>
    <mergeCell ref="A14:A15"/>
    <mergeCell ref="B20:C20"/>
    <mergeCell ref="B21:C21"/>
    <mergeCell ref="B14:C14"/>
    <mergeCell ref="B15:C15"/>
  </mergeCells>
  <pageMargins left="0.77" right="0.51181102362204722" top="0.8" bottom="0.74803149606299213" header="0.31496062992125984" footer="0.31496062992125984"/>
  <pageSetup scale="55" fitToWidth="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
  <sheetViews>
    <sheetView topLeftCell="A4" zoomScale="75" zoomScaleNormal="75" workbookViewId="0">
      <selection activeCell="A29" sqref="A29:K29"/>
    </sheetView>
  </sheetViews>
  <sheetFormatPr baseColWidth="10" defaultRowHeight="15" x14ac:dyDescent="0.25"/>
  <cols>
    <col min="1" max="1" width="22.125" customWidth="1"/>
    <col min="2" max="2" width="17.875" customWidth="1"/>
    <col min="3" max="3" width="8.125" customWidth="1"/>
    <col min="4" max="4" width="13" bestFit="1" customWidth="1"/>
    <col min="5" max="5" width="15.625" customWidth="1"/>
    <col min="6" max="6" width="12" customWidth="1"/>
    <col min="7" max="7" width="11.625" bestFit="1" customWidth="1"/>
    <col min="8" max="8" width="12" customWidth="1"/>
    <col min="9" max="9" width="11.25" bestFit="1" customWidth="1"/>
    <col min="10" max="10" width="16.75" customWidth="1"/>
    <col min="11" max="11" width="15.125" customWidth="1"/>
    <col min="12" max="12" width="14" bestFit="1" customWidth="1"/>
    <col min="13" max="13" width="17.375" customWidth="1"/>
    <col min="14" max="14" width="12.875" customWidth="1"/>
    <col min="15" max="15" width="18" customWidth="1"/>
    <col min="16" max="16" width="11.625" customWidth="1"/>
    <col min="17" max="17" width="15.125" bestFit="1" customWidth="1"/>
    <col min="18" max="18" width="7.75" bestFit="1" customWidth="1"/>
    <col min="19" max="19" width="19.125" customWidth="1"/>
  </cols>
  <sheetData>
    <row r="1" spans="1:19" ht="16.5" x14ac:dyDescent="0.25">
      <c r="A1" s="1321" t="s">
        <v>0</v>
      </c>
      <c r="B1" s="1321"/>
      <c r="C1" s="1321"/>
      <c r="D1" s="1321"/>
      <c r="E1" s="1321"/>
      <c r="F1" s="1321"/>
      <c r="G1" s="1321"/>
      <c r="H1" s="1321"/>
      <c r="I1" s="1321"/>
      <c r="J1" s="1321"/>
      <c r="K1" s="1321"/>
      <c r="L1" s="1321"/>
      <c r="M1" s="1321"/>
      <c r="N1" s="1321"/>
      <c r="O1" s="1321"/>
      <c r="P1" s="1321"/>
      <c r="Q1" s="1321"/>
      <c r="R1" s="1321"/>
      <c r="S1" s="1321"/>
    </row>
    <row r="2" spans="1:19" ht="16.5" x14ac:dyDescent="0.25">
      <c r="A2" s="1321" t="s">
        <v>1</v>
      </c>
      <c r="B2" s="1321"/>
      <c r="C2" s="1321"/>
      <c r="D2" s="1321"/>
      <c r="E2" s="1321"/>
      <c r="F2" s="1321"/>
      <c r="G2" s="1321"/>
      <c r="H2" s="1321"/>
      <c r="I2" s="1321"/>
      <c r="J2" s="1321"/>
      <c r="K2" s="1321"/>
      <c r="L2" s="1321"/>
      <c r="M2" s="1321"/>
      <c r="N2" s="1321"/>
      <c r="O2" s="1321"/>
      <c r="P2" s="1321"/>
      <c r="Q2" s="1321"/>
      <c r="R2" s="1321"/>
      <c r="S2" s="1321"/>
    </row>
    <row r="3" spans="1:19" ht="16.5" x14ac:dyDescent="0.25">
      <c r="A3" s="1322" t="s">
        <v>104</v>
      </c>
      <c r="B3" s="1322"/>
      <c r="C3" s="1322"/>
      <c r="D3" s="1322"/>
      <c r="E3" s="1322"/>
      <c r="F3" s="1322"/>
      <c r="G3" s="1322"/>
      <c r="H3" s="1322"/>
      <c r="I3" s="1322"/>
      <c r="J3" s="1322"/>
      <c r="K3" s="1322"/>
      <c r="L3" s="1322"/>
      <c r="M3" s="1322"/>
      <c r="N3" s="1322"/>
      <c r="O3" s="1322"/>
      <c r="P3" s="1322"/>
      <c r="Q3" s="1322"/>
      <c r="R3" s="1322"/>
      <c r="S3" s="1322"/>
    </row>
    <row r="4" spans="1:19" ht="16.5" x14ac:dyDescent="0.25">
      <c r="A4" s="1322" t="s">
        <v>96</v>
      </c>
      <c r="B4" s="1322"/>
      <c r="C4" s="1322"/>
      <c r="D4" s="1322"/>
      <c r="E4" s="1322"/>
      <c r="F4" s="1322"/>
      <c r="G4" s="1322"/>
      <c r="H4" s="1322"/>
      <c r="I4" s="1322"/>
      <c r="J4" s="1322"/>
      <c r="K4" s="1322"/>
      <c r="L4" s="1322"/>
      <c r="M4" s="1322"/>
      <c r="N4" s="1322"/>
      <c r="O4" s="1322"/>
      <c r="P4" s="1322"/>
      <c r="Q4" s="1322"/>
      <c r="R4" s="1322"/>
      <c r="S4" s="1322"/>
    </row>
    <row r="6" spans="1:19" ht="16.5" x14ac:dyDescent="0.25">
      <c r="A6" s="30" t="s">
        <v>134</v>
      </c>
      <c r="B6" s="30"/>
    </row>
    <row r="8" spans="1:19" ht="16.5" x14ac:dyDescent="0.25">
      <c r="A8" s="122" t="s">
        <v>112</v>
      </c>
      <c r="B8" s="143" t="s">
        <v>163</v>
      </c>
      <c r="C8" s="144"/>
      <c r="D8" s="142">
        <v>65000</v>
      </c>
      <c r="E8" s="145" t="s">
        <v>162</v>
      </c>
    </row>
    <row r="9" spans="1:19" ht="16.5" x14ac:dyDescent="0.25">
      <c r="A9" s="122" t="s">
        <v>111</v>
      </c>
      <c r="B9" s="143" t="s">
        <v>163</v>
      </c>
      <c r="C9" s="144"/>
      <c r="D9" s="142">
        <v>64000</v>
      </c>
      <c r="E9" s="145" t="s">
        <v>162</v>
      </c>
    </row>
    <row r="10" spans="1:19" ht="16.5" x14ac:dyDescent="0.25">
      <c r="A10" s="24"/>
    </row>
    <row r="11" spans="1:19" ht="16.5" x14ac:dyDescent="0.25">
      <c r="A11" s="1375" t="s">
        <v>114</v>
      </c>
      <c r="B11" s="1375"/>
      <c r="C11" s="1375"/>
      <c r="D11" s="1375"/>
      <c r="E11" s="1375"/>
      <c r="F11" s="1375"/>
      <c r="G11" s="1375"/>
      <c r="H11" s="1375"/>
      <c r="I11" s="1375"/>
      <c r="J11" s="1375"/>
      <c r="K11" s="1375"/>
      <c r="L11" s="1375"/>
      <c r="M11" s="1375"/>
      <c r="N11" s="1375"/>
      <c r="O11" s="1375"/>
      <c r="P11" s="1375"/>
      <c r="Q11" s="1375"/>
      <c r="R11" s="1375"/>
      <c r="S11" s="1375"/>
    </row>
    <row r="12" spans="1:19" ht="15.75" thickBot="1" x14ac:dyDescent="0.3"/>
    <row r="13" spans="1:19" ht="56.25" customHeight="1" thickBot="1" x14ac:dyDescent="0.3">
      <c r="A13" s="1416" t="s">
        <v>46</v>
      </c>
      <c r="B13" s="1417"/>
      <c r="C13" s="1418"/>
      <c r="D13" s="62" t="s">
        <v>166</v>
      </c>
      <c r="E13" s="62" t="s">
        <v>90</v>
      </c>
      <c r="F13" s="62" t="s">
        <v>113</v>
      </c>
      <c r="G13" s="62" t="s">
        <v>112</v>
      </c>
      <c r="H13" s="62" t="s">
        <v>111</v>
      </c>
      <c r="I13" s="62" t="s">
        <v>101</v>
      </c>
      <c r="J13" s="62" t="s">
        <v>89</v>
      </c>
      <c r="K13" s="62" t="s">
        <v>173</v>
      </c>
      <c r="L13" s="62" t="s">
        <v>116</v>
      </c>
      <c r="M13" s="62" t="s">
        <v>115</v>
      </c>
      <c r="N13" s="62" t="s">
        <v>177</v>
      </c>
      <c r="O13" s="62" t="s">
        <v>178</v>
      </c>
      <c r="P13" s="62" t="s">
        <v>118</v>
      </c>
      <c r="Q13" s="62" t="s">
        <v>64</v>
      </c>
      <c r="R13" s="62" t="s">
        <v>10</v>
      </c>
      <c r="S13" s="62" t="s">
        <v>164</v>
      </c>
    </row>
    <row r="14" spans="1:19" ht="21.95" customHeight="1" x14ac:dyDescent="0.25">
      <c r="A14" s="1393" t="s">
        <v>76</v>
      </c>
      <c r="B14" s="1394"/>
      <c r="C14" s="1395"/>
      <c r="D14" s="153">
        <f>19950*1.16</f>
        <v>23142</v>
      </c>
      <c r="E14" s="153">
        <f>18100*1.16</f>
        <v>20996</v>
      </c>
      <c r="F14" s="154"/>
      <c r="G14" s="154"/>
      <c r="H14" s="154"/>
      <c r="I14" s="154"/>
      <c r="J14" s="155"/>
      <c r="K14" s="155"/>
      <c r="L14" s="155"/>
      <c r="M14" s="155"/>
      <c r="N14" s="155"/>
      <c r="O14" s="155"/>
      <c r="P14" s="155"/>
      <c r="Q14" s="156">
        <f>(D14+E14)/2</f>
        <v>22069</v>
      </c>
      <c r="R14" s="157">
        <v>1</v>
      </c>
      <c r="S14" s="158">
        <f>Q14*R14</f>
        <v>22069</v>
      </c>
    </row>
    <row r="15" spans="1:19" ht="21.95" customHeight="1" x14ac:dyDescent="0.25">
      <c r="A15" s="1396" t="s">
        <v>77</v>
      </c>
      <c r="B15" s="1397"/>
      <c r="C15" s="1398"/>
      <c r="D15" s="75">
        <v>8000</v>
      </c>
      <c r="E15" s="75">
        <f>8500*1.16</f>
        <v>9860</v>
      </c>
      <c r="F15" s="49"/>
      <c r="G15" s="49"/>
      <c r="H15" s="49"/>
      <c r="I15" s="49"/>
      <c r="J15" s="147"/>
      <c r="K15" s="147"/>
      <c r="L15" s="147"/>
      <c r="M15" s="147"/>
      <c r="N15" s="147"/>
      <c r="O15" s="147"/>
      <c r="P15" s="147"/>
      <c r="Q15" s="148">
        <f>(D15+E15)/2</f>
        <v>8930</v>
      </c>
      <c r="R15" s="150">
        <v>1</v>
      </c>
      <c r="S15" s="151">
        <f>Q15*R15</f>
        <v>8930</v>
      </c>
    </row>
    <row r="16" spans="1:19" ht="21.95" customHeight="1" x14ac:dyDescent="0.25">
      <c r="A16" s="1419" t="s">
        <v>83</v>
      </c>
      <c r="B16" s="1420"/>
      <c r="C16" s="1421"/>
      <c r="D16" s="75">
        <f>72000*1.16</f>
        <v>83520</v>
      </c>
      <c r="E16" s="147"/>
      <c r="F16" s="147"/>
      <c r="G16" s="49"/>
      <c r="H16" s="49"/>
      <c r="I16" s="75">
        <f>56000+5950</f>
        <v>61950</v>
      </c>
      <c r="J16" s="75">
        <v>170000</v>
      </c>
      <c r="K16" s="49"/>
      <c r="L16" s="49"/>
      <c r="M16" s="49"/>
      <c r="N16" s="49"/>
      <c r="O16" s="49"/>
      <c r="P16" s="49"/>
      <c r="Q16" s="149"/>
      <c r="R16" s="150">
        <v>1</v>
      </c>
      <c r="S16" s="152"/>
    </row>
    <row r="17" spans="1:20" ht="37.5" customHeight="1" x14ac:dyDescent="0.25">
      <c r="A17" s="1402" t="s">
        <v>174</v>
      </c>
      <c r="B17" s="1403"/>
      <c r="C17" s="1404"/>
      <c r="D17" s="51"/>
      <c r="E17" s="75">
        <f>13990/2*1.16</f>
        <v>8114.2</v>
      </c>
      <c r="F17" s="75">
        <v>8636</v>
      </c>
      <c r="G17" s="51"/>
      <c r="H17" s="51"/>
      <c r="I17" s="75">
        <v>8350</v>
      </c>
      <c r="J17" s="51"/>
      <c r="K17" s="51"/>
      <c r="L17" s="51"/>
      <c r="M17" s="51"/>
      <c r="N17" s="51"/>
      <c r="O17" s="51"/>
      <c r="P17" s="51"/>
      <c r="Q17" s="148">
        <f>(E17+F17)/2</f>
        <v>8375.1</v>
      </c>
      <c r="R17" s="150">
        <v>1</v>
      </c>
      <c r="S17" s="151">
        <f>Q17*R17</f>
        <v>8375.1</v>
      </c>
    </row>
    <row r="18" spans="1:20" ht="34.5" customHeight="1" x14ac:dyDescent="0.25">
      <c r="A18" s="1405" t="s">
        <v>175</v>
      </c>
      <c r="B18" s="1406"/>
      <c r="C18" s="1407"/>
      <c r="D18" s="51"/>
      <c r="E18" s="51"/>
      <c r="F18" s="51"/>
      <c r="G18" s="51"/>
      <c r="H18" s="51"/>
      <c r="I18" s="51"/>
      <c r="J18" s="51"/>
      <c r="K18" s="51"/>
      <c r="L18" s="51"/>
      <c r="M18" s="51"/>
      <c r="N18" s="51"/>
      <c r="O18" s="51"/>
      <c r="P18" s="148">
        <v>22400</v>
      </c>
      <c r="Q18" s="148">
        <f>P18</f>
        <v>22400</v>
      </c>
      <c r="R18" s="150">
        <v>1</v>
      </c>
      <c r="S18" s="159">
        <f>Q18*R18</f>
        <v>22400</v>
      </c>
    </row>
    <row r="19" spans="1:20" ht="21.95" customHeight="1" x14ac:dyDescent="0.25">
      <c r="A19" s="1396" t="s">
        <v>176</v>
      </c>
      <c r="B19" s="1397"/>
      <c r="C19" s="1398"/>
      <c r="D19" s="51"/>
      <c r="E19" s="51"/>
      <c r="F19" s="51"/>
      <c r="G19" s="51"/>
      <c r="H19" s="75">
        <v>8000</v>
      </c>
      <c r="I19" s="51"/>
      <c r="J19" s="51"/>
      <c r="K19" s="51"/>
      <c r="L19" s="51"/>
      <c r="M19" s="51"/>
      <c r="N19" s="75">
        <v>4500</v>
      </c>
      <c r="O19" s="75">
        <v>8000</v>
      </c>
      <c r="P19" s="51"/>
      <c r="Q19" s="149"/>
      <c r="R19" s="150">
        <v>1</v>
      </c>
      <c r="S19" s="152">
        <f>Q19*R19</f>
        <v>0</v>
      </c>
    </row>
    <row r="20" spans="1:20" s="193" customFormat="1" ht="21.95" customHeight="1" x14ac:dyDescent="0.25">
      <c r="A20" s="1410" t="s">
        <v>84</v>
      </c>
      <c r="B20" s="1411"/>
      <c r="C20" s="1412"/>
      <c r="D20" s="187"/>
      <c r="E20" s="187"/>
      <c r="F20" s="187"/>
      <c r="G20" s="188">
        <f>65000/400*20</f>
        <v>3250</v>
      </c>
      <c r="H20" s="188">
        <f>64000/400*20</f>
        <v>3200</v>
      </c>
      <c r="I20" s="189"/>
      <c r="J20" s="187"/>
      <c r="K20" s="187"/>
      <c r="L20" s="187"/>
      <c r="M20" s="187"/>
      <c r="N20" s="187"/>
      <c r="O20" s="187"/>
      <c r="P20" s="187"/>
      <c r="Q20" s="190">
        <f>(G20+H20)/2</f>
        <v>3225</v>
      </c>
      <c r="R20" s="191">
        <v>1</v>
      </c>
      <c r="S20" s="192">
        <f>Q20</f>
        <v>3225</v>
      </c>
      <c r="T20" s="193" t="s">
        <v>179</v>
      </c>
    </row>
    <row r="21" spans="1:20" s="193" customFormat="1" ht="36.75" customHeight="1" x14ac:dyDescent="0.25">
      <c r="A21" s="1399" t="s">
        <v>167</v>
      </c>
      <c r="B21" s="1400"/>
      <c r="C21" s="1401"/>
      <c r="D21" s="187"/>
      <c r="E21" s="187"/>
      <c r="F21" s="187"/>
      <c r="G21" s="187"/>
      <c r="H21" s="187"/>
      <c r="I21" s="187"/>
      <c r="J21" s="187"/>
      <c r="K21" s="190">
        <f>5600*1.16</f>
        <v>6496</v>
      </c>
      <c r="L21" s="190">
        <v>6500</v>
      </c>
      <c r="M21" s="190">
        <v>6500</v>
      </c>
      <c r="N21" s="194"/>
      <c r="O21" s="194"/>
      <c r="P21" s="194"/>
      <c r="Q21" s="190">
        <f>(K21+L21)/2</f>
        <v>6498</v>
      </c>
      <c r="R21" s="191">
        <v>8</v>
      </c>
      <c r="S21" s="192">
        <f>Q21*R21</f>
        <v>51984</v>
      </c>
    </row>
    <row r="22" spans="1:20" s="193" customFormat="1" ht="21.95" customHeight="1" thickBot="1" x14ac:dyDescent="0.3">
      <c r="A22" s="1413" t="s">
        <v>91</v>
      </c>
      <c r="B22" s="1414"/>
      <c r="C22" s="1415"/>
      <c r="D22" s="195">
        <f>4800*1.16</f>
        <v>5568</v>
      </c>
      <c r="E22" s="195">
        <f>4400*1.16</f>
        <v>5104</v>
      </c>
      <c r="F22" s="196"/>
      <c r="G22" s="196"/>
      <c r="H22" s="196"/>
      <c r="I22" s="196"/>
      <c r="J22" s="104"/>
      <c r="K22" s="104"/>
      <c r="L22" s="104"/>
      <c r="M22" s="104"/>
      <c r="N22" s="104"/>
      <c r="O22" s="104"/>
      <c r="P22" s="104"/>
      <c r="Q22" s="197">
        <f>(D22+E22)/2</f>
        <v>5336</v>
      </c>
      <c r="R22" s="198">
        <v>31</v>
      </c>
      <c r="S22" s="199">
        <f>Q22*R22</f>
        <v>165416</v>
      </c>
    </row>
    <row r="23" spans="1:20" ht="21.95" customHeight="1" thickBot="1" x14ac:dyDescent="0.3">
      <c r="M23" s="146"/>
      <c r="N23" s="184"/>
      <c r="O23" s="184"/>
      <c r="P23" s="1318" t="s">
        <v>146</v>
      </c>
      <c r="Q23" s="1319"/>
      <c r="R23" s="1320"/>
      <c r="S23" s="90">
        <f>SUM(S14:S22)</f>
        <v>282399.09999999998</v>
      </c>
      <c r="T23" s="63"/>
    </row>
    <row r="24" spans="1:20" ht="21.95" customHeight="1" thickBot="1" x14ac:dyDescent="0.3">
      <c r="A24" s="1408" t="s">
        <v>168</v>
      </c>
      <c r="B24" s="1409"/>
      <c r="C24" s="1427">
        <f>'KIT agrop..'!N34</f>
        <v>90304.22</v>
      </c>
      <c r="D24" s="1428"/>
      <c r="E24" s="181"/>
      <c r="F24" s="63"/>
      <c r="M24" s="146"/>
      <c r="N24" s="184"/>
      <c r="O24" s="184"/>
      <c r="P24" s="1392"/>
      <c r="Q24" s="1392"/>
      <c r="R24" s="1392"/>
      <c r="S24" s="183"/>
    </row>
    <row r="25" spans="1:20" ht="21.75" customHeight="1" thickBot="1" x14ac:dyDescent="0.3">
      <c r="A25" s="1423" t="s">
        <v>169</v>
      </c>
      <c r="B25" s="1424"/>
      <c r="C25" s="1429">
        <f>Insumos!N36</f>
        <v>8477.4506517333339</v>
      </c>
      <c r="D25" s="1430"/>
      <c r="E25" s="181"/>
      <c r="P25" s="1392"/>
      <c r="Q25" s="1392"/>
      <c r="R25" s="1392"/>
      <c r="S25" s="182"/>
    </row>
    <row r="26" spans="1:20" ht="21.75" customHeight="1" thickBot="1" x14ac:dyDescent="0.3">
      <c r="A26" s="1425" t="s">
        <v>50</v>
      </c>
      <c r="B26" s="1426"/>
      <c r="C26" s="1431">
        <f>S23</f>
        <v>282399.09999999998</v>
      </c>
      <c r="D26" s="1432"/>
      <c r="E26" s="181"/>
      <c r="P26" s="146"/>
      <c r="Q26" s="146"/>
      <c r="R26" s="146"/>
      <c r="S26" s="180"/>
    </row>
    <row r="27" spans="1:20" ht="21.75" customHeight="1" thickBot="1" x14ac:dyDescent="0.3">
      <c r="A27" s="1371" t="s">
        <v>172</v>
      </c>
      <c r="B27" s="1372"/>
      <c r="C27" s="1373">
        <f>SUM(C24:D26)</f>
        <v>381180.77065173333</v>
      </c>
      <c r="D27" s="1374"/>
      <c r="P27" s="146"/>
      <c r="Q27" s="146"/>
      <c r="R27" s="146"/>
      <c r="S27" s="180"/>
    </row>
    <row r="28" spans="1:20" ht="21.75" customHeight="1" x14ac:dyDescent="0.25">
      <c r="P28" s="146"/>
      <c r="Q28" s="146"/>
      <c r="R28" s="146"/>
      <c r="S28" s="180"/>
    </row>
    <row r="29" spans="1:20" s="165" customFormat="1" ht="16.5" x14ac:dyDescent="0.25">
      <c r="A29" s="1375" t="s">
        <v>123</v>
      </c>
      <c r="B29" s="1375"/>
      <c r="C29" s="1375"/>
      <c r="D29" s="1375"/>
      <c r="E29" s="1375"/>
      <c r="F29" s="1375"/>
      <c r="G29" s="1375"/>
      <c r="H29" s="1375"/>
      <c r="I29" s="1375"/>
      <c r="J29" s="1375"/>
      <c r="K29" s="1375"/>
    </row>
    <row r="30" spans="1:20" ht="18.75" thickBot="1" x14ac:dyDescent="0.3">
      <c r="A30" s="3"/>
      <c r="B30" s="3"/>
      <c r="C30" s="3"/>
      <c r="D30" s="3"/>
      <c r="E30" s="3"/>
      <c r="F30" s="3"/>
      <c r="G30" s="3"/>
      <c r="H30" s="3"/>
      <c r="I30" s="3"/>
      <c r="J30" s="3"/>
      <c r="K30" s="3"/>
    </row>
    <row r="31" spans="1:20" ht="20.100000000000001" customHeight="1" x14ac:dyDescent="0.25">
      <c r="A31" s="1376" t="s">
        <v>124</v>
      </c>
      <c r="B31" s="1377"/>
      <c r="C31" s="1378"/>
      <c r="D31" s="1382" t="s">
        <v>95</v>
      </c>
      <c r="E31" s="1377" t="s">
        <v>97</v>
      </c>
      <c r="F31" s="1382" t="s">
        <v>101</v>
      </c>
      <c r="G31" s="1376" t="s">
        <v>117</v>
      </c>
      <c r="H31" s="1378"/>
      <c r="I31" s="1376" t="s">
        <v>121</v>
      </c>
      <c r="J31" s="1378"/>
      <c r="K31" s="1382" t="s">
        <v>64</v>
      </c>
      <c r="L31" s="1382" t="s">
        <v>10</v>
      </c>
      <c r="M31" s="1382" t="s">
        <v>100</v>
      </c>
    </row>
    <row r="32" spans="1:20" ht="20.100000000000001" customHeight="1" thickBot="1" x14ac:dyDescent="0.3">
      <c r="A32" s="1379"/>
      <c r="B32" s="1380"/>
      <c r="C32" s="1381"/>
      <c r="D32" s="1383"/>
      <c r="E32" s="1384"/>
      <c r="F32" s="1383"/>
      <c r="G32" s="1379"/>
      <c r="H32" s="1381"/>
      <c r="I32" s="1379"/>
      <c r="J32" s="1381"/>
      <c r="K32" s="1383"/>
      <c r="L32" s="1383"/>
      <c r="M32" s="1422"/>
    </row>
    <row r="33" spans="1:15" ht="20.100000000000001" customHeight="1" x14ac:dyDescent="0.25">
      <c r="A33" s="1389" t="s">
        <v>122</v>
      </c>
      <c r="B33" s="1390"/>
      <c r="C33" s="1391"/>
      <c r="D33" s="164"/>
      <c r="E33" s="171"/>
      <c r="F33" s="175">
        <v>20900</v>
      </c>
      <c r="G33" s="1387">
        <v>18000</v>
      </c>
      <c r="H33" s="1388"/>
      <c r="I33" s="1346"/>
      <c r="J33" s="1347"/>
      <c r="K33" s="175">
        <f>(F33+G33)/2</f>
        <v>19450</v>
      </c>
      <c r="L33" s="177">
        <v>4</v>
      </c>
      <c r="M33" s="162">
        <f t="shared" ref="M33:M41" si="0">K33*L33</f>
        <v>77800</v>
      </c>
      <c r="N33" s="185"/>
      <c r="O33" s="185"/>
    </row>
    <row r="34" spans="1:15" ht="20.100000000000001" customHeight="1" x14ac:dyDescent="0.25">
      <c r="A34" s="1363" t="s">
        <v>79</v>
      </c>
      <c r="B34" s="1364"/>
      <c r="C34" s="1365"/>
      <c r="D34" s="160"/>
      <c r="E34" s="171"/>
      <c r="F34" s="168">
        <v>14600</v>
      </c>
      <c r="G34" s="1385"/>
      <c r="H34" s="1386"/>
      <c r="I34" s="1353">
        <v>28000</v>
      </c>
      <c r="J34" s="1354"/>
      <c r="K34" s="168"/>
      <c r="L34" s="178">
        <v>3</v>
      </c>
      <c r="M34" s="168">
        <f t="shared" si="0"/>
        <v>0</v>
      </c>
      <c r="N34" s="185"/>
      <c r="O34" s="185"/>
    </row>
    <row r="35" spans="1:15" ht="20.100000000000001" customHeight="1" x14ac:dyDescent="0.25">
      <c r="A35" s="1348" t="s">
        <v>125</v>
      </c>
      <c r="B35" s="1349"/>
      <c r="C35" s="1350"/>
      <c r="D35" s="160"/>
      <c r="E35" s="169">
        <v>6990</v>
      </c>
      <c r="F35" s="169">
        <v>6990</v>
      </c>
      <c r="G35" s="1366">
        <v>8000</v>
      </c>
      <c r="H35" s="1367"/>
      <c r="I35" s="1351"/>
      <c r="J35" s="1355"/>
      <c r="K35" s="168">
        <f>(F35+G35)/2</f>
        <v>7495</v>
      </c>
      <c r="L35" s="178">
        <v>4</v>
      </c>
      <c r="M35" s="162">
        <f t="shared" si="0"/>
        <v>29980</v>
      </c>
      <c r="N35" s="186"/>
      <c r="O35" s="186"/>
    </row>
    <row r="36" spans="1:15" ht="20.100000000000001" customHeight="1" x14ac:dyDescent="0.25">
      <c r="A36" s="1348" t="s">
        <v>170</v>
      </c>
      <c r="B36" s="1349"/>
      <c r="C36" s="1350"/>
      <c r="D36" s="160"/>
      <c r="E36" s="169">
        <v>4990</v>
      </c>
      <c r="F36" s="169">
        <v>4450</v>
      </c>
      <c r="G36" s="1351"/>
      <c r="H36" s="1352"/>
      <c r="I36" s="1351"/>
      <c r="J36" s="1355"/>
      <c r="K36" s="168">
        <f>(E36+F36)/2</f>
        <v>4720</v>
      </c>
      <c r="L36" s="178">
        <v>3</v>
      </c>
      <c r="M36" s="162">
        <f t="shared" si="0"/>
        <v>14160</v>
      </c>
      <c r="N36" s="70"/>
      <c r="O36" s="70"/>
    </row>
    <row r="37" spans="1:15" ht="20.100000000000001" customHeight="1" x14ac:dyDescent="0.25">
      <c r="A37" s="1348" t="s">
        <v>171</v>
      </c>
      <c r="B37" s="1349"/>
      <c r="C37" s="1350"/>
      <c r="D37" s="160"/>
      <c r="E37" s="169">
        <v>5990</v>
      </c>
      <c r="F37" s="169">
        <v>4450</v>
      </c>
      <c r="G37" s="1356">
        <v>5000</v>
      </c>
      <c r="H37" s="1368"/>
      <c r="I37" s="1351"/>
      <c r="J37" s="1355"/>
      <c r="K37" s="168">
        <f>(E37+F37+G37)/3</f>
        <v>5146.666666666667</v>
      </c>
      <c r="L37" s="178">
        <v>2</v>
      </c>
      <c r="M37" s="162">
        <f t="shared" si="0"/>
        <v>10293.333333333334</v>
      </c>
      <c r="N37" s="70"/>
      <c r="O37" s="70"/>
    </row>
    <row r="38" spans="1:15" ht="20.100000000000001" customHeight="1" x14ac:dyDescent="0.25">
      <c r="A38" s="1348" t="s">
        <v>80</v>
      </c>
      <c r="B38" s="1349"/>
      <c r="C38" s="1350"/>
      <c r="D38" s="160"/>
      <c r="E38" s="172"/>
      <c r="F38" s="169">
        <v>8900</v>
      </c>
      <c r="G38" s="1351"/>
      <c r="H38" s="1352"/>
      <c r="I38" s="1356">
        <v>10500</v>
      </c>
      <c r="J38" s="1357"/>
      <c r="K38" s="168">
        <f>(F38+I38)/2</f>
        <v>9700</v>
      </c>
      <c r="L38" s="178">
        <v>3</v>
      </c>
      <c r="M38" s="162">
        <f t="shared" si="0"/>
        <v>29100</v>
      </c>
      <c r="N38" s="70"/>
      <c r="O38" s="70"/>
    </row>
    <row r="39" spans="1:15" ht="20.100000000000001" customHeight="1" x14ac:dyDescent="0.25">
      <c r="A39" s="1348" t="s">
        <v>94</v>
      </c>
      <c r="B39" s="1349"/>
      <c r="C39" s="1350"/>
      <c r="D39" s="169">
        <v>12990</v>
      </c>
      <c r="E39" s="173"/>
      <c r="F39" s="169">
        <v>15490</v>
      </c>
      <c r="G39" s="1351"/>
      <c r="H39" s="1352"/>
      <c r="I39" s="1351"/>
      <c r="J39" s="1355"/>
      <c r="K39" s="168">
        <f>(D39+F39)/2</f>
        <v>14240</v>
      </c>
      <c r="L39" s="178">
        <v>40</v>
      </c>
      <c r="M39" s="162">
        <f t="shared" si="0"/>
        <v>569600</v>
      </c>
      <c r="N39" s="70"/>
      <c r="O39" s="70"/>
    </row>
    <row r="40" spans="1:15" ht="20.100000000000001" customHeight="1" x14ac:dyDescent="0.25">
      <c r="A40" s="1348" t="s">
        <v>126</v>
      </c>
      <c r="B40" s="1349"/>
      <c r="C40" s="1350"/>
      <c r="D40" s="169">
        <v>9990</v>
      </c>
      <c r="E40" s="173"/>
      <c r="F40" s="169">
        <v>5450</v>
      </c>
      <c r="G40" s="1351"/>
      <c r="H40" s="1352"/>
      <c r="I40" s="1351"/>
      <c r="J40" s="1355"/>
      <c r="K40" s="168">
        <f>(D40+F40)/2</f>
        <v>7720</v>
      </c>
      <c r="L40" s="178">
        <v>40</v>
      </c>
      <c r="M40" s="162">
        <f t="shared" si="0"/>
        <v>308800</v>
      </c>
      <c r="N40" s="70"/>
      <c r="O40" s="70"/>
    </row>
    <row r="41" spans="1:15" ht="20.100000000000001" customHeight="1" thickBot="1" x14ac:dyDescent="0.3">
      <c r="A41" s="1360" t="s">
        <v>81</v>
      </c>
      <c r="B41" s="1361"/>
      <c r="C41" s="1362"/>
      <c r="D41" s="161"/>
      <c r="E41" s="174"/>
      <c r="F41" s="170">
        <v>3590</v>
      </c>
      <c r="G41" s="1358"/>
      <c r="H41" s="1359"/>
      <c r="I41" s="1369">
        <v>2000</v>
      </c>
      <c r="J41" s="1370"/>
      <c r="K41" s="176">
        <f>(F41+I41)/2</f>
        <v>2795</v>
      </c>
      <c r="L41" s="179">
        <v>5</v>
      </c>
      <c r="M41" s="163">
        <f t="shared" si="0"/>
        <v>13975</v>
      </c>
      <c r="N41" s="70"/>
      <c r="O41" s="70"/>
    </row>
    <row r="42" spans="1:15" ht="18" x14ac:dyDescent="0.25">
      <c r="A42" s="166"/>
      <c r="B42" s="167"/>
      <c r="C42" s="167"/>
      <c r="D42" s="167"/>
      <c r="E42" s="167"/>
      <c r="F42" s="3"/>
      <c r="G42" s="3"/>
      <c r="H42" s="3"/>
      <c r="I42" s="3"/>
      <c r="J42" s="3"/>
      <c r="K42" s="3"/>
      <c r="L42" s="70"/>
      <c r="M42" s="34">
        <f>SUM(M33:M41)</f>
        <v>1053708.3333333335</v>
      </c>
      <c r="N42" s="34"/>
      <c r="O42" s="34"/>
    </row>
    <row r="43" spans="1:15" ht="18" x14ac:dyDescent="0.25">
      <c r="A43" s="166"/>
      <c r="B43" s="167"/>
      <c r="C43" s="167"/>
      <c r="D43" s="167"/>
      <c r="E43" s="167"/>
      <c r="F43" s="3"/>
      <c r="G43" s="3"/>
      <c r="H43" s="3"/>
      <c r="I43" s="3"/>
      <c r="J43" s="3"/>
      <c r="K43" s="3"/>
      <c r="L43" s="70"/>
      <c r="M43" s="34"/>
      <c r="N43" s="34"/>
      <c r="O43" s="34"/>
    </row>
    <row r="45" spans="1:15" x14ac:dyDescent="0.25">
      <c r="A45" t="s">
        <v>103</v>
      </c>
    </row>
    <row r="46" spans="1:15" x14ac:dyDescent="0.25">
      <c r="A46" s="84">
        <v>40135</v>
      </c>
    </row>
  </sheetData>
  <mergeCells count="63">
    <mergeCell ref="A13:C13"/>
    <mergeCell ref="A19:C19"/>
    <mergeCell ref="A16:C16"/>
    <mergeCell ref="L31:L32"/>
    <mergeCell ref="M31:M32"/>
    <mergeCell ref="G31:H32"/>
    <mergeCell ref="A25:B25"/>
    <mergeCell ref="A26:B26"/>
    <mergeCell ref="C24:D24"/>
    <mergeCell ref="C25:D25"/>
    <mergeCell ref="C26:D26"/>
    <mergeCell ref="A1:S1"/>
    <mergeCell ref="A3:S3"/>
    <mergeCell ref="A4:S4"/>
    <mergeCell ref="P25:R25"/>
    <mergeCell ref="A14:C14"/>
    <mergeCell ref="A15:C15"/>
    <mergeCell ref="A21:C21"/>
    <mergeCell ref="P24:R24"/>
    <mergeCell ref="P23:R23"/>
    <mergeCell ref="A11:S11"/>
    <mergeCell ref="A2:S2"/>
    <mergeCell ref="A17:C17"/>
    <mergeCell ref="A18:C18"/>
    <mergeCell ref="A24:B24"/>
    <mergeCell ref="A20:C20"/>
    <mergeCell ref="A22:C22"/>
    <mergeCell ref="I41:J41"/>
    <mergeCell ref="I35:J35"/>
    <mergeCell ref="A27:B27"/>
    <mergeCell ref="C27:D27"/>
    <mergeCell ref="A29:K29"/>
    <mergeCell ref="A31:C32"/>
    <mergeCell ref="I31:J32"/>
    <mergeCell ref="K31:K32"/>
    <mergeCell ref="D31:D32"/>
    <mergeCell ref="F31:F32"/>
    <mergeCell ref="E31:E32"/>
    <mergeCell ref="G34:H34"/>
    <mergeCell ref="G33:H33"/>
    <mergeCell ref="I39:J39"/>
    <mergeCell ref="I40:J40"/>
    <mergeCell ref="A33:C33"/>
    <mergeCell ref="G41:H41"/>
    <mergeCell ref="A41:C41"/>
    <mergeCell ref="A34:C34"/>
    <mergeCell ref="A38:C38"/>
    <mergeCell ref="G35:H35"/>
    <mergeCell ref="G39:H39"/>
    <mergeCell ref="G36:H36"/>
    <mergeCell ref="G37:H37"/>
    <mergeCell ref="G38:H38"/>
    <mergeCell ref="I33:J33"/>
    <mergeCell ref="A35:C35"/>
    <mergeCell ref="A36:C36"/>
    <mergeCell ref="A37:C37"/>
    <mergeCell ref="G40:H40"/>
    <mergeCell ref="A39:C39"/>
    <mergeCell ref="A40:C40"/>
    <mergeCell ref="I34:J34"/>
    <mergeCell ref="I36:J36"/>
    <mergeCell ref="I37:J37"/>
    <mergeCell ref="I38:J38"/>
  </mergeCells>
  <pageMargins left="0.33" right="0.2" top="0.74803149606299213" bottom="0.74803149606299213" header="0.31496062992125984" footer="0.31496062992125984"/>
  <pageSetup scale="55" fitToWidth="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view="pageBreakPreview" zoomScaleNormal="90" zoomScaleSheetLayoutView="100" workbookViewId="0">
      <selection activeCell="A32" sqref="A32"/>
    </sheetView>
  </sheetViews>
  <sheetFormatPr baseColWidth="10" defaultColWidth="11.375" defaultRowHeight="15" customHeight="1" x14ac:dyDescent="0.25"/>
  <cols>
    <col min="1" max="1" width="34.875" style="551" customWidth="1"/>
    <col min="2" max="2" width="15.375" style="551" customWidth="1"/>
    <col min="3" max="3" width="16.375" style="551" customWidth="1"/>
    <col min="4" max="4" width="17.25" style="551" customWidth="1"/>
    <col min="5" max="5" width="10.75" style="551" customWidth="1"/>
    <col min="6" max="16384" width="11.375" style="551"/>
  </cols>
  <sheetData>
    <row r="1" spans="1:5" s="739" customFormat="1" ht="15" customHeight="1" x14ac:dyDescent="0.25">
      <c r="A1" s="1434" t="s">
        <v>261</v>
      </c>
      <c r="B1" s="1434"/>
      <c r="C1" s="1434"/>
      <c r="D1" s="1434"/>
      <c r="E1" s="738"/>
    </row>
    <row r="2" spans="1:5" s="739" customFormat="1" ht="15" customHeight="1" x14ac:dyDescent="0.25">
      <c r="A2" s="1434" t="str">
        <f>+'Consolidado '!A2:C2</f>
        <v>SECRETARIA DE GOBIERNO</v>
      </c>
      <c r="B2" s="1434"/>
      <c r="C2" s="1434"/>
      <c r="D2" s="1434"/>
      <c r="E2" s="740"/>
    </row>
    <row r="3" spans="1:5" s="739" customFormat="1" ht="15" customHeight="1" x14ac:dyDescent="0.25">
      <c r="A3" s="1434" t="s">
        <v>680</v>
      </c>
      <c r="B3" s="1434"/>
      <c r="C3" s="1434"/>
      <c r="D3" s="1434"/>
      <c r="E3" s="740"/>
    </row>
    <row r="4" spans="1:5" s="739" customFormat="1" ht="15" customHeight="1" x14ac:dyDescent="0.25">
      <c r="A4" s="1434" t="s">
        <v>347</v>
      </c>
      <c r="B4" s="1434"/>
      <c r="C4" s="1434"/>
      <c r="D4" s="1434"/>
      <c r="E4" s="740"/>
    </row>
    <row r="5" spans="1:5" ht="15.75" customHeight="1" x14ac:dyDescent="0.25">
      <c r="A5" s="1434" t="s">
        <v>208</v>
      </c>
      <c r="B5" s="1434"/>
      <c r="C5" s="1434"/>
      <c r="D5" s="1434"/>
    </row>
    <row r="6" spans="1:5" ht="15.75" customHeight="1" x14ac:dyDescent="0.25">
      <c r="A6" s="814"/>
      <c r="B6" s="814"/>
      <c r="C6" s="814"/>
      <c r="D6" s="814"/>
    </row>
    <row r="7" spans="1:5" ht="32.25" customHeight="1" x14ac:dyDescent="0.25">
      <c r="A7" s="741">
        <f ca="1">+TODAY()</f>
        <v>43735</v>
      </c>
      <c r="B7" s="675"/>
      <c r="C7" s="742" t="s">
        <v>612</v>
      </c>
      <c r="D7" s="813">
        <f>+'Consolidado '!B9</f>
        <v>110</v>
      </c>
      <c r="E7" s="743">
        <f>+'Consolidado '!B8</f>
        <v>1</v>
      </c>
    </row>
    <row r="8" spans="1:5" ht="28.5" customHeight="1" x14ac:dyDescent="0.25">
      <c r="A8" s="769" t="s">
        <v>654</v>
      </c>
      <c r="B8" s="770"/>
      <c r="C8" s="771" t="e">
        <f>+C25/B25</f>
        <v>#REF!</v>
      </c>
      <c r="D8" s="771" t="e">
        <f>+D25/B25</f>
        <v>#REF!</v>
      </c>
      <c r="E8" s="743"/>
    </row>
    <row r="9" spans="1:5" ht="38.25" customHeight="1" x14ac:dyDescent="0.25">
      <c r="A9" s="744" t="s">
        <v>71</v>
      </c>
      <c r="B9" s="744" t="s">
        <v>655</v>
      </c>
      <c r="C9" s="744" t="s">
        <v>614</v>
      </c>
      <c r="D9" s="744" t="s">
        <v>615</v>
      </c>
      <c r="E9" s="690"/>
    </row>
    <row r="10" spans="1:5" ht="21.95" customHeight="1" x14ac:dyDescent="0.25">
      <c r="A10" s="745" t="s">
        <v>207</v>
      </c>
      <c r="B10" s="746" t="e">
        <f>+'Consolidado '!#REF!</f>
        <v>#REF!</v>
      </c>
      <c r="C10" s="746">
        <v>0</v>
      </c>
      <c r="D10" s="746" t="e">
        <f>+B10-C10</f>
        <v>#REF!</v>
      </c>
      <c r="E10" s="747"/>
    </row>
    <row r="11" spans="1:5" ht="21.95" customHeight="1" x14ac:dyDescent="0.25">
      <c r="A11" s="745" t="s">
        <v>260</v>
      </c>
      <c r="B11" s="746"/>
      <c r="C11" s="746"/>
      <c r="D11" s="746"/>
      <c r="E11" s="747"/>
    </row>
    <row r="12" spans="1:5" s="690" customFormat="1" ht="21.95" customHeight="1" x14ac:dyDescent="0.25">
      <c r="A12" s="749" t="str">
        <f>+'Consolidado '!A16</f>
        <v>RECURSO HUMANO</v>
      </c>
      <c r="B12" s="750">
        <f>+'Consolidado '!C16</f>
        <v>0</v>
      </c>
      <c r="C12" s="751">
        <f>+B12</f>
        <v>0</v>
      </c>
      <c r="D12" s="751">
        <f t="shared" ref="D12:D18" si="0">+B12-C12</f>
        <v>0</v>
      </c>
      <c r="E12" s="747"/>
    </row>
    <row r="13" spans="1:5" s="690" customFormat="1" ht="21.95" customHeight="1" x14ac:dyDescent="0.25">
      <c r="A13" s="749" t="e">
        <f>+'Consolidado '!#REF!</f>
        <v>#REF!</v>
      </c>
      <c r="B13" s="750" t="e">
        <f>+'Consolidado '!#REF!</f>
        <v>#REF!</v>
      </c>
      <c r="C13" s="751" t="e">
        <f>+B13</f>
        <v>#REF!</v>
      </c>
      <c r="D13" s="751" t="e">
        <f t="shared" si="0"/>
        <v>#REF!</v>
      </c>
      <c r="E13" s="747"/>
    </row>
    <row r="14" spans="1:5" s="690" customFormat="1" ht="21.95" customHeight="1" x14ac:dyDescent="0.25">
      <c r="A14" s="749" t="e">
        <f>+'Consolidado '!#REF!</f>
        <v>#REF!</v>
      </c>
      <c r="B14" s="750" t="e">
        <f>+'Consolidado '!#REF!</f>
        <v>#REF!</v>
      </c>
      <c r="C14" s="751" t="e">
        <f>+B14</f>
        <v>#REF!</v>
      </c>
      <c r="D14" s="751" t="e">
        <f t="shared" si="0"/>
        <v>#REF!</v>
      </c>
      <c r="E14" s="747"/>
    </row>
    <row r="15" spans="1:5" s="690" customFormat="1" ht="21.95" customHeight="1" x14ac:dyDescent="0.25">
      <c r="A15" s="749" t="e">
        <f>+'Consolidado '!#REF!</f>
        <v>#REF!</v>
      </c>
      <c r="B15" s="750" t="e">
        <f>+'Consolidado '!#REF!</f>
        <v>#REF!</v>
      </c>
      <c r="C15" s="751">
        <v>0</v>
      </c>
      <c r="D15" s="751" t="e">
        <f t="shared" si="0"/>
        <v>#REF!</v>
      </c>
      <c r="E15" s="747"/>
    </row>
    <row r="16" spans="1:5" s="690" customFormat="1" ht="21.95" customHeight="1" x14ac:dyDescent="0.25">
      <c r="A16" s="749" t="e">
        <f>+'Consolidado '!#REF!</f>
        <v>#REF!</v>
      </c>
      <c r="B16" s="750" t="e">
        <f>+'Consolidado '!#REF!</f>
        <v>#REF!</v>
      </c>
      <c r="C16" s="751">
        <v>0</v>
      </c>
      <c r="D16" s="751" t="e">
        <f t="shared" si="0"/>
        <v>#REF!</v>
      </c>
      <c r="E16" s="747"/>
    </row>
    <row r="17" spans="1:5" s="690" customFormat="1" ht="21.95" customHeight="1" x14ac:dyDescent="0.25">
      <c r="A17" s="749" t="e">
        <f>+'Consolidado '!#REF!</f>
        <v>#REF!</v>
      </c>
      <c r="B17" s="750" t="e">
        <f>+'Consolidado '!#REF!</f>
        <v>#REF!</v>
      </c>
      <c r="C17" s="751">
        <v>0</v>
      </c>
      <c r="D17" s="751" t="e">
        <f t="shared" si="0"/>
        <v>#REF!</v>
      </c>
      <c r="E17" s="747"/>
    </row>
    <row r="18" spans="1:5" s="690" customFormat="1" ht="21.95" customHeight="1" x14ac:dyDescent="0.25">
      <c r="A18" s="749" t="e">
        <f>+'Consolidado '!#REF!</f>
        <v>#REF!</v>
      </c>
      <c r="B18" s="750" t="e">
        <f>+'Consolidado '!#REF!</f>
        <v>#REF!</v>
      </c>
      <c r="C18" s="751" t="e">
        <f>+B18</f>
        <v>#REF!</v>
      </c>
      <c r="D18" s="751" t="e">
        <f t="shared" si="0"/>
        <v>#REF!</v>
      </c>
      <c r="E18" s="747"/>
    </row>
    <row r="19" spans="1:5" s="690" customFormat="1" ht="21.95" customHeight="1" x14ac:dyDescent="0.25">
      <c r="A19" s="749"/>
      <c r="B19" s="750"/>
      <c r="C19" s="751"/>
      <c r="D19" s="751"/>
      <c r="E19" s="747"/>
    </row>
    <row r="20" spans="1:5" s="690" customFormat="1" ht="23.25" customHeight="1" x14ac:dyDescent="0.25">
      <c r="A20" s="749"/>
      <c r="B20" s="750"/>
      <c r="C20" s="751"/>
      <c r="D20" s="751">
        <f>+B20-C20</f>
        <v>0</v>
      </c>
      <c r="E20" s="747"/>
    </row>
    <row r="21" spans="1:5" s="690" customFormat="1" ht="30" customHeight="1" x14ac:dyDescent="0.25">
      <c r="A21" s="765" t="s">
        <v>626</v>
      </c>
      <c r="B21" s="766" t="e">
        <f>SUM(B12:B20)</f>
        <v>#REF!</v>
      </c>
      <c r="C21" s="766" t="e">
        <f>SUM(C12:C20)</f>
        <v>#REF!</v>
      </c>
      <c r="D21" s="766" t="e">
        <f>SUM(D12:D20)</f>
        <v>#REF!</v>
      </c>
      <c r="E21" s="747"/>
    </row>
    <row r="22" spans="1:5" ht="31.5" customHeight="1" x14ac:dyDescent="0.25">
      <c r="A22" s="745" t="s">
        <v>653</v>
      </c>
      <c r="B22" s="746" t="e">
        <f>+B10+B21</f>
        <v>#REF!</v>
      </c>
      <c r="C22" s="746" t="e">
        <f>+C10+C21</f>
        <v>#REF!</v>
      </c>
      <c r="D22" s="746" t="e">
        <f>+D10+D21</f>
        <v>#REF!</v>
      </c>
      <c r="E22" s="747"/>
    </row>
    <row r="23" spans="1:5" ht="26.25" customHeight="1" x14ac:dyDescent="0.25">
      <c r="A23" s="745" t="s">
        <v>628</v>
      </c>
      <c r="B23" s="746" t="e">
        <f>+'Consolidado '!#REF!</f>
        <v>#REF!</v>
      </c>
      <c r="C23" s="768">
        <v>0</v>
      </c>
      <c r="D23" s="746" t="e">
        <f>+#REF!</f>
        <v>#REF!</v>
      </c>
      <c r="E23" s="747"/>
    </row>
    <row r="24" spans="1:5" ht="17.25" customHeight="1" x14ac:dyDescent="0.25">
      <c r="A24" s="752"/>
      <c r="B24" s="753"/>
      <c r="C24" s="753"/>
      <c r="D24" s="754"/>
      <c r="E24" s="747"/>
    </row>
    <row r="25" spans="1:5" ht="25.5" customHeight="1" x14ac:dyDescent="0.25">
      <c r="A25" s="755" t="s">
        <v>262</v>
      </c>
      <c r="B25" s="756" t="e">
        <f>B22+B23</f>
        <v>#REF!</v>
      </c>
      <c r="C25" s="756" t="e">
        <f>C22+C23</f>
        <v>#REF!</v>
      </c>
      <c r="D25" s="756" t="e">
        <f>D22+D23+D24</f>
        <v>#REF!</v>
      </c>
      <c r="E25" s="748"/>
    </row>
    <row r="26" spans="1:5" ht="25.5" customHeight="1" x14ac:dyDescent="0.25">
      <c r="A26" s="808"/>
      <c r="B26" s="809"/>
      <c r="C26" s="809"/>
      <c r="D26" s="809"/>
      <c r="E26" s="748"/>
    </row>
    <row r="27" spans="1:5" ht="25.5" customHeight="1" x14ac:dyDescent="0.25">
      <c r="A27" s="1433" t="s">
        <v>677</v>
      </c>
      <c r="B27" s="1433"/>
      <c r="C27" s="810">
        <v>1456000000</v>
      </c>
      <c r="D27" s="809"/>
      <c r="E27" s="748"/>
    </row>
    <row r="28" spans="1:5" ht="25.5" customHeight="1" x14ac:dyDescent="0.25">
      <c r="A28" s="1433" t="s">
        <v>678</v>
      </c>
      <c r="B28" s="1433"/>
      <c r="C28" s="810" t="e">
        <f>+C27-C25</f>
        <v>#REF!</v>
      </c>
      <c r="D28" s="809"/>
      <c r="E28" s="748"/>
    </row>
    <row r="29" spans="1:5" ht="21" customHeight="1" x14ac:dyDescent="0.25">
      <c r="A29" s="757"/>
      <c r="B29" s="757"/>
      <c r="C29" s="757"/>
      <c r="D29" s="758"/>
      <c r="E29" s="759"/>
    </row>
    <row r="30" spans="1:5" ht="15" customHeight="1" x14ac:dyDescent="0.25">
      <c r="A30" s="760"/>
    </row>
  </sheetData>
  <mergeCells count="7">
    <mergeCell ref="A28:B28"/>
    <mergeCell ref="A1:D1"/>
    <mergeCell ref="A2:D2"/>
    <mergeCell ref="A3:D3"/>
    <mergeCell ref="A4:D4"/>
    <mergeCell ref="A5:D5"/>
    <mergeCell ref="A27:B27"/>
  </mergeCells>
  <printOptions horizontalCentered="1" verticalCentered="1"/>
  <pageMargins left="0" right="0" top="0" bottom="0" header="0.31496062992125984" footer="0.19685039370078741"/>
  <pageSetup scale="30" fitToWidth="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showGridLines="0" zoomScale="90" zoomScaleNormal="90" zoomScaleSheetLayoutView="100" workbookViewId="0">
      <selection activeCell="E14" sqref="E14"/>
    </sheetView>
  </sheetViews>
  <sheetFormatPr baseColWidth="10" defaultColWidth="11.375" defaultRowHeight="15" customHeight="1" x14ac:dyDescent="0.25"/>
  <cols>
    <col min="1" max="1" width="31.75" style="551" customWidth="1"/>
    <col min="2" max="2" width="13.375" style="551" customWidth="1"/>
    <col min="3" max="3" width="14.25" style="551" customWidth="1"/>
    <col min="4" max="4" width="14.75" style="551" customWidth="1"/>
    <col min="5" max="5" width="12.25" style="551" customWidth="1"/>
    <col min="6" max="6" width="11.875" style="551" customWidth="1"/>
    <col min="7" max="7" width="11.625" style="551" customWidth="1"/>
    <col min="8" max="16384" width="11.375" style="551"/>
  </cols>
  <sheetData>
    <row r="1" spans="1:7" s="739" customFormat="1" ht="15" customHeight="1" x14ac:dyDescent="0.25">
      <c r="A1" s="1434"/>
      <c r="B1" s="1434"/>
      <c r="C1" s="1434"/>
      <c r="D1" s="738"/>
    </row>
    <row r="2" spans="1:7" s="739" customFormat="1" ht="15" customHeight="1" x14ac:dyDescent="0.25">
      <c r="A2" s="1434"/>
      <c r="B2" s="1434"/>
      <c r="C2" s="1434"/>
      <c r="D2" s="740"/>
    </row>
    <row r="3" spans="1:7" s="739" customFormat="1" ht="15" customHeight="1" x14ac:dyDescent="0.25">
      <c r="A3" s="1434" t="s">
        <v>812</v>
      </c>
      <c r="B3" s="1434"/>
      <c r="C3" s="1434"/>
      <c r="D3" s="1434"/>
      <c r="E3" s="1434"/>
      <c r="F3" s="1434"/>
      <c r="G3" s="1434"/>
    </row>
    <row r="4" spans="1:7" s="739" customFormat="1" ht="15" customHeight="1" x14ac:dyDescent="0.25">
      <c r="A4" s="1434" t="s">
        <v>813</v>
      </c>
      <c r="B4" s="1434"/>
      <c r="C4" s="1434"/>
      <c r="D4" s="1434"/>
      <c r="E4" s="1434"/>
      <c r="F4" s="1434"/>
      <c r="G4" s="1434"/>
    </row>
    <row r="5" spans="1:7" ht="15.75" hidden="1" customHeight="1" x14ac:dyDescent="0.25">
      <c r="A5" s="1434" t="s">
        <v>814</v>
      </c>
      <c r="B5" s="1434"/>
      <c r="C5" s="1434"/>
      <c r="D5" s="1434"/>
      <c r="E5" s="1434"/>
      <c r="F5" s="1434"/>
      <c r="G5" s="1434"/>
    </row>
    <row r="6" spans="1:7" ht="38.25" customHeight="1" x14ac:dyDescent="0.25">
      <c r="A6" s="817" t="s">
        <v>681</v>
      </c>
      <c r="B6" s="817" t="s">
        <v>682</v>
      </c>
      <c r="C6" s="817" t="s">
        <v>683</v>
      </c>
      <c r="D6" s="817" t="s">
        <v>262</v>
      </c>
      <c r="E6" s="817" t="s">
        <v>684</v>
      </c>
      <c r="F6" s="817" t="s">
        <v>685</v>
      </c>
      <c r="G6" s="817" t="s">
        <v>686</v>
      </c>
    </row>
    <row r="7" spans="1:7" s="690" customFormat="1" ht="21.95" customHeight="1" x14ac:dyDescent="0.25">
      <c r="A7" s="818" t="s">
        <v>815</v>
      </c>
      <c r="B7" s="819">
        <v>1500000000</v>
      </c>
      <c r="C7" s="819">
        <v>0</v>
      </c>
      <c r="D7" s="820">
        <f>+B7+C7</f>
        <v>1500000000</v>
      </c>
      <c r="E7" s="901">
        <f>+D7/$D$12</f>
        <v>0.81753153917727306</v>
      </c>
      <c r="F7" s="821">
        <v>0</v>
      </c>
      <c r="G7" s="901">
        <f t="shared" ref="G7:G12" si="0">SUM(E7:F7)</f>
        <v>0.81753153917727306</v>
      </c>
    </row>
    <row r="8" spans="1:7" s="690" customFormat="1" ht="21.95" customHeight="1" x14ac:dyDescent="0.25">
      <c r="A8" s="818" t="s">
        <v>816</v>
      </c>
      <c r="B8" s="819">
        <f>+Compota!H7</f>
        <v>0</v>
      </c>
      <c r="C8" s="819">
        <v>0</v>
      </c>
      <c r="D8" s="820">
        <f>+B8+C8</f>
        <v>0</v>
      </c>
      <c r="E8" s="901">
        <f>+D8/$D$12</f>
        <v>0</v>
      </c>
      <c r="F8" s="821">
        <v>0</v>
      </c>
      <c r="G8" s="901">
        <f t="shared" si="0"/>
        <v>0</v>
      </c>
    </row>
    <row r="9" spans="1:7" s="690" customFormat="1" ht="21.95" customHeight="1" x14ac:dyDescent="0.25">
      <c r="A9" s="818" t="s">
        <v>817</v>
      </c>
      <c r="B9" s="819">
        <v>0</v>
      </c>
      <c r="C9" s="819">
        <v>97343382</v>
      </c>
      <c r="D9" s="820">
        <f>+B9+C9</f>
        <v>97343382</v>
      </c>
      <c r="E9" s="821">
        <v>0</v>
      </c>
      <c r="F9" s="821">
        <f>+D9/$D$12</f>
        <v>5.3054189943454171E-2</v>
      </c>
      <c r="G9" s="901">
        <f t="shared" si="0"/>
        <v>5.3054189943454171E-2</v>
      </c>
    </row>
    <row r="10" spans="1:7" s="690" customFormat="1" ht="21.95" customHeight="1" x14ac:dyDescent="0.25">
      <c r="A10" s="818" t="s">
        <v>818</v>
      </c>
      <c r="B10" s="819">
        <v>0</v>
      </c>
      <c r="C10" s="819">
        <v>189053173</v>
      </c>
      <c r="D10" s="820">
        <f>+B10+C10</f>
        <v>189053173</v>
      </c>
      <c r="E10" s="821">
        <v>0</v>
      </c>
      <c r="F10" s="821">
        <f>+D10/$D$12</f>
        <v>0.1030379543393582</v>
      </c>
      <c r="G10" s="901">
        <f t="shared" si="0"/>
        <v>0.1030379543393582</v>
      </c>
    </row>
    <row r="11" spans="1:7" s="690" customFormat="1" ht="21.95" customHeight="1" x14ac:dyDescent="0.25">
      <c r="A11" s="818" t="s">
        <v>819</v>
      </c>
      <c r="B11" s="819">
        <v>0</v>
      </c>
      <c r="C11" s="819">
        <v>48395044</v>
      </c>
      <c r="D11" s="820">
        <f>+B11+C11</f>
        <v>48395044</v>
      </c>
      <c r="E11" s="821">
        <v>0</v>
      </c>
      <c r="F11" s="821">
        <f>+D11/$D$12</f>
        <v>2.6376316539914568E-2</v>
      </c>
      <c r="G11" s="901">
        <f t="shared" si="0"/>
        <v>2.6376316539914568E-2</v>
      </c>
    </row>
    <row r="12" spans="1:7" s="690" customFormat="1" ht="30" customHeight="1" x14ac:dyDescent="0.25">
      <c r="A12" s="822" t="s">
        <v>687</v>
      </c>
      <c r="B12" s="823">
        <f>SUM(B7:B11)</f>
        <v>1500000000</v>
      </c>
      <c r="C12" s="823">
        <f>SUM(C7:C11)</f>
        <v>334791599</v>
      </c>
      <c r="D12" s="823">
        <f>SUM(D7:D11)</f>
        <v>1834791599</v>
      </c>
      <c r="E12" s="902">
        <f>+B12/D12</f>
        <v>0.81753153917727306</v>
      </c>
      <c r="F12" s="902">
        <f>+C12/D12</f>
        <v>0.18246846082272694</v>
      </c>
      <c r="G12" s="824">
        <f t="shared" si="0"/>
        <v>1</v>
      </c>
    </row>
    <row r="14" spans="1:7" ht="15" customHeight="1" x14ac:dyDescent="0.25">
      <c r="D14" s="904"/>
    </row>
    <row r="16" spans="1:7" ht="15" customHeight="1" x14ac:dyDescent="0.25">
      <c r="C16" s="904"/>
    </row>
  </sheetData>
  <mergeCells count="5">
    <mergeCell ref="A4:G4"/>
    <mergeCell ref="A5:G5"/>
    <mergeCell ref="A1:C1"/>
    <mergeCell ref="A2:C2"/>
    <mergeCell ref="A3:G3"/>
  </mergeCells>
  <printOptions horizontalCentered="1" verticalCentered="1"/>
  <pageMargins left="0" right="0" top="0" bottom="0" header="0.31496062992125984" footer="0.19685039370078741"/>
  <pageSetup scale="30" fitToWidth="2"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U148"/>
  <sheetViews>
    <sheetView showGridLines="0" topLeftCell="A15" zoomScaleNormal="100" workbookViewId="0">
      <selection activeCell="C16" sqref="C16"/>
    </sheetView>
  </sheetViews>
  <sheetFormatPr baseColWidth="10" defaultColWidth="17.875" defaultRowHeight="15" x14ac:dyDescent="0.25"/>
  <cols>
    <col min="1" max="1" width="39.375" style="551" customWidth="1"/>
    <col min="2" max="2" width="18" style="551" customWidth="1"/>
    <col min="3" max="3" width="18.875" style="551" customWidth="1"/>
    <col min="4" max="4" width="18.25" style="551" customWidth="1"/>
    <col min="5" max="5" width="15.875" style="551" customWidth="1"/>
    <col min="6" max="6" width="11.375" style="551" customWidth="1"/>
    <col min="7" max="7" width="15" style="551" customWidth="1"/>
    <col min="8" max="8" width="17" style="551" customWidth="1"/>
    <col min="9" max="239" width="11.375" style="551" customWidth="1"/>
    <col min="240" max="240" width="44" style="551" customWidth="1"/>
    <col min="241" max="241" width="19.625" style="551" customWidth="1"/>
    <col min="242" max="242" width="25.625" style="551" customWidth="1"/>
    <col min="243" max="243" width="14.125" style="551" bestFit="1" customWidth="1"/>
    <col min="244" max="248" width="0" style="551" hidden="1" customWidth="1"/>
    <col min="249" max="249" width="59" style="551" customWidth="1"/>
    <col min="250" max="250" width="18.25" style="551" bestFit="1" customWidth="1"/>
    <col min="251" max="251" width="20.75" style="551" bestFit="1" customWidth="1"/>
    <col min="252" max="252" width="21.125" style="551" customWidth="1"/>
    <col min="253" max="253" width="17.875" style="551" bestFit="1" customWidth="1"/>
    <col min="254" max="254" width="18.25" style="551" customWidth="1"/>
    <col min="255" max="16384" width="17.875" style="551"/>
  </cols>
  <sheetData>
    <row r="1" spans="1:255" x14ac:dyDescent="0.25">
      <c r="A1" s="1444" t="s">
        <v>0</v>
      </c>
      <c r="B1" s="1444"/>
      <c r="C1" s="1444"/>
    </row>
    <row r="2" spans="1:255" x14ac:dyDescent="0.25">
      <c r="A2" s="1444" t="s">
        <v>618</v>
      </c>
      <c r="B2" s="1444"/>
      <c r="C2" s="1444"/>
    </row>
    <row r="3" spans="1:255" x14ac:dyDescent="0.25">
      <c r="A3" s="1444" t="s">
        <v>675</v>
      </c>
      <c r="B3" s="1444"/>
      <c r="C3" s="1444"/>
      <c r="E3" s="666"/>
    </row>
    <row r="4" spans="1:255" x14ac:dyDescent="0.25">
      <c r="A4" s="1444" t="s">
        <v>619</v>
      </c>
      <c r="B4" s="1444"/>
      <c r="C4" s="1444"/>
      <c r="E4" s="666"/>
    </row>
    <row r="5" spans="1:255" x14ac:dyDescent="0.25">
      <c r="A5" s="1040"/>
      <c r="B5" s="1040"/>
      <c r="C5" s="1040"/>
      <c r="D5" s="1040"/>
      <c r="E5" s="908"/>
      <c r="F5" s="1040"/>
      <c r="G5" s="1040"/>
      <c r="H5" s="674"/>
      <c r="I5" s="674"/>
      <c r="J5" s="674"/>
      <c r="K5" s="674"/>
      <c r="L5" s="674"/>
      <c r="M5" s="675"/>
    </row>
    <row r="6" spans="1:255" ht="49.5" customHeight="1" x14ac:dyDescent="0.25">
      <c r="A6" s="1445" t="s">
        <v>938</v>
      </c>
      <c r="B6" s="1446"/>
      <c r="C6" s="1446"/>
      <c r="E6" s="909"/>
    </row>
    <row r="7" spans="1:255" x14ac:dyDescent="0.25">
      <c r="A7" s="676"/>
      <c r="B7" s="676"/>
      <c r="C7" s="676"/>
      <c r="D7" s="677"/>
      <c r="E7" s="909"/>
      <c r="F7" s="677"/>
      <c r="G7" s="677"/>
      <c r="H7" s="677"/>
      <c r="I7" s="677"/>
      <c r="J7" s="677"/>
      <c r="K7" s="677"/>
      <c r="L7" s="677"/>
      <c r="M7" s="677"/>
    </row>
    <row r="8" spans="1:255" ht="20.100000000000001" customHeight="1" x14ac:dyDescent="0.25">
      <c r="A8" s="678" t="s">
        <v>620</v>
      </c>
      <c r="B8" s="767">
        <v>7</v>
      </c>
      <c r="C8" s="676"/>
      <c r="D8" s="677"/>
      <c r="E8" s="910"/>
      <c r="F8" s="677"/>
      <c r="G8" s="677"/>
      <c r="H8" s="677"/>
      <c r="I8" s="677"/>
      <c r="J8" s="677"/>
      <c r="K8" s="677"/>
      <c r="L8" s="677"/>
      <c r="M8" s="677"/>
    </row>
    <row r="9" spans="1:255" ht="20.100000000000001" hidden="1" customHeight="1" x14ac:dyDescent="0.25">
      <c r="A9" s="678" t="s">
        <v>640</v>
      </c>
      <c r="B9" s="679">
        <v>110</v>
      </c>
      <c r="C9" s="676"/>
      <c r="D9" s="677"/>
      <c r="E9" s="910"/>
      <c r="F9" s="677"/>
      <c r="G9" s="677"/>
      <c r="H9" s="677"/>
      <c r="I9" s="677"/>
      <c r="J9" s="677"/>
      <c r="K9" s="677"/>
      <c r="L9" s="677"/>
      <c r="M9" s="677"/>
    </row>
    <row r="10" spans="1:255" ht="20.100000000000001" hidden="1" customHeight="1" x14ac:dyDescent="0.25">
      <c r="A10" s="680" t="s">
        <v>621</v>
      </c>
      <c r="B10" s="681">
        <v>1</v>
      </c>
      <c r="C10" s="676"/>
      <c r="D10" s="677"/>
      <c r="E10" s="910"/>
      <c r="F10" s="677"/>
      <c r="G10" s="677"/>
      <c r="H10" s="677"/>
      <c r="I10" s="677"/>
      <c r="J10" s="677"/>
      <c r="K10" s="677"/>
      <c r="L10" s="677"/>
      <c r="M10" s="677"/>
    </row>
    <row r="11" spans="1:255" ht="20.100000000000001" hidden="1" customHeight="1" thickBot="1" x14ac:dyDescent="0.3">
      <c r="A11" s="682" t="s">
        <v>622</v>
      </c>
      <c r="B11" s="683">
        <v>12826863244.473782</v>
      </c>
      <c r="C11" s="676"/>
      <c r="D11" s="677"/>
      <c r="E11" s="910"/>
      <c r="F11" s="677"/>
      <c r="G11" s="677"/>
      <c r="H11" s="677"/>
      <c r="I11" s="677"/>
      <c r="J11" s="677"/>
      <c r="K11" s="677"/>
      <c r="L11" s="677"/>
      <c r="M11" s="677"/>
    </row>
    <row r="12" spans="1:255" ht="15" customHeight="1" x14ac:dyDescent="0.25">
      <c r="A12" s="676"/>
      <c r="B12" s="676"/>
      <c r="C12" s="676"/>
      <c r="D12" s="677"/>
      <c r="E12" s="910"/>
      <c r="F12" s="677"/>
      <c r="G12" s="677"/>
      <c r="H12" s="677"/>
      <c r="I12" s="677"/>
      <c r="J12" s="677"/>
      <c r="K12" s="677"/>
      <c r="L12" s="677"/>
      <c r="M12" s="677"/>
    </row>
    <row r="13" spans="1:255" ht="20.100000000000001" customHeight="1" thickBot="1" x14ac:dyDescent="0.3">
      <c r="A13" s="761">
        <v>42397</v>
      </c>
      <c r="E13" s="666"/>
    </row>
    <row r="14" spans="1:255" ht="27.75" customHeight="1" x14ac:dyDescent="0.25">
      <c r="A14" s="684" t="s">
        <v>71</v>
      </c>
      <c r="B14" s="685" t="s">
        <v>294</v>
      </c>
      <c r="C14" s="686" t="s">
        <v>623</v>
      </c>
      <c r="E14" s="911"/>
      <c r="F14" s="907"/>
      <c r="G14" s="907"/>
      <c r="H14" s="907"/>
    </row>
    <row r="15" spans="1:255" ht="20.100000000000001" customHeight="1" x14ac:dyDescent="0.25">
      <c r="A15" s="687" t="s">
        <v>624</v>
      </c>
      <c r="B15" s="688"/>
      <c r="C15" s="689"/>
      <c r="D15" s="690"/>
      <c r="E15" s="690"/>
      <c r="F15" s="690"/>
      <c r="G15" s="690"/>
      <c r="H15" s="690"/>
      <c r="I15" s="690"/>
      <c r="J15" s="690"/>
      <c r="K15" s="690"/>
      <c r="L15" s="690"/>
      <c r="M15" s="690"/>
      <c r="N15" s="690"/>
      <c r="O15" s="690"/>
      <c r="P15" s="690"/>
      <c r="Q15" s="690"/>
      <c r="R15" s="690"/>
      <c r="S15" s="690"/>
      <c r="T15" s="690"/>
      <c r="U15" s="690"/>
      <c r="V15" s="690"/>
      <c r="W15" s="690"/>
      <c r="X15" s="690"/>
      <c r="Y15" s="690"/>
      <c r="Z15" s="690"/>
      <c r="AA15" s="690"/>
      <c r="AB15" s="690"/>
      <c r="AC15" s="690"/>
      <c r="AD15" s="690"/>
      <c r="AE15" s="690"/>
      <c r="AF15" s="690"/>
      <c r="AG15" s="690"/>
      <c r="AH15" s="690"/>
      <c r="AI15" s="690"/>
      <c r="AJ15" s="690"/>
      <c r="AK15" s="690"/>
      <c r="AL15" s="690"/>
      <c r="AM15" s="690"/>
      <c r="AN15" s="690"/>
      <c r="AO15" s="690"/>
      <c r="AP15" s="690"/>
      <c r="AQ15" s="690"/>
      <c r="AR15" s="690"/>
      <c r="AS15" s="690"/>
      <c r="AT15" s="690"/>
      <c r="AU15" s="690"/>
      <c r="AV15" s="690"/>
      <c r="AW15" s="690"/>
      <c r="AX15" s="690"/>
      <c r="AY15" s="690"/>
      <c r="AZ15" s="690"/>
      <c r="BA15" s="690"/>
      <c r="BB15" s="690"/>
      <c r="BC15" s="690"/>
      <c r="BD15" s="690"/>
      <c r="BE15" s="690"/>
      <c r="BF15" s="690"/>
      <c r="BG15" s="690"/>
      <c r="BH15" s="690"/>
      <c r="BI15" s="690"/>
      <c r="BJ15" s="690"/>
      <c r="BK15" s="690"/>
      <c r="BL15" s="690"/>
      <c r="BM15" s="690"/>
      <c r="BN15" s="690"/>
      <c r="BO15" s="690"/>
      <c r="BP15" s="690"/>
      <c r="BQ15" s="690"/>
      <c r="BR15" s="690"/>
      <c r="BS15" s="690"/>
      <c r="BT15" s="690"/>
      <c r="BU15" s="690"/>
      <c r="BV15" s="690"/>
      <c r="BW15" s="690"/>
      <c r="BX15" s="690"/>
      <c r="BY15" s="690"/>
      <c r="BZ15" s="690"/>
      <c r="CA15" s="690"/>
      <c r="CB15" s="690"/>
      <c r="CC15" s="690"/>
      <c r="CD15" s="690"/>
      <c r="CE15" s="690"/>
      <c r="CF15" s="690"/>
      <c r="CG15" s="690"/>
      <c r="CH15" s="690"/>
      <c r="CI15" s="690"/>
      <c r="CJ15" s="690"/>
      <c r="CK15" s="690"/>
      <c r="CL15" s="690"/>
      <c r="CM15" s="690"/>
      <c r="CN15" s="690"/>
      <c r="CO15" s="690"/>
      <c r="CP15" s="690"/>
      <c r="CQ15" s="690"/>
      <c r="CR15" s="690"/>
      <c r="CS15" s="690"/>
      <c r="CT15" s="690"/>
      <c r="CU15" s="690"/>
      <c r="CV15" s="690"/>
      <c r="CW15" s="690"/>
      <c r="CX15" s="690"/>
      <c r="CY15" s="690"/>
      <c r="CZ15" s="690"/>
      <c r="DA15" s="690"/>
      <c r="DB15" s="690"/>
      <c r="DC15" s="690"/>
      <c r="DD15" s="690"/>
      <c r="DE15" s="690"/>
      <c r="DF15" s="690"/>
      <c r="DG15" s="690"/>
      <c r="DH15" s="690"/>
      <c r="DI15" s="690"/>
      <c r="DJ15" s="690"/>
      <c r="DK15" s="690"/>
      <c r="DL15" s="690"/>
      <c r="DM15" s="690"/>
      <c r="DN15" s="690"/>
      <c r="DO15" s="690"/>
      <c r="DP15" s="690"/>
      <c r="DQ15" s="690"/>
      <c r="DR15" s="690"/>
      <c r="DS15" s="690"/>
      <c r="DT15" s="690"/>
      <c r="DU15" s="690"/>
      <c r="DV15" s="690"/>
      <c r="DW15" s="690"/>
      <c r="DX15" s="690"/>
      <c r="DY15" s="690"/>
      <c r="DZ15" s="690"/>
      <c r="EA15" s="690"/>
      <c r="EB15" s="690"/>
      <c r="EC15" s="690"/>
      <c r="ED15" s="690"/>
      <c r="EE15" s="690"/>
      <c r="EF15" s="690"/>
      <c r="EG15" s="690"/>
      <c r="EH15" s="690"/>
      <c r="EI15" s="690"/>
      <c r="EJ15" s="690"/>
      <c r="EK15" s="690"/>
      <c r="EL15" s="690"/>
      <c r="EM15" s="690"/>
      <c r="EN15" s="690"/>
      <c r="EO15" s="690"/>
      <c r="EP15" s="690"/>
      <c r="EQ15" s="690"/>
      <c r="ER15" s="690"/>
      <c r="ES15" s="690"/>
      <c r="ET15" s="690"/>
      <c r="EU15" s="690"/>
      <c r="EV15" s="690"/>
      <c r="EW15" s="690"/>
      <c r="EX15" s="690"/>
      <c r="EY15" s="690"/>
      <c r="EZ15" s="690"/>
      <c r="FA15" s="690"/>
      <c r="FB15" s="690"/>
      <c r="FC15" s="690"/>
      <c r="FD15" s="690"/>
      <c r="FE15" s="690"/>
      <c r="FF15" s="690"/>
      <c r="FG15" s="690"/>
      <c r="FH15" s="690"/>
      <c r="FI15" s="690"/>
      <c r="FJ15" s="690"/>
      <c r="FK15" s="690"/>
      <c r="FL15" s="690"/>
      <c r="FM15" s="690"/>
      <c r="FN15" s="690"/>
      <c r="FO15" s="690"/>
      <c r="FP15" s="690"/>
      <c r="FQ15" s="690"/>
      <c r="FR15" s="690"/>
      <c r="FS15" s="690"/>
      <c r="FT15" s="690"/>
      <c r="FU15" s="690"/>
      <c r="FV15" s="690"/>
      <c r="FW15" s="690"/>
      <c r="FX15" s="690"/>
      <c r="FY15" s="690"/>
      <c r="FZ15" s="690"/>
      <c r="GA15" s="690"/>
      <c r="GB15" s="690"/>
      <c r="GC15" s="690"/>
      <c r="GD15" s="690"/>
      <c r="GE15" s="690"/>
      <c r="GF15" s="690"/>
      <c r="GG15" s="690"/>
      <c r="GH15" s="690"/>
      <c r="GI15" s="690"/>
      <c r="GJ15" s="690"/>
      <c r="GK15" s="690"/>
      <c r="GL15" s="690"/>
      <c r="GM15" s="690"/>
      <c r="GN15" s="690"/>
      <c r="GO15" s="690"/>
      <c r="GP15" s="690"/>
      <c r="GQ15" s="690"/>
      <c r="GR15" s="690"/>
      <c r="GS15" s="690"/>
      <c r="GT15" s="690"/>
      <c r="GU15" s="690"/>
      <c r="GV15" s="690"/>
      <c r="GW15" s="690"/>
      <c r="GX15" s="690"/>
      <c r="GY15" s="690"/>
      <c r="GZ15" s="690"/>
      <c r="HA15" s="690"/>
      <c r="HB15" s="690"/>
      <c r="HC15" s="690"/>
      <c r="HD15" s="690"/>
      <c r="HE15" s="690"/>
      <c r="HF15" s="690"/>
      <c r="HG15" s="690"/>
      <c r="HH15" s="690"/>
      <c r="HI15" s="690"/>
      <c r="HJ15" s="690"/>
      <c r="HK15" s="690"/>
      <c r="HL15" s="690"/>
      <c r="HM15" s="690"/>
      <c r="HN15" s="690"/>
      <c r="HO15" s="690"/>
      <c r="HP15" s="690"/>
      <c r="HQ15" s="690"/>
      <c r="HR15" s="690"/>
      <c r="HS15" s="690"/>
      <c r="HT15" s="690"/>
      <c r="HU15" s="690"/>
      <c r="HV15" s="690"/>
      <c r="HW15" s="690"/>
      <c r="HX15" s="690"/>
      <c r="HY15" s="690"/>
      <c r="HZ15" s="690"/>
      <c r="IA15" s="690"/>
      <c r="IB15" s="690"/>
      <c r="IC15" s="690"/>
      <c r="ID15" s="690"/>
      <c r="IE15" s="690"/>
      <c r="IF15" s="690"/>
      <c r="IG15" s="690"/>
      <c r="IH15" s="690"/>
      <c r="II15" s="690"/>
      <c r="IJ15" s="690"/>
      <c r="IK15" s="690"/>
      <c r="IL15" s="690"/>
      <c r="IM15" s="690"/>
      <c r="IN15" s="690"/>
      <c r="IO15" s="690"/>
      <c r="IP15" s="690"/>
      <c r="IQ15" s="690"/>
      <c r="IR15" s="690"/>
      <c r="IS15" s="690"/>
      <c r="IT15" s="690"/>
      <c r="IU15" s="690"/>
    </row>
    <row r="16" spans="1:255" ht="20.100000000000001" customHeight="1" x14ac:dyDescent="0.25">
      <c r="A16" s="691" t="s">
        <v>207</v>
      </c>
      <c r="B16" s="692">
        <v>23143028.819082607</v>
      </c>
      <c r="C16" s="693">
        <v>162001201.73357823</v>
      </c>
      <c r="D16" s="551" t="s">
        <v>2</v>
      </c>
      <c r="E16" s="748"/>
    </row>
    <row r="17" spans="1:255" ht="20.100000000000001" customHeight="1" x14ac:dyDescent="0.25">
      <c r="A17" s="694" t="s">
        <v>625</v>
      </c>
      <c r="B17" s="692"/>
      <c r="C17" s="693"/>
      <c r="D17" s="1038">
        <v>-35123270.342866898</v>
      </c>
    </row>
    <row r="18" spans="1:255" ht="20.100000000000001" customHeight="1" x14ac:dyDescent="0.25">
      <c r="A18" s="695" t="s">
        <v>723</v>
      </c>
      <c r="B18" s="692">
        <v>866250</v>
      </c>
      <c r="C18" s="906">
        <v>6063750</v>
      </c>
    </row>
    <row r="19" spans="1:255" ht="20.100000000000001" customHeight="1" x14ac:dyDescent="0.25">
      <c r="A19" s="695" t="s">
        <v>920</v>
      </c>
      <c r="B19" s="692"/>
      <c r="C19" s="906">
        <v>910770000</v>
      </c>
    </row>
    <row r="20" spans="1:255" ht="20.100000000000001" customHeight="1" x14ac:dyDescent="0.25">
      <c r="A20" s="695" t="s">
        <v>863</v>
      </c>
      <c r="B20" s="692">
        <v>525411066.66666669</v>
      </c>
      <c r="C20" s="693">
        <v>3677877466.666667</v>
      </c>
    </row>
    <row r="21" spans="1:255" ht="20.100000000000001" customHeight="1" x14ac:dyDescent="0.25">
      <c r="A21" s="695" t="s">
        <v>870</v>
      </c>
      <c r="B21" s="692">
        <v>6098309</v>
      </c>
      <c r="C21" s="693">
        <v>42688163</v>
      </c>
      <c r="D21" s="748" t="s">
        <v>2</v>
      </c>
    </row>
    <row r="22" spans="1:255" ht="20.100000000000001" customHeight="1" x14ac:dyDescent="0.25">
      <c r="A22" s="695" t="s">
        <v>669</v>
      </c>
      <c r="B22" s="692">
        <v>0</v>
      </c>
      <c r="C22" s="693">
        <v>0</v>
      </c>
    </row>
    <row r="23" spans="1:255" ht="20.100000000000001" customHeight="1" x14ac:dyDescent="0.25">
      <c r="A23" s="695" t="s">
        <v>788</v>
      </c>
      <c r="B23" s="692">
        <v>136251.97714285713</v>
      </c>
      <c r="C23" s="906">
        <v>953763.83999999997</v>
      </c>
      <c r="D23" s="748"/>
    </row>
    <row r="24" spans="1:255" ht="20.100000000000001" customHeight="1" x14ac:dyDescent="0.25">
      <c r="A24" s="695" t="s">
        <v>799</v>
      </c>
      <c r="B24" s="692">
        <v>3993619.9765999997</v>
      </c>
      <c r="C24" s="693">
        <v>27955339.836199999</v>
      </c>
    </row>
    <row r="25" spans="1:255" ht="20.100000000000001" customHeight="1" x14ac:dyDescent="0.25">
      <c r="A25" s="695" t="s">
        <v>800</v>
      </c>
      <c r="B25" s="692">
        <v>1020771600</v>
      </c>
      <c r="C25" s="693">
        <v>7145401200</v>
      </c>
      <c r="D25" s="551" t="s">
        <v>2</v>
      </c>
    </row>
    <row r="26" spans="1:255" ht="20.100000000000001" customHeight="1" x14ac:dyDescent="0.25">
      <c r="A26" s="694" t="s">
        <v>626</v>
      </c>
      <c r="B26" s="696">
        <v>1557277097.6204095</v>
      </c>
      <c r="C26" s="697">
        <v>11811709683.342867</v>
      </c>
    </row>
    <row r="27" spans="1:255" ht="27" customHeight="1" x14ac:dyDescent="0.25">
      <c r="A27" s="698" t="s">
        <v>627</v>
      </c>
      <c r="B27" s="696">
        <v>1580420126.439492</v>
      </c>
      <c r="C27" s="697">
        <v>11973710885.076445</v>
      </c>
    </row>
    <row r="28" spans="1:255" ht="20.100000000000001" customHeight="1" x14ac:dyDescent="0.25">
      <c r="A28" s="695" t="s">
        <v>628</v>
      </c>
      <c r="B28" s="692">
        <v>28163331.122729871</v>
      </c>
      <c r="C28" s="699">
        <v>197143317.8591091</v>
      </c>
      <c r="D28" s="551" t="s">
        <v>2</v>
      </c>
    </row>
    <row r="29" spans="1:255" ht="20.100000000000001" hidden="1" customHeight="1" x14ac:dyDescent="0.25">
      <c r="A29" s="695" t="s">
        <v>629</v>
      </c>
      <c r="B29" s="692">
        <v>0</v>
      </c>
      <c r="C29" s="700">
        <v>0</v>
      </c>
    </row>
    <row r="30" spans="1:255" ht="20.100000000000001" customHeight="1" thickBot="1" x14ac:dyDescent="0.3">
      <c r="A30" s="701" t="s">
        <v>630</v>
      </c>
      <c r="B30" s="702">
        <v>1608583457.5622218</v>
      </c>
      <c r="C30" s="702">
        <v>12826863244.473782</v>
      </c>
      <c r="D30" s="690" t="s">
        <v>941</v>
      </c>
      <c r="E30" s="1037">
        <v>5.3900000000000003E-2</v>
      </c>
      <c r="F30" s="690"/>
      <c r="G30" s="690">
        <v>12612278413</v>
      </c>
      <c r="H30" s="905">
        <v>-214584831.47378159</v>
      </c>
      <c r="I30" s="690"/>
      <c r="J30" s="690"/>
      <c r="K30" s="690"/>
      <c r="L30" s="690"/>
      <c r="M30" s="690"/>
      <c r="N30" s="690"/>
      <c r="O30" s="690"/>
      <c r="P30" s="690"/>
      <c r="Q30" s="690"/>
      <c r="R30" s="690"/>
      <c r="S30" s="690"/>
      <c r="T30" s="690"/>
      <c r="U30" s="690"/>
      <c r="V30" s="690"/>
      <c r="W30" s="690"/>
      <c r="X30" s="690"/>
      <c r="Y30" s="690"/>
      <c r="Z30" s="690"/>
      <c r="AA30" s="690"/>
      <c r="AB30" s="690"/>
      <c r="AC30" s="690"/>
      <c r="AD30" s="690"/>
      <c r="AE30" s="690"/>
      <c r="AF30" s="690"/>
      <c r="AG30" s="690"/>
      <c r="AH30" s="690"/>
      <c r="AI30" s="690"/>
      <c r="AJ30" s="690"/>
      <c r="AK30" s="690"/>
      <c r="AL30" s="690"/>
      <c r="AM30" s="690"/>
      <c r="AN30" s="690"/>
      <c r="AO30" s="690"/>
      <c r="AP30" s="690"/>
      <c r="AQ30" s="690"/>
      <c r="AR30" s="690"/>
      <c r="AS30" s="690"/>
      <c r="AT30" s="690"/>
      <c r="AU30" s="690"/>
      <c r="AV30" s="690"/>
      <c r="AW30" s="690"/>
      <c r="AX30" s="690"/>
      <c r="AY30" s="690"/>
      <c r="AZ30" s="690"/>
      <c r="BA30" s="690"/>
      <c r="BB30" s="690"/>
      <c r="BC30" s="690"/>
      <c r="BD30" s="690"/>
      <c r="BE30" s="690"/>
      <c r="BF30" s="690"/>
      <c r="BG30" s="690"/>
      <c r="BH30" s="690"/>
      <c r="BI30" s="690"/>
      <c r="BJ30" s="690"/>
      <c r="BK30" s="690"/>
      <c r="BL30" s="690"/>
      <c r="BM30" s="690"/>
      <c r="BN30" s="690"/>
      <c r="BO30" s="690"/>
      <c r="BP30" s="690"/>
      <c r="BQ30" s="690"/>
      <c r="BR30" s="690"/>
      <c r="BS30" s="690"/>
      <c r="BT30" s="690"/>
      <c r="BU30" s="690"/>
      <c r="BV30" s="690"/>
      <c r="BW30" s="690"/>
      <c r="BX30" s="690"/>
      <c r="BY30" s="690"/>
      <c r="BZ30" s="690"/>
      <c r="CA30" s="690"/>
      <c r="CB30" s="690"/>
      <c r="CC30" s="690"/>
      <c r="CD30" s="690"/>
      <c r="CE30" s="690"/>
      <c r="CF30" s="690"/>
      <c r="CG30" s="690"/>
      <c r="CH30" s="690"/>
      <c r="CI30" s="690"/>
      <c r="CJ30" s="690"/>
      <c r="CK30" s="690"/>
      <c r="CL30" s="690"/>
      <c r="CM30" s="690"/>
      <c r="CN30" s="690"/>
      <c r="CO30" s="690"/>
      <c r="CP30" s="690"/>
      <c r="CQ30" s="690"/>
      <c r="CR30" s="690"/>
      <c r="CS30" s="690"/>
      <c r="CT30" s="690"/>
      <c r="CU30" s="690"/>
      <c r="CV30" s="690"/>
      <c r="CW30" s="690"/>
      <c r="CX30" s="690"/>
      <c r="CY30" s="690"/>
      <c r="CZ30" s="690"/>
      <c r="DA30" s="690"/>
      <c r="DB30" s="690"/>
      <c r="DC30" s="690"/>
      <c r="DD30" s="690"/>
      <c r="DE30" s="690"/>
      <c r="DF30" s="690"/>
      <c r="DG30" s="690"/>
      <c r="DH30" s="690"/>
      <c r="DI30" s="690"/>
      <c r="DJ30" s="690"/>
      <c r="DK30" s="690"/>
      <c r="DL30" s="690"/>
      <c r="DM30" s="690"/>
      <c r="DN30" s="690"/>
      <c r="DO30" s="690"/>
      <c r="DP30" s="690"/>
      <c r="DQ30" s="690"/>
      <c r="DR30" s="690"/>
      <c r="DS30" s="690"/>
      <c r="DT30" s="690"/>
      <c r="DU30" s="690"/>
      <c r="DV30" s="690"/>
      <c r="DW30" s="690"/>
      <c r="DX30" s="690"/>
      <c r="DY30" s="690"/>
      <c r="DZ30" s="690"/>
      <c r="EA30" s="690"/>
      <c r="EB30" s="690"/>
      <c r="EC30" s="690"/>
      <c r="ED30" s="690"/>
      <c r="EE30" s="690"/>
      <c r="EF30" s="690"/>
      <c r="EG30" s="690"/>
      <c r="EH30" s="690"/>
      <c r="EI30" s="690"/>
      <c r="EJ30" s="690"/>
      <c r="EK30" s="690"/>
      <c r="EL30" s="690"/>
      <c r="EM30" s="690"/>
      <c r="EN30" s="690"/>
      <c r="EO30" s="690"/>
      <c r="EP30" s="690"/>
      <c r="EQ30" s="690"/>
      <c r="ER30" s="690"/>
      <c r="ES30" s="690"/>
      <c r="ET30" s="690"/>
      <c r="EU30" s="690"/>
      <c r="EV30" s="690"/>
      <c r="EW30" s="690"/>
      <c r="EX30" s="690"/>
      <c r="EY30" s="690"/>
      <c r="EZ30" s="690"/>
      <c r="FA30" s="690"/>
      <c r="FB30" s="690"/>
      <c r="FC30" s="690"/>
      <c r="FD30" s="690"/>
      <c r="FE30" s="690"/>
      <c r="FF30" s="690"/>
      <c r="FG30" s="690"/>
      <c r="FH30" s="690"/>
      <c r="FI30" s="690"/>
      <c r="FJ30" s="690"/>
      <c r="FK30" s="690"/>
      <c r="FL30" s="690"/>
      <c r="FM30" s="690"/>
      <c r="FN30" s="690"/>
      <c r="FO30" s="690"/>
      <c r="FP30" s="690"/>
      <c r="FQ30" s="690"/>
      <c r="FR30" s="690"/>
      <c r="FS30" s="690"/>
      <c r="FT30" s="690"/>
      <c r="FU30" s="690"/>
      <c r="FV30" s="690"/>
      <c r="FW30" s="690"/>
      <c r="FX30" s="690"/>
      <c r="FY30" s="690"/>
      <c r="FZ30" s="690"/>
      <c r="GA30" s="690"/>
      <c r="GB30" s="690"/>
      <c r="GC30" s="690"/>
      <c r="GD30" s="690"/>
      <c r="GE30" s="690"/>
      <c r="GF30" s="690"/>
      <c r="GG30" s="690"/>
      <c r="GH30" s="690"/>
      <c r="GI30" s="690"/>
      <c r="GJ30" s="690"/>
      <c r="GK30" s="690"/>
      <c r="GL30" s="690"/>
      <c r="GM30" s="690"/>
      <c r="GN30" s="690"/>
      <c r="GO30" s="690"/>
      <c r="GP30" s="690"/>
      <c r="GQ30" s="690"/>
      <c r="GR30" s="690"/>
      <c r="GS30" s="690"/>
      <c r="GT30" s="690"/>
      <c r="GU30" s="690"/>
      <c r="GV30" s="690"/>
      <c r="GW30" s="690"/>
      <c r="GX30" s="690"/>
      <c r="GY30" s="690"/>
      <c r="GZ30" s="690"/>
      <c r="HA30" s="690"/>
      <c r="HB30" s="690"/>
      <c r="HC30" s="690"/>
      <c r="HD30" s="690"/>
      <c r="HE30" s="690"/>
      <c r="HF30" s="690"/>
      <c r="HG30" s="690"/>
      <c r="HH30" s="690"/>
      <c r="HI30" s="690"/>
      <c r="HJ30" s="690"/>
      <c r="HK30" s="690"/>
      <c r="HL30" s="690"/>
      <c r="HM30" s="690"/>
      <c r="HN30" s="690"/>
      <c r="HO30" s="690"/>
      <c r="HP30" s="690"/>
      <c r="HQ30" s="690"/>
      <c r="HR30" s="690"/>
      <c r="HS30" s="690"/>
      <c r="HT30" s="690"/>
      <c r="HU30" s="690"/>
      <c r="HV30" s="690"/>
      <c r="HW30" s="690"/>
      <c r="HX30" s="690"/>
      <c r="HY30" s="690"/>
      <c r="HZ30" s="690"/>
      <c r="IA30" s="690"/>
      <c r="IB30" s="690"/>
      <c r="IC30" s="690"/>
      <c r="ID30" s="690"/>
      <c r="IE30" s="690"/>
      <c r="IF30" s="690"/>
      <c r="IG30" s="690"/>
      <c r="IH30" s="690"/>
      <c r="II30" s="690"/>
      <c r="IJ30" s="690"/>
      <c r="IK30" s="690"/>
      <c r="IL30" s="690"/>
      <c r="IM30" s="690"/>
      <c r="IN30" s="690"/>
      <c r="IO30" s="690"/>
      <c r="IP30" s="690"/>
      <c r="IQ30" s="690"/>
      <c r="IR30" s="690"/>
      <c r="IS30" s="690"/>
      <c r="IT30" s="690"/>
      <c r="IU30" s="690"/>
    </row>
    <row r="31" spans="1:255" ht="20.100000000000001" customHeight="1" thickBot="1" x14ac:dyDescent="0.3">
      <c r="A31" s="703"/>
      <c r="B31" s="704"/>
      <c r="C31" s="704"/>
    </row>
    <row r="32" spans="1:255" ht="20.100000000000001" customHeight="1" x14ac:dyDescent="0.25">
      <c r="A32" s="705" t="s">
        <v>631</v>
      </c>
      <c r="B32" s="706"/>
      <c r="C32" s="707"/>
    </row>
    <row r="33" spans="1:255" ht="20.100000000000001" customHeight="1" x14ac:dyDescent="0.25">
      <c r="A33" s="708" t="s">
        <v>632</v>
      </c>
      <c r="B33" s="709"/>
      <c r="C33" s="710">
        <v>236900288.39250785</v>
      </c>
      <c r="D33" s="748"/>
      <c r="E33" s="748"/>
    </row>
    <row r="34" spans="1:255" ht="25.5" customHeight="1" x14ac:dyDescent="0.25">
      <c r="A34" s="711" t="s">
        <v>5</v>
      </c>
      <c r="B34" s="712"/>
      <c r="C34" s="713">
        <v>37904046.142801255</v>
      </c>
    </row>
    <row r="35" spans="1:255" ht="30.75" customHeight="1" x14ac:dyDescent="0.25">
      <c r="A35" s="714" t="s">
        <v>633</v>
      </c>
      <c r="B35" s="712"/>
      <c r="C35" s="693">
        <v>10985279868.400246</v>
      </c>
      <c r="D35" s="748"/>
    </row>
    <row r="36" spans="1:255" ht="20.100000000000001" customHeight="1" thickBot="1" x14ac:dyDescent="0.3">
      <c r="A36" s="715" t="s">
        <v>634</v>
      </c>
      <c r="B36" s="716"/>
      <c r="C36" s="772">
        <v>11260084202.935555</v>
      </c>
      <c r="D36" s="905"/>
    </row>
    <row r="37" spans="1:255" ht="20.100000000000001" customHeight="1" x14ac:dyDescent="0.25">
      <c r="A37" s="675"/>
      <c r="B37" s="717"/>
      <c r="C37" s="717"/>
      <c r="D37" s="690"/>
    </row>
    <row r="38" spans="1:255" ht="20.100000000000001" hidden="1" customHeight="1" x14ac:dyDescent="0.25">
      <c r="A38" s="718" t="s">
        <v>635</v>
      </c>
      <c r="B38" s="719"/>
      <c r="C38" s="719">
        <v>6267000000</v>
      </c>
      <c r="E38" s="720"/>
    </row>
    <row r="39" spans="1:255" ht="20.100000000000001" hidden="1" customHeight="1" thickBot="1" x14ac:dyDescent="0.3">
      <c r="A39" s="721" t="s">
        <v>636</v>
      </c>
      <c r="B39" s="722"/>
      <c r="C39" s="723">
        <v>-6559863244.4737816</v>
      </c>
      <c r="D39" s="690"/>
    </row>
    <row r="40" spans="1:255" hidden="1" x14ac:dyDescent="0.25">
      <c r="A40" s="724"/>
      <c r="B40" s="725"/>
      <c r="C40" s="699">
        <v>2685262971</v>
      </c>
      <c r="D40" s="690"/>
      <c r="E40" s="748">
        <v>3293262971</v>
      </c>
    </row>
    <row r="41" spans="1:255" hidden="1" x14ac:dyDescent="0.25">
      <c r="A41" s="666"/>
      <c r="B41" s="726"/>
      <c r="C41" s="699">
        <v>-8574821231.9355545</v>
      </c>
      <c r="D41" s="690"/>
    </row>
    <row r="42" spans="1:255" x14ac:dyDescent="0.25">
      <c r="A42" s="728" t="s">
        <v>637</v>
      </c>
      <c r="B42" s="726"/>
      <c r="C42" s="727"/>
    </row>
    <row r="43" spans="1:255" ht="67.5" hidden="1" customHeight="1" x14ac:dyDescent="0.25">
      <c r="A43" s="1435" t="s">
        <v>638</v>
      </c>
      <c r="B43" s="1436"/>
      <c r="C43" s="1437"/>
    </row>
    <row r="44" spans="1:255" ht="50.25" customHeight="1" x14ac:dyDescent="0.25">
      <c r="A44" s="1435" t="s">
        <v>923</v>
      </c>
      <c r="B44" s="1436"/>
      <c r="C44" s="1437"/>
    </row>
    <row r="45" spans="1:255" ht="45" customHeight="1" x14ac:dyDescent="0.25">
      <c r="A45" s="1435" t="s">
        <v>639</v>
      </c>
      <c r="B45" s="1436"/>
      <c r="C45" s="1437"/>
    </row>
    <row r="46" spans="1:255" ht="51" customHeight="1" x14ac:dyDescent="0.25">
      <c r="A46" s="1438" t="s">
        <v>939</v>
      </c>
      <c r="B46" s="1439"/>
      <c r="C46" s="1440"/>
    </row>
    <row r="47" spans="1:255" ht="18.75" customHeight="1" x14ac:dyDescent="0.25">
      <c r="A47" s="1441" t="s">
        <v>672</v>
      </c>
      <c r="B47" s="1442"/>
      <c r="C47" s="1443"/>
    </row>
    <row r="48" spans="1:255" ht="15.75" x14ac:dyDescent="0.25">
      <c r="B48" s="729"/>
      <c r="C48" s="729"/>
      <c r="D48" s="730"/>
      <c r="E48" s="730"/>
      <c r="F48" s="730"/>
      <c r="G48" s="730"/>
      <c r="H48" s="730"/>
      <c r="I48" s="730"/>
      <c r="J48" s="730"/>
      <c r="K48" s="730"/>
      <c r="L48" s="730"/>
      <c r="M48" s="730"/>
      <c r="N48" s="730"/>
      <c r="O48" s="730"/>
      <c r="P48" s="730"/>
      <c r="Q48" s="730"/>
      <c r="R48" s="730"/>
      <c r="S48" s="730"/>
      <c r="T48" s="730"/>
      <c r="U48" s="730"/>
      <c r="V48" s="730"/>
      <c r="W48" s="730"/>
      <c r="X48" s="730"/>
      <c r="Y48" s="730"/>
      <c r="Z48" s="730"/>
      <c r="AA48" s="730"/>
      <c r="AB48" s="730"/>
      <c r="AC48" s="730"/>
      <c r="AD48" s="730"/>
      <c r="AE48" s="730"/>
      <c r="AF48" s="730"/>
      <c r="AG48" s="730"/>
      <c r="AH48" s="730"/>
      <c r="AI48" s="730"/>
      <c r="AJ48" s="730"/>
      <c r="AK48" s="730"/>
      <c r="AL48" s="730"/>
      <c r="AM48" s="730"/>
      <c r="AN48" s="730"/>
      <c r="AO48" s="730"/>
      <c r="AP48" s="730"/>
      <c r="AQ48" s="730"/>
      <c r="AR48" s="730"/>
      <c r="AS48" s="730"/>
      <c r="AT48" s="730"/>
      <c r="AU48" s="730"/>
      <c r="AV48" s="730"/>
      <c r="AW48" s="730"/>
      <c r="AX48" s="730"/>
      <c r="AY48" s="730"/>
      <c r="AZ48" s="730"/>
      <c r="BA48" s="730"/>
      <c r="BB48" s="730"/>
      <c r="BC48" s="730"/>
      <c r="BD48" s="730"/>
      <c r="BE48" s="730"/>
      <c r="BF48" s="730"/>
      <c r="BG48" s="730"/>
      <c r="BH48" s="730"/>
      <c r="BI48" s="730"/>
      <c r="BJ48" s="730"/>
      <c r="BK48" s="730"/>
      <c r="BL48" s="730"/>
      <c r="BM48" s="730"/>
      <c r="BN48" s="730"/>
      <c r="BO48" s="730"/>
      <c r="BP48" s="730"/>
      <c r="BQ48" s="730"/>
      <c r="BR48" s="730"/>
      <c r="BS48" s="730"/>
      <c r="BT48" s="730"/>
      <c r="BU48" s="730"/>
      <c r="BV48" s="730"/>
      <c r="BW48" s="730"/>
      <c r="BX48" s="730"/>
      <c r="BY48" s="730"/>
      <c r="BZ48" s="730"/>
      <c r="CA48" s="730"/>
      <c r="CB48" s="730"/>
      <c r="CC48" s="730"/>
      <c r="CD48" s="730"/>
      <c r="CE48" s="730"/>
      <c r="CF48" s="730"/>
      <c r="CG48" s="730"/>
      <c r="CH48" s="730"/>
      <c r="CI48" s="730"/>
      <c r="CJ48" s="730"/>
      <c r="CK48" s="730"/>
      <c r="CL48" s="730"/>
      <c r="CM48" s="730"/>
      <c r="CN48" s="730"/>
      <c r="CO48" s="730"/>
      <c r="CP48" s="730"/>
      <c r="CQ48" s="730"/>
      <c r="CR48" s="730"/>
      <c r="CS48" s="730"/>
      <c r="CT48" s="730"/>
      <c r="CU48" s="730"/>
      <c r="CV48" s="730"/>
      <c r="CW48" s="730"/>
      <c r="CX48" s="730"/>
      <c r="CY48" s="730"/>
      <c r="CZ48" s="730"/>
      <c r="DA48" s="730"/>
      <c r="DB48" s="730"/>
      <c r="DC48" s="730"/>
      <c r="DD48" s="730"/>
      <c r="DE48" s="730"/>
      <c r="DF48" s="730"/>
      <c r="DG48" s="730"/>
      <c r="DH48" s="730"/>
      <c r="DI48" s="730"/>
      <c r="DJ48" s="730"/>
      <c r="DK48" s="730"/>
      <c r="DL48" s="730"/>
      <c r="DM48" s="730"/>
      <c r="DN48" s="730"/>
      <c r="DO48" s="730"/>
      <c r="DP48" s="730"/>
      <c r="DQ48" s="730"/>
      <c r="DR48" s="730"/>
      <c r="DS48" s="730"/>
      <c r="DT48" s="730"/>
      <c r="DU48" s="730"/>
      <c r="DV48" s="730"/>
      <c r="DW48" s="730"/>
      <c r="DX48" s="730"/>
      <c r="DY48" s="730"/>
      <c r="DZ48" s="730"/>
      <c r="EA48" s="730"/>
      <c r="EB48" s="730"/>
      <c r="EC48" s="730"/>
      <c r="ED48" s="730"/>
      <c r="EE48" s="730"/>
      <c r="EF48" s="730"/>
      <c r="EG48" s="730"/>
      <c r="EH48" s="730"/>
      <c r="EI48" s="730"/>
      <c r="EJ48" s="730"/>
      <c r="EK48" s="730"/>
      <c r="EL48" s="730"/>
      <c r="EM48" s="730"/>
      <c r="EN48" s="730"/>
      <c r="EO48" s="730"/>
      <c r="EP48" s="730"/>
      <c r="EQ48" s="730"/>
      <c r="ER48" s="730"/>
      <c r="ES48" s="730"/>
      <c r="ET48" s="730"/>
      <c r="EU48" s="730"/>
      <c r="EV48" s="730"/>
      <c r="EW48" s="730"/>
      <c r="EX48" s="730"/>
      <c r="EY48" s="730"/>
      <c r="EZ48" s="730"/>
      <c r="FA48" s="730"/>
      <c r="FB48" s="730"/>
      <c r="FC48" s="730"/>
      <c r="FD48" s="730"/>
      <c r="FE48" s="730"/>
      <c r="FF48" s="730"/>
      <c r="FG48" s="730"/>
      <c r="FH48" s="730"/>
      <c r="FI48" s="730"/>
      <c r="FJ48" s="730"/>
      <c r="FK48" s="730"/>
      <c r="FL48" s="730"/>
      <c r="FM48" s="730"/>
      <c r="FN48" s="730"/>
      <c r="FO48" s="730"/>
      <c r="FP48" s="730"/>
      <c r="FQ48" s="730"/>
      <c r="FR48" s="730"/>
      <c r="FS48" s="730"/>
      <c r="FT48" s="730"/>
      <c r="FU48" s="730"/>
      <c r="FV48" s="730"/>
      <c r="FW48" s="730"/>
      <c r="FX48" s="730"/>
      <c r="FY48" s="730"/>
      <c r="FZ48" s="730"/>
      <c r="GA48" s="730"/>
      <c r="GB48" s="730"/>
      <c r="GC48" s="730"/>
      <c r="GD48" s="730"/>
      <c r="GE48" s="730"/>
      <c r="GF48" s="730"/>
      <c r="GG48" s="730"/>
      <c r="GH48" s="730"/>
      <c r="GI48" s="730"/>
      <c r="GJ48" s="730"/>
      <c r="GK48" s="730"/>
      <c r="GL48" s="730"/>
      <c r="GM48" s="730"/>
      <c r="GN48" s="730"/>
      <c r="GO48" s="730"/>
      <c r="GP48" s="730"/>
      <c r="GQ48" s="730"/>
      <c r="GR48" s="730"/>
      <c r="GS48" s="730"/>
      <c r="GT48" s="730"/>
      <c r="GU48" s="730"/>
      <c r="GV48" s="730"/>
      <c r="GW48" s="730"/>
      <c r="GX48" s="730"/>
      <c r="GY48" s="730"/>
      <c r="GZ48" s="730"/>
      <c r="HA48" s="730"/>
      <c r="HB48" s="730"/>
      <c r="HC48" s="730"/>
      <c r="HD48" s="730"/>
      <c r="HE48" s="730"/>
      <c r="HF48" s="730"/>
      <c r="HG48" s="730"/>
      <c r="HH48" s="730"/>
      <c r="HI48" s="730"/>
      <c r="HJ48" s="730"/>
      <c r="HK48" s="730"/>
      <c r="HL48" s="730"/>
      <c r="HM48" s="730"/>
      <c r="HN48" s="730"/>
      <c r="HO48" s="730"/>
      <c r="HP48" s="730"/>
      <c r="HQ48" s="730"/>
      <c r="HR48" s="730"/>
      <c r="HS48" s="730"/>
      <c r="HT48" s="730"/>
      <c r="HU48" s="730"/>
      <c r="HV48" s="730"/>
      <c r="HW48" s="730"/>
      <c r="HX48" s="730"/>
      <c r="HY48" s="730"/>
      <c r="HZ48" s="730"/>
      <c r="IA48" s="730"/>
      <c r="IB48" s="730"/>
      <c r="IC48" s="730"/>
      <c r="ID48" s="730"/>
      <c r="IE48" s="730"/>
      <c r="IF48" s="730"/>
      <c r="IG48" s="730"/>
      <c r="IH48" s="730"/>
      <c r="II48" s="730"/>
      <c r="IJ48" s="730"/>
      <c r="IK48" s="730"/>
      <c r="IL48" s="730"/>
      <c r="IM48" s="730"/>
      <c r="IN48" s="730"/>
      <c r="IO48" s="730"/>
      <c r="IP48" s="730"/>
      <c r="IQ48" s="730"/>
      <c r="IR48" s="730"/>
      <c r="IS48" s="730"/>
      <c r="IT48" s="730"/>
      <c r="IU48" s="730"/>
    </row>
    <row r="49" spans="1:255" ht="15.75" x14ac:dyDescent="0.25">
      <c r="A49" s="666"/>
      <c r="B49" s="726"/>
      <c r="C49" s="726"/>
      <c r="D49" s="730"/>
      <c r="E49" s="730"/>
      <c r="F49" s="730"/>
      <c r="G49" s="730"/>
      <c r="H49" s="730"/>
      <c r="I49" s="730"/>
      <c r="J49" s="730"/>
      <c r="K49" s="730"/>
      <c r="L49" s="730"/>
      <c r="M49" s="730"/>
      <c r="N49" s="730"/>
      <c r="O49" s="730"/>
      <c r="P49" s="730"/>
      <c r="Q49" s="730"/>
      <c r="R49" s="730"/>
      <c r="S49" s="730"/>
      <c r="T49" s="730"/>
      <c r="U49" s="730"/>
      <c r="V49" s="730"/>
      <c r="W49" s="730"/>
      <c r="X49" s="730"/>
      <c r="Y49" s="730"/>
      <c r="Z49" s="730"/>
      <c r="AA49" s="730"/>
      <c r="AB49" s="730"/>
      <c r="AC49" s="730"/>
      <c r="AD49" s="730"/>
      <c r="AE49" s="730"/>
      <c r="AF49" s="730"/>
      <c r="AG49" s="730"/>
      <c r="AH49" s="730"/>
      <c r="AI49" s="730"/>
      <c r="AJ49" s="730"/>
      <c r="AK49" s="730"/>
      <c r="AL49" s="730"/>
      <c r="AM49" s="730"/>
      <c r="AN49" s="730"/>
      <c r="AO49" s="730"/>
      <c r="AP49" s="730"/>
      <c r="AQ49" s="730"/>
      <c r="AR49" s="730"/>
      <c r="AS49" s="730"/>
      <c r="AT49" s="730"/>
      <c r="AU49" s="730"/>
      <c r="AV49" s="730"/>
      <c r="AW49" s="730"/>
      <c r="AX49" s="730"/>
      <c r="AY49" s="730"/>
      <c r="AZ49" s="730"/>
      <c r="BA49" s="730"/>
      <c r="BB49" s="730"/>
      <c r="BC49" s="730"/>
      <c r="BD49" s="730"/>
      <c r="BE49" s="730"/>
      <c r="BF49" s="730"/>
      <c r="BG49" s="730"/>
      <c r="BH49" s="730"/>
      <c r="BI49" s="730"/>
      <c r="BJ49" s="730"/>
      <c r="BK49" s="730"/>
      <c r="BL49" s="730"/>
      <c r="BM49" s="730"/>
      <c r="BN49" s="730"/>
      <c r="BO49" s="730"/>
      <c r="BP49" s="730"/>
      <c r="BQ49" s="730"/>
      <c r="BR49" s="730"/>
      <c r="BS49" s="730"/>
      <c r="BT49" s="730"/>
      <c r="BU49" s="730"/>
      <c r="BV49" s="730"/>
      <c r="BW49" s="730"/>
      <c r="BX49" s="730"/>
      <c r="BY49" s="730"/>
      <c r="BZ49" s="730"/>
      <c r="CA49" s="730"/>
      <c r="CB49" s="730"/>
      <c r="CC49" s="730"/>
      <c r="CD49" s="730"/>
      <c r="CE49" s="730"/>
      <c r="CF49" s="730"/>
      <c r="CG49" s="730"/>
      <c r="CH49" s="730"/>
      <c r="CI49" s="730"/>
      <c r="CJ49" s="730"/>
      <c r="CK49" s="730"/>
      <c r="CL49" s="730"/>
      <c r="CM49" s="730"/>
      <c r="CN49" s="730"/>
      <c r="CO49" s="730"/>
      <c r="CP49" s="730"/>
      <c r="CQ49" s="730"/>
      <c r="CR49" s="730"/>
      <c r="CS49" s="730"/>
      <c r="CT49" s="730"/>
      <c r="CU49" s="730"/>
      <c r="CV49" s="730"/>
      <c r="CW49" s="730"/>
      <c r="CX49" s="730"/>
      <c r="CY49" s="730"/>
      <c r="CZ49" s="730"/>
      <c r="DA49" s="730"/>
      <c r="DB49" s="730"/>
      <c r="DC49" s="730"/>
      <c r="DD49" s="730"/>
      <c r="DE49" s="730"/>
      <c r="DF49" s="730"/>
      <c r="DG49" s="730"/>
      <c r="DH49" s="730"/>
      <c r="DI49" s="730"/>
      <c r="DJ49" s="730"/>
      <c r="DK49" s="730"/>
      <c r="DL49" s="730"/>
      <c r="DM49" s="730"/>
      <c r="DN49" s="730"/>
      <c r="DO49" s="730"/>
      <c r="DP49" s="730"/>
      <c r="DQ49" s="730"/>
      <c r="DR49" s="730"/>
      <c r="DS49" s="730"/>
      <c r="DT49" s="730"/>
      <c r="DU49" s="730"/>
      <c r="DV49" s="730"/>
      <c r="DW49" s="730"/>
      <c r="DX49" s="730"/>
      <c r="DY49" s="730"/>
      <c r="DZ49" s="730"/>
      <c r="EA49" s="730"/>
      <c r="EB49" s="730"/>
      <c r="EC49" s="730"/>
      <c r="ED49" s="730"/>
      <c r="EE49" s="730"/>
      <c r="EF49" s="730"/>
      <c r="EG49" s="730"/>
      <c r="EH49" s="730"/>
      <c r="EI49" s="730"/>
      <c r="EJ49" s="730"/>
      <c r="EK49" s="730"/>
      <c r="EL49" s="730"/>
      <c r="EM49" s="730"/>
      <c r="EN49" s="730"/>
      <c r="EO49" s="730"/>
      <c r="EP49" s="730"/>
      <c r="EQ49" s="730"/>
      <c r="ER49" s="730"/>
      <c r="ES49" s="730"/>
      <c r="ET49" s="730"/>
      <c r="EU49" s="730"/>
      <c r="EV49" s="730"/>
      <c r="EW49" s="730"/>
      <c r="EX49" s="730"/>
      <c r="EY49" s="730"/>
      <c r="EZ49" s="730"/>
      <c r="FA49" s="730"/>
      <c r="FB49" s="730"/>
      <c r="FC49" s="730"/>
      <c r="FD49" s="730"/>
      <c r="FE49" s="730"/>
      <c r="FF49" s="730"/>
      <c r="FG49" s="730"/>
      <c r="FH49" s="730"/>
      <c r="FI49" s="730"/>
      <c r="FJ49" s="730"/>
      <c r="FK49" s="730"/>
      <c r="FL49" s="730"/>
      <c r="FM49" s="730"/>
      <c r="FN49" s="730"/>
      <c r="FO49" s="730"/>
      <c r="FP49" s="730"/>
      <c r="FQ49" s="730"/>
      <c r="FR49" s="730"/>
      <c r="FS49" s="730"/>
      <c r="FT49" s="730"/>
      <c r="FU49" s="730"/>
      <c r="FV49" s="730"/>
      <c r="FW49" s="730"/>
      <c r="FX49" s="730"/>
      <c r="FY49" s="730"/>
      <c r="FZ49" s="730"/>
      <c r="GA49" s="730"/>
      <c r="GB49" s="730"/>
      <c r="GC49" s="730"/>
      <c r="GD49" s="730"/>
      <c r="GE49" s="730"/>
      <c r="GF49" s="730"/>
      <c r="GG49" s="730"/>
      <c r="GH49" s="730"/>
      <c r="GI49" s="730"/>
      <c r="GJ49" s="730"/>
      <c r="GK49" s="730"/>
      <c r="GL49" s="730"/>
      <c r="GM49" s="730"/>
      <c r="GN49" s="730"/>
      <c r="GO49" s="730"/>
      <c r="GP49" s="730"/>
      <c r="GQ49" s="730"/>
      <c r="GR49" s="730"/>
      <c r="GS49" s="730"/>
      <c r="GT49" s="730"/>
      <c r="GU49" s="730"/>
      <c r="GV49" s="730"/>
      <c r="GW49" s="730"/>
      <c r="GX49" s="730"/>
      <c r="GY49" s="730"/>
      <c r="GZ49" s="730"/>
      <c r="HA49" s="730"/>
      <c r="HB49" s="730"/>
      <c r="HC49" s="730"/>
      <c r="HD49" s="730"/>
      <c r="HE49" s="730"/>
      <c r="HF49" s="730"/>
      <c r="HG49" s="730"/>
      <c r="HH49" s="730"/>
      <c r="HI49" s="730"/>
      <c r="HJ49" s="730"/>
      <c r="HK49" s="730"/>
      <c r="HL49" s="730"/>
      <c r="HM49" s="730"/>
      <c r="HN49" s="730"/>
      <c r="HO49" s="730"/>
      <c r="HP49" s="730"/>
      <c r="HQ49" s="730"/>
      <c r="HR49" s="730"/>
      <c r="HS49" s="730"/>
      <c r="HT49" s="730"/>
      <c r="HU49" s="730"/>
      <c r="HV49" s="730"/>
      <c r="HW49" s="730"/>
      <c r="HX49" s="730"/>
      <c r="HY49" s="730"/>
      <c r="HZ49" s="730"/>
      <c r="IA49" s="730"/>
      <c r="IB49" s="730"/>
      <c r="IC49" s="730"/>
      <c r="ID49" s="730"/>
      <c r="IE49" s="730"/>
      <c r="IF49" s="730"/>
      <c r="IG49" s="730"/>
      <c r="IH49" s="730"/>
      <c r="II49" s="730"/>
      <c r="IJ49" s="730"/>
      <c r="IK49" s="730"/>
      <c r="IL49" s="730"/>
      <c r="IM49" s="730"/>
      <c r="IN49" s="730"/>
      <c r="IO49" s="730"/>
      <c r="IP49" s="730"/>
      <c r="IQ49" s="730"/>
      <c r="IR49" s="730"/>
      <c r="IS49" s="730"/>
      <c r="IT49" s="730"/>
      <c r="IU49" s="730"/>
    </row>
    <row r="50" spans="1:255" ht="15.75" x14ac:dyDescent="0.25">
      <c r="A50" s="728"/>
      <c r="B50" s="731"/>
      <c r="C50" s="731"/>
      <c r="D50" s="732"/>
      <c r="E50" s="732"/>
      <c r="F50" s="732"/>
      <c r="G50" s="732"/>
      <c r="H50" s="732"/>
      <c r="I50" s="732"/>
      <c r="J50" s="732"/>
      <c r="K50" s="732"/>
      <c r="L50" s="732"/>
      <c r="M50" s="732"/>
      <c r="N50" s="732"/>
      <c r="O50" s="732"/>
      <c r="P50" s="732"/>
      <c r="Q50" s="732"/>
      <c r="R50" s="732"/>
      <c r="S50" s="732"/>
      <c r="T50" s="732"/>
      <c r="U50" s="732"/>
      <c r="V50" s="732"/>
      <c r="W50" s="732"/>
      <c r="X50" s="732"/>
      <c r="Y50" s="732"/>
      <c r="Z50" s="732"/>
      <c r="AA50" s="732"/>
      <c r="AB50" s="732"/>
      <c r="AC50" s="732"/>
      <c r="AD50" s="732"/>
      <c r="AE50" s="732"/>
      <c r="AF50" s="732"/>
      <c r="AG50" s="732"/>
      <c r="AH50" s="732"/>
      <c r="AI50" s="732"/>
      <c r="AJ50" s="732"/>
      <c r="AK50" s="732"/>
      <c r="AL50" s="732"/>
      <c r="AM50" s="732"/>
      <c r="AN50" s="732"/>
      <c r="AO50" s="732"/>
      <c r="AP50" s="732"/>
      <c r="AQ50" s="732"/>
      <c r="AR50" s="732"/>
      <c r="AS50" s="732"/>
      <c r="AT50" s="732"/>
      <c r="AU50" s="732"/>
      <c r="AV50" s="732"/>
      <c r="AW50" s="732"/>
      <c r="AX50" s="732"/>
      <c r="AY50" s="732"/>
      <c r="AZ50" s="732"/>
      <c r="BA50" s="732"/>
      <c r="BB50" s="732"/>
      <c r="BC50" s="732"/>
      <c r="BD50" s="732"/>
      <c r="BE50" s="732"/>
      <c r="BF50" s="732"/>
      <c r="BG50" s="732"/>
      <c r="BH50" s="732"/>
      <c r="BI50" s="732"/>
      <c r="BJ50" s="732"/>
      <c r="BK50" s="732"/>
      <c r="BL50" s="732"/>
      <c r="BM50" s="732"/>
      <c r="BN50" s="732"/>
      <c r="BO50" s="732"/>
      <c r="BP50" s="732"/>
      <c r="BQ50" s="732"/>
      <c r="BR50" s="732"/>
      <c r="BS50" s="732"/>
      <c r="BT50" s="732"/>
      <c r="BU50" s="732"/>
      <c r="BV50" s="732"/>
      <c r="BW50" s="732"/>
      <c r="BX50" s="732"/>
      <c r="BY50" s="732"/>
      <c r="BZ50" s="732"/>
      <c r="CA50" s="732"/>
      <c r="CB50" s="732"/>
      <c r="CC50" s="732"/>
      <c r="CD50" s="732"/>
      <c r="CE50" s="732"/>
      <c r="CF50" s="732"/>
      <c r="CG50" s="732"/>
      <c r="CH50" s="732"/>
      <c r="CI50" s="732"/>
      <c r="CJ50" s="732"/>
      <c r="CK50" s="732"/>
      <c r="CL50" s="732"/>
      <c r="CM50" s="732"/>
      <c r="CN50" s="732"/>
      <c r="CO50" s="732"/>
      <c r="CP50" s="732"/>
      <c r="CQ50" s="732"/>
      <c r="CR50" s="732"/>
      <c r="CS50" s="732"/>
      <c r="CT50" s="732"/>
      <c r="CU50" s="732"/>
      <c r="CV50" s="732"/>
      <c r="CW50" s="732"/>
      <c r="CX50" s="732"/>
      <c r="CY50" s="732"/>
      <c r="CZ50" s="732"/>
      <c r="DA50" s="732"/>
      <c r="DB50" s="732"/>
      <c r="DC50" s="732"/>
      <c r="DD50" s="732"/>
      <c r="DE50" s="732"/>
      <c r="DF50" s="732"/>
      <c r="DG50" s="732"/>
      <c r="DH50" s="732"/>
      <c r="DI50" s="732"/>
      <c r="DJ50" s="732"/>
      <c r="DK50" s="732"/>
      <c r="DL50" s="732"/>
      <c r="DM50" s="732"/>
      <c r="DN50" s="732"/>
      <c r="DO50" s="732"/>
      <c r="DP50" s="732"/>
      <c r="DQ50" s="732"/>
      <c r="DR50" s="732"/>
      <c r="DS50" s="732"/>
      <c r="DT50" s="732"/>
      <c r="DU50" s="732"/>
      <c r="DV50" s="732"/>
      <c r="DW50" s="732"/>
      <c r="DX50" s="732"/>
      <c r="DY50" s="732"/>
      <c r="DZ50" s="732"/>
      <c r="EA50" s="732"/>
      <c r="EB50" s="732"/>
      <c r="EC50" s="732"/>
      <c r="ED50" s="732"/>
      <c r="EE50" s="732"/>
      <c r="EF50" s="732"/>
      <c r="EG50" s="732"/>
      <c r="EH50" s="732"/>
      <c r="EI50" s="732"/>
      <c r="EJ50" s="732"/>
      <c r="EK50" s="732"/>
      <c r="EL50" s="732"/>
      <c r="EM50" s="732"/>
      <c r="EN50" s="732"/>
      <c r="EO50" s="732"/>
      <c r="EP50" s="732"/>
      <c r="EQ50" s="732"/>
      <c r="ER50" s="732"/>
      <c r="ES50" s="732"/>
      <c r="ET50" s="732"/>
      <c r="EU50" s="732"/>
      <c r="EV50" s="732"/>
      <c r="EW50" s="732"/>
      <c r="EX50" s="732"/>
      <c r="EY50" s="732"/>
      <c r="EZ50" s="732"/>
      <c r="FA50" s="732"/>
      <c r="FB50" s="732"/>
      <c r="FC50" s="732"/>
      <c r="FD50" s="732"/>
      <c r="FE50" s="732"/>
      <c r="FF50" s="732"/>
      <c r="FG50" s="732"/>
      <c r="FH50" s="732"/>
      <c r="FI50" s="732"/>
      <c r="FJ50" s="732"/>
      <c r="FK50" s="732"/>
      <c r="FL50" s="732"/>
      <c r="FM50" s="732"/>
      <c r="FN50" s="732"/>
      <c r="FO50" s="732"/>
      <c r="FP50" s="732"/>
      <c r="FQ50" s="732"/>
      <c r="FR50" s="732"/>
      <c r="FS50" s="732"/>
      <c r="FT50" s="732"/>
      <c r="FU50" s="732"/>
      <c r="FV50" s="732"/>
      <c r="FW50" s="732"/>
      <c r="FX50" s="732"/>
      <c r="FY50" s="732"/>
      <c r="FZ50" s="732"/>
      <c r="GA50" s="732"/>
      <c r="GB50" s="732"/>
      <c r="GC50" s="732"/>
      <c r="GD50" s="732"/>
      <c r="GE50" s="732"/>
      <c r="GF50" s="732"/>
      <c r="GG50" s="732"/>
      <c r="GH50" s="732"/>
      <c r="GI50" s="732"/>
      <c r="GJ50" s="732"/>
      <c r="GK50" s="732"/>
      <c r="GL50" s="732"/>
      <c r="GM50" s="732"/>
      <c r="GN50" s="732"/>
      <c r="GO50" s="732"/>
      <c r="GP50" s="732"/>
      <c r="GQ50" s="732"/>
      <c r="GR50" s="732"/>
      <c r="GS50" s="732"/>
      <c r="GT50" s="732"/>
      <c r="GU50" s="732"/>
      <c r="GV50" s="732"/>
      <c r="GW50" s="732"/>
      <c r="GX50" s="732"/>
      <c r="GY50" s="732"/>
      <c r="GZ50" s="732"/>
      <c r="HA50" s="732"/>
      <c r="HB50" s="732"/>
      <c r="HC50" s="732"/>
      <c r="HD50" s="732"/>
      <c r="HE50" s="732"/>
      <c r="HF50" s="732"/>
      <c r="HG50" s="732"/>
      <c r="HH50" s="732"/>
      <c r="HI50" s="732"/>
      <c r="HJ50" s="732"/>
      <c r="HK50" s="732"/>
      <c r="HL50" s="732"/>
      <c r="HM50" s="732"/>
      <c r="HN50" s="732"/>
      <c r="HO50" s="732"/>
      <c r="HP50" s="732"/>
      <c r="HQ50" s="732"/>
      <c r="HR50" s="732"/>
      <c r="HS50" s="732"/>
      <c r="HT50" s="732"/>
      <c r="HU50" s="732"/>
      <c r="HV50" s="732"/>
      <c r="HW50" s="732"/>
      <c r="HX50" s="732"/>
      <c r="HY50" s="732"/>
      <c r="HZ50" s="732"/>
      <c r="IA50" s="732"/>
      <c r="IB50" s="732"/>
      <c r="IC50" s="732"/>
      <c r="ID50" s="732"/>
      <c r="IE50" s="732"/>
      <c r="IF50" s="732"/>
      <c r="IG50" s="732"/>
      <c r="IH50" s="732"/>
      <c r="II50" s="732"/>
      <c r="IJ50" s="732"/>
      <c r="IK50" s="732"/>
      <c r="IL50" s="732"/>
      <c r="IM50" s="732"/>
      <c r="IN50" s="732"/>
      <c r="IO50" s="732"/>
      <c r="IP50" s="732"/>
      <c r="IQ50" s="732"/>
      <c r="IR50" s="732"/>
      <c r="IS50" s="732"/>
      <c r="IT50" s="732"/>
      <c r="IU50" s="732"/>
    </row>
    <row r="51" spans="1:255" ht="15.75" x14ac:dyDescent="0.25">
      <c r="A51" s="666"/>
      <c r="B51" s="726"/>
      <c r="C51" s="726"/>
      <c r="D51" s="730"/>
      <c r="E51" s="730"/>
      <c r="F51" s="730"/>
      <c r="G51" s="730"/>
      <c r="H51" s="730"/>
      <c r="I51" s="730"/>
      <c r="J51" s="730"/>
      <c r="K51" s="730"/>
      <c r="L51" s="730"/>
      <c r="M51" s="730"/>
      <c r="N51" s="730"/>
      <c r="O51" s="730"/>
      <c r="P51" s="730"/>
      <c r="Q51" s="730"/>
      <c r="R51" s="730"/>
      <c r="S51" s="730"/>
      <c r="T51" s="730"/>
      <c r="U51" s="730"/>
      <c r="V51" s="730"/>
      <c r="W51" s="730"/>
      <c r="X51" s="730"/>
      <c r="Y51" s="730"/>
      <c r="Z51" s="730"/>
      <c r="AA51" s="730"/>
      <c r="AB51" s="730"/>
      <c r="AC51" s="730"/>
      <c r="AD51" s="730"/>
      <c r="AE51" s="730"/>
      <c r="AF51" s="730"/>
      <c r="AG51" s="730"/>
      <c r="AH51" s="730"/>
      <c r="AI51" s="730"/>
      <c r="AJ51" s="730"/>
      <c r="AK51" s="730"/>
      <c r="AL51" s="730"/>
      <c r="AM51" s="730"/>
      <c r="AN51" s="730"/>
      <c r="AO51" s="730"/>
      <c r="AP51" s="730"/>
      <c r="AQ51" s="730"/>
      <c r="AR51" s="730"/>
      <c r="AS51" s="730"/>
      <c r="AT51" s="730"/>
      <c r="AU51" s="730"/>
      <c r="AV51" s="730"/>
      <c r="AW51" s="730"/>
      <c r="AX51" s="730"/>
      <c r="AY51" s="730"/>
      <c r="AZ51" s="730"/>
      <c r="BA51" s="730"/>
      <c r="BB51" s="730"/>
      <c r="BC51" s="730"/>
      <c r="BD51" s="730"/>
      <c r="BE51" s="730"/>
      <c r="BF51" s="730"/>
      <c r="BG51" s="730"/>
      <c r="BH51" s="730"/>
      <c r="BI51" s="730"/>
      <c r="BJ51" s="730"/>
      <c r="BK51" s="730"/>
      <c r="BL51" s="730"/>
      <c r="BM51" s="730"/>
      <c r="BN51" s="730"/>
      <c r="BO51" s="730"/>
      <c r="BP51" s="730"/>
      <c r="BQ51" s="730"/>
      <c r="BR51" s="730"/>
      <c r="BS51" s="730"/>
      <c r="BT51" s="730"/>
      <c r="BU51" s="730"/>
      <c r="BV51" s="730"/>
      <c r="BW51" s="730"/>
      <c r="BX51" s="730"/>
      <c r="BY51" s="730"/>
      <c r="BZ51" s="730"/>
      <c r="CA51" s="730"/>
      <c r="CB51" s="730"/>
      <c r="CC51" s="730"/>
      <c r="CD51" s="730"/>
      <c r="CE51" s="730"/>
      <c r="CF51" s="730"/>
      <c r="CG51" s="730"/>
      <c r="CH51" s="730"/>
      <c r="CI51" s="730"/>
      <c r="CJ51" s="730"/>
      <c r="CK51" s="730"/>
      <c r="CL51" s="730"/>
      <c r="CM51" s="730"/>
      <c r="CN51" s="730"/>
      <c r="CO51" s="730"/>
      <c r="CP51" s="730"/>
      <c r="CQ51" s="730"/>
      <c r="CR51" s="730"/>
      <c r="CS51" s="730"/>
      <c r="CT51" s="730"/>
      <c r="CU51" s="730"/>
      <c r="CV51" s="730"/>
      <c r="CW51" s="730"/>
      <c r="CX51" s="730"/>
      <c r="CY51" s="730"/>
      <c r="CZ51" s="730"/>
      <c r="DA51" s="730"/>
      <c r="DB51" s="730"/>
      <c r="DC51" s="730"/>
      <c r="DD51" s="730"/>
      <c r="DE51" s="730"/>
      <c r="DF51" s="730"/>
      <c r="DG51" s="730"/>
      <c r="DH51" s="730"/>
      <c r="DI51" s="730"/>
      <c r="DJ51" s="730"/>
      <c r="DK51" s="730"/>
      <c r="DL51" s="730"/>
      <c r="DM51" s="730"/>
      <c r="DN51" s="730"/>
      <c r="DO51" s="730"/>
      <c r="DP51" s="730"/>
      <c r="DQ51" s="730"/>
      <c r="DR51" s="730"/>
      <c r="DS51" s="730"/>
      <c r="DT51" s="730"/>
      <c r="DU51" s="730"/>
      <c r="DV51" s="730"/>
      <c r="DW51" s="730"/>
      <c r="DX51" s="730"/>
      <c r="DY51" s="730"/>
      <c r="DZ51" s="730"/>
      <c r="EA51" s="730"/>
      <c r="EB51" s="730"/>
      <c r="EC51" s="730"/>
      <c r="ED51" s="730"/>
      <c r="EE51" s="730"/>
      <c r="EF51" s="730"/>
      <c r="EG51" s="730"/>
      <c r="EH51" s="730"/>
      <c r="EI51" s="730"/>
      <c r="EJ51" s="730"/>
      <c r="EK51" s="730"/>
      <c r="EL51" s="730"/>
      <c r="EM51" s="730"/>
      <c r="EN51" s="730"/>
      <c r="EO51" s="730"/>
      <c r="EP51" s="730"/>
      <c r="EQ51" s="730"/>
      <c r="ER51" s="730"/>
      <c r="ES51" s="730"/>
      <c r="ET51" s="730"/>
      <c r="EU51" s="730"/>
      <c r="EV51" s="730"/>
      <c r="EW51" s="730"/>
      <c r="EX51" s="730"/>
      <c r="EY51" s="730"/>
      <c r="EZ51" s="730"/>
      <c r="FA51" s="730"/>
      <c r="FB51" s="730"/>
      <c r="FC51" s="730"/>
      <c r="FD51" s="730"/>
      <c r="FE51" s="730"/>
      <c r="FF51" s="730"/>
      <c r="FG51" s="730"/>
      <c r="FH51" s="730"/>
      <c r="FI51" s="730"/>
      <c r="FJ51" s="730"/>
      <c r="FK51" s="730"/>
      <c r="FL51" s="730"/>
      <c r="FM51" s="730"/>
      <c r="FN51" s="730"/>
      <c r="FO51" s="730"/>
      <c r="FP51" s="730"/>
      <c r="FQ51" s="730"/>
      <c r="FR51" s="730"/>
      <c r="FS51" s="730"/>
      <c r="FT51" s="730"/>
      <c r="FU51" s="730"/>
      <c r="FV51" s="730"/>
      <c r="FW51" s="730"/>
      <c r="FX51" s="730"/>
      <c r="FY51" s="730"/>
      <c r="FZ51" s="730"/>
      <c r="GA51" s="730"/>
      <c r="GB51" s="730"/>
      <c r="GC51" s="730"/>
      <c r="GD51" s="730"/>
      <c r="GE51" s="730"/>
      <c r="GF51" s="730"/>
      <c r="GG51" s="730"/>
      <c r="GH51" s="730"/>
      <c r="GI51" s="730"/>
      <c r="GJ51" s="730"/>
      <c r="GK51" s="730"/>
      <c r="GL51" s="730"/>
      <c r="GM51" s="730"/>
      <c r="GN51" s="730"/>
      <c r="GO51" s="730"/>
      <c r="GP51" s="730"/>
      <c r="GQ51" s="730"/>
      <c r="GR51" s="730"/>
      <c r="GS51" s="730"/>
      <c r="GT51" s="730"/>
      <c r="GU51" s="730"/>
      <c r="GV51" s="730"/>
      <c r="GW51" s="730"/>
      <c r="GX51" s="730"/>
      <c r="GY51" s="730"/>
      <c r="GZ51" s="730"/>
      <c r="HA51" s="730"/>
      <c r="HB51" s="730"/>
      <c r="HC51" s="730"/>
      <c r="HD51" s="730"/>
      <c r="HE51" s="730"/>
      <c r="HF51" s="730"/>
      <c r="HG51" s="730"/>
      <c r="HH51" s="730"/>
      <c r="HI51" s="730"/>
      <c r="HJ51" s="730"/>
      <c r="HK51" s="730"/>
      <c r="HL51" s="730"/>
      <c r="HM51" s="730"/>
      <c r="HN51" s="730"/>
      <c r="HO51" s="730"/>
      <c r="HP51" s="730"/>
      <c r="HQ51" s="730"/>
      <c r="HR51" s="730"/>
      <c r="HS51" s="730"/>
      <c r="HT51" s="730"/>
      <c r="HU51" s="730"/>
      <c r="HV51" s="730"/>
      <c r="HW51" s="730"/>
      <c r="HX51" s="730"/>
      <c r="HY51" s="730"/>
      <c r="HZ51" s="730"/>
      <c r="IA51" s="730"/>
      <c r="IB51" s="730"/>
      <c r="IC51" s="730"/>
      <c r="ID51" s="730"/>
      <c r="IE51" s="730"/>
      <c r="IF51" s="730"/>
      <c r="IG51" s="730"/>
      <c r="IH51" s="730"/>
      <c r="II51" s="730"/>
      <c r="IJ51" s="730"/>
      <c r="IK51" s="730"/>
      <c r="IL51" s="730"/>
      <c r="IM51" s="730"/>
      <c r="IN51" s="730"/>
      <c r="IO51" s="730"/>
      <c r="IP51" s="730"/>
      <c r="IQ51" s="730"/>
      <c r="IR51" s="730"/>
      <c r="IS51" s="730"/>
      <c r="IT51" s="730"/>
      <c r="IU51" s="730"/>
    </row>
    <row r="52" spans="1:255" ht="15.75" x14ac:dyDescent="0.25">
      <c r="A52" s="733"/>
      <c r="B52" s="734"/>
      <c r="C52" s="666"/>
      <c r="D52" s="730"/>
      <c r="E52" s="730"/>
      <c r="F52" s="730"/>
      <c r="G52" s="730"/>
      <c r="H52" s="730"/>
      <c r="I52" s="730"/>
      <c r="J52" s="730"/>
      <c r="K52" s="730"/>
      <c r="L52" s="730"/>
      <c r="M52" s="730"/>
      <c r="N52" s="730"/>
      <c r="O52" s="730"/>
      <c r="P52" s="730"/>
      <c r="Q52" s="730"/>
      <c r="R52" s="730"/>
      <c r="S52" s="730"/>
      <c r="T52" s="730"/>
      <c r="U52" s="730"/>
      <c r="V52" s="730"/>
      <c r="W52" s="730"/>
      <c r="X52" s="730"/>
      <c r="Y52" s="730"/>
      <c r="Z52" s="730"/>
      <c r="AA52" s="730"/>
      <c r="AB52" s="730"/>
      <c r="AC52" s="730"/>
      <c r="AD52" s="730"/>
      <c r="AE52" s="730"/>
      <c r="AF52" s="730"/>
      <c r="AG52" s="730"/>
      <c r="AH52" s="730"/>
      <c r="AI52" s="730"/>
      <c r="AJ52" s="730"/>
      <c r="AK52" s="730"/>
      <c r="AL52" s="730"/>
      <c r="AM52" s="730"/>
      <c r="AN52" s="730"/>
      <c r="AO52" s="730"/>
      <c r="AP52" s="730"/>
      <c r="AQ52" s="730"/>
      <c r="AR52" s="730"/>
      <c r="AS52" s="730"/>
      <c r="AT52" s="730"/>
      <c r="AU52" s="730"/>
      <c r="AV52" s="730"/>
      <c r="AW52" s="730"/>
      <c r="AX52" s="730"/>
      <c r="AY52" s="730"/>
      <c r="AZ52" s="730"/>
      <c r="BA52" s="730"/>
      <c r="BB52" s="730"/>
      <c r="BC52" s="730"/>
      <c r="BD52" s="730"/>
      <c r="BE52" s="730"/>
      <c r="BF52" s="730"/>
      <c r="BG52" s="730"/>
      <c r="BH52" s="730"/>
      <c r="BI52" s="730"/>
      <c r="BJ52" s="730"/>
      <c r="BK52" s="730"/>
      <c r="BL52" s="730"/>
      <c r="BM52" s="730"/>
      <c r="BN52" s="730"/>
      <c r="BO52" s="730"/>
      <c r="BP52" s="730"/>
      <c r="BQ52" s="730"/>
      <c r="BR52" s="730"/>
      <c r="BS52" s="730"/>
      <c r="BT52" s="730"/>
      <c r="BU52" s="730"/>
      <c r="BV52" s="730"/>
      <c r="BW52" s="730"/>
      <c r="BX52" s="730"/>
      <c r="BY52" s="730"/>
      <c r="BZ52" s="730"/>
      <c r="CA52" s="730"/>
      <c r="CB52" s="730"/>
      <c r="CC52" s="730"/>
      <c r="CD52" s="730"/>
      <c r="CE52" s="730"/>
      <c r="CF52" s="730"/>
      <c r="CG52" s="730"/>
      <c r="CH52" s="730"/>
      <c r="CI52" s="730"/>
      <c r="CJ52" s="730"/>
      <c r="CK52" s="730"/>
      <c r="CL52" s="730"/>
      <c r="CM52" s="730"/>
      <c r="CN52" s="730"/>
      <c r="CO52" s="730"/>
      <c r="CP52" s="730"/>
      <c r="CQ52" s="730"/>
      <c r="CR52" s="730"/>
      <c r="CS52" s="730"/>
      <c r="CT52" s="730"/>
      <c r="CU52" s="730"/>
      <c r="CV52" s="730"/>
      <c r="CW52" s="730"/>
      <c r="CX52" s="730"/>
      <c r="CY52" s="730"/>
      <c r="CZ52" s="730"/>
      <c r="DA52" s="730"/>
      <c r="DB52" s="730"/>
      <c r="DC52" s="730"/>
      <c r="DD52" s="730"/>
      <c r="DE52" s="730"/>
      <c r="DF52" s="730"/>
      <c r="DG52" s="730"/>
      <c r="DH52" s="730"/>
      <c r="DI52" s="730"/>
      <c r="DJ52" s="730"/>
      <c r="DK52" s="730"/>
      <c r="DL52" s="730"/>
      <c r="DM52" s="730"/>
      <c r="DN52" s="730"/>
      <c r="DO52" s="730"/>
      <c r="DP52" s="730"/>
      <c r="DQ52" s="730"/>
      <c r="DR52" s="730"/>
      <c r="DS52" s="730"/>
      <c r="DT52" s="730"/>
      <c r="DU52" s="730"/>
      <c r="DV52" s="730"/>
      <c r="DW52" s="730"/>
      <c r="DX52" s="730"/>
      <c r="DY52" s="730"/>
      <c r="DZ52" s="730"/>
      <c r="EA52" s="730"/>
      <c r="EB52" s="730"/>
      <c r="EC52" s="730"/>
      <c r="ED52" s="730"/>
      <c r="EE52" s="730"/>
      <c r="EF52" s="730"/>
      <c r="EG52" s="730"/>
      <c r="EH52" s="730"/>
      <c r="EI52" s="730"/>
      <c r="EJ52" s="730"/>
      <c r="EK52" s="730"/>
      <c r="EL52" s="730"/>
      <c r="EM52" s="730"/>
      <c r="EN52" s="730"/>
      <c r="EO52" s="730"/>
      <c r="EP52" s="730"/>
      <c r="EQ52" s="730"/>
      <c r="ER52" s="730"/>
      <c r="ES52" s="730"/>
      <c r="ET52" s="730"/>
      <c r="EU52" s="730"/>
      <c r="EV52" s="730"/>
      <c r="EW52" s="730"/>
      <c r="EX52" s="730"/>
      <c r="EY52" s="730"/>
      <c r="EZ52" s="730"/>
      <c r="FA52" s="730"/>
      <c r="FB52" s="730"/>
      <c r="FC52" s="730"/>
      <c r="FD52" s="730"/>
      <c r="FE52" s="730"/>
      <c r="FF52" s="730"/>
      <c r="FG52" s="730"/>
      <c r="FH52" s="730"/>
      <c r="FI52" s="730"/>
      <c r="FJ52" s="730"/>
      <c r="FK52" s="730"/>
      <c r="FL52" s="730"/>
      <c r="FM52" s="730"/>
      <c r="FN52" s="730"/>
      <c r="FO52" s="730"/>
      <c r="FP52" s="730"/>
      <c r="FQ52" s="730"/>
      <c r="FR52" s="730"/>
      <c r="FS52" s="730"/>
      <c r="FT52" s="730"/>
      <c r="FU52" s="730"/>
      <c r="FV52" s="730"/>
      <c r="FW52" s="730"/>
      <c r="FX52" s="730"/>
      <c r="FY52" s="730"/>
      <c r="FZ52" s="730"/>
      <c r="GA52" s="730"/>
      <c r="GB52" s="730"/>
      <c r="GC52" s="730"/>
      <c r="GD52" s="730"/>
      <c r="GE52" s="730"/>
      <c r="GF52" s="730"/>
      <c r="GG52" s="730"/>
      <c r="GH52" s="730"/>
      <c r="GI52" s="730"/>
      <c r="GJ52" s="730"/>
      <c r="GK52" s="730"/>
      <c r="GL52" s="730"/>
      <c r="GM52" s="730"/>
      <c r="GN52" s="730"/>
      <c r="GO52" s="730"/>
      <c r="GP52" s="730"/>
      <c r="GQ52" s="730"/>
      <c r="GR52" s="730"/>
      <c r="GS52" s="730"/>
      <c r="GT52" s="730"/>
      <c r="GU52" s="730"/>
      <c r="GV52" s="730"/>
      <c r="GW52" s="730"/>
      <c r="GX52" s="730"/>
      <c r="GY52" s="730"/>
      <c r="GZ52" s="730"/>
      <c r="HA52" s="730"/>
      <c r="HB52" s="730"/>
      <c r="HC52" s="730"/>
      <c r="HD52" s="730"/>
      <c r="HE52" s="730"/>
      <c r="HF52" s="730"/>
      <c r="HG52" s="730"/>
      <c r="HH52" s="730"/>
      <c r="HI52" s="730"/>
      <c r="HJ52" s="730"/>
      <c r="HK52" s="730"/>
      <c r="HL52" s="730"/>
      <c r="HM52" s="730"/>
      <c r="HN52" s="730"/>
      <c r="HO52" s="730"/>
      <c r="HP52" s="730"/>
      <c r="HQ52" s="730"/>
      <c r="HR52" s="730"/>
      <c r="HS52" s="730"/>
      <c r="HT52" s="730"/>
      <c r="HU52" s="730"/>
      <c r="HV52" s="730"/>
      <c r="HW52" s="730"/>
      <c r="HX52" s="730"/>
      <c r="HY52" s="730"/>
      <c r="HZ52" s="730"/>
      <c r="IA52" s="730"/>
      <c r="IB52" s="730"/>
      <c r="IC52" s="730"/>
      <c r="ID52" s="730"/>
      <c r="IE52" s="730"/>
      <c r="IF52" s="730"/>
      <c r="IG52" s="730"/>
      <c r="IH52" s="730"/>
      <c r="II52" s="730"/>
      <c r="IJ52" s="730"/>
      <c r="IK52" s="730"/>
      <c r="IL52" s="730"/>
      <c r="IM52" s="730"/>
      <c r="IN52" s="730"/>
      <c r="IO52" s="730"/>
      <c r="IP52" s="730"/>
      <c r="IQ52" s="730"/>
      <c r="IR52" s="730"/>
      <c r="IS52" s="730"/>
      <c r="IT52" s="730"/>
      <c r="IU52" s="730"/>
    </row>
    <row r="53" spans="1:255" ht="15.75" x14ac:dyDescent="0.25">
      <c r="A53" s="733"/>
      <c r="B53" s="734"/>
      <c r="C53" s="666"/>
      <c r="D53" s="732"/>
      <c r="E53" s="732"/>
      <c r="F53" s="732"/>
      <c r="G53" s="732"/>
      <c r="H53" s="732"/>
      <c r="I53" s="732"/>
      <c r="J53" s="732"/>
      <c r="K53" s="732"/>
      <c r="L53" s="732"/>
      <c r="M53" s="732"/>
      <c r="N53" s="732"/>
      <c r="O53" s="732"/>
      <c r="P53" s="732"/>
      <c r="Q53" s="732"/>
      <c r="R53" s="732"/>
      <c r="S53" s="732"/>
      <c r="T53" s="732"/>
      <c r="U53" s="732"/>
      <c r="V53" s="732"/>
      <c r="W53" s="732"/>
      <c r="X53" s="732"/>
      <c r="Y53" s="732"/>
      <c r="Z53" s="732"/>
      <c r="AA53" s="732"/>
      <c r="AB53" s="732"/>
      <c r="AC53" s="732"/>
      <c r="AD53" s="732"/>
      <c r="AE53" s="732"/>
      <c r="AF53" s="732"/>
      <c r="AG53" s="732"/>
      <c r="AH53" s="732"/>
      <c r="AI53" s="732"/>
      <c r="AJ53" s="732"/>
      <c r="AK53" s="732"/>
      <c r="AL53" s="732"/>
      <c r="AM53" s="732"/>
      <c r="AN53" s="732"/>
      <c r="AO53" s="732"/>
      <c r="AP53" s="732"/>
      <c r="AQ53" s="732"/>
      <c r="AR53" s="732"/>
      <c r="AS53" s="732"/>
      <c r="AT53" s="732"/>
      <c r="AU53" s="732"/>
      <c r="AV53" s="732"/>
      <c r="AW53" s="732"/>
      <c r="AX53" s="732"/>
      <c r="AY53" s="732"/>
      <c r="AZ53" s="732"/>
      <c r="BA53" s="732"/>
      <c r="BB53" s="732"/>
      <c r="BC53" s="732"/>
      <c r="BD53" s="732"/>
      <c r="BE53" s="732"/>
      <c r="BF53" s="732"/>
      <c r="BG53" s="732"/>
      <c r="BH53" s="732"/>
      <c r="BI53" s="732"/>
      <c r="BJ53" s="732"/>
      <c r="BK53" s="732"/>
      <c r="BL53" s="732"/>
      <c r="BM53" s="732"/>
      <c r="BN53" s="732"/>
      <c r="BO53" s="732"/>
      <c r="BP53" s="732"/>
      <c r="BQ53" s="732"/>
      <c r="BR53" s="732"/>
      <c r="BS53" s="732"/>
      <c r="BT53" s="732"/>
      <c r="BU53" s="732"/>
      <c r="BV53" s="732"/>
      <c r="BW53" s="732"/>
      <c r="BX53" s="732"/>
      <c r="BY53" s="732"/>
      <c r="BZ53" s="732"/>
      <c r="CA53" s="732"/>
      <c r="CB53" s="732"/>
      <c r="CC53" s="732"/>
      <c r="CD53" s="732"/>
      <c r="CE53" s="732"/>
      <c r="CF53" s="732"/>
      <c r="CG53" s="732"/>
      <c r="CH53" s="732"/>
      <c r="CI53" s="732"/>
      <c r="CJ53" s="732"/>
      <c r="CK53" s="732"/>
      <c r="CL53" s="732"/>
      <c r="CM53" s="732"/>
      <c r="CN53" s="732"/>
      <c r="CO53" s="732"/>
      <c r="CP53" s="732"/>
      <c r="CQ53" s="732"/>
      <c r="CR53" s="732"/>
      <c r="CS53" s="732"/>
      <c r="CT53" s="732"/>
      <c r="CU53" s="732"/>
      <c r="CV53" s="732"/>
      <c r="CW53" s="732"/>
      <c r="CX53" s="732"/>
      <c r="CY53" s="732"/>
      <c r="CZ53" s="732"/>
      <c r="DA53" s="732"/>
      <c r="DB53" s="732"/>
      <c r="DC53" s="732"/>
      <c r="DD53" s="732"/>
      <c r="DE53" s="732"/>
      <c r="DF53" s="732"/>
      <c r="DG53" s="732"/>
      <c r="DH53" s="732"/>
      <c r="DI53" s="732"/>
      <c r="DJ53" s="732"/>
      <c r="DK53" s="732"/>
      <c r="DL53" s="732"/>
      <c r="DM53" s="732"/>
      <c r="DN53" s="732"/>
      <c r="DO53" s="732"/>
      <c r="DP53" s="732"/>
      <c r="DQ53" s="732"/>
      <c r="DR53" s="732"/>
      <c r="DS53" s="732"/>
      <c r="DT53" s="732"/>
      <c r="DU53" s="732"/>
      <c r="DV53" s="732"/>
      <c r="DW53" s="732"/>
      <c r="DX53" s="732"/>
      <c r="DY53" s="732"/>
      <c r="DZ53" s="732"/>
      <c r="EA53" s="732"/>
      <c r="EB53" s="732"/>
      <c r="EC53" s="732"/>
      <c r="ED53" s="732"/>
      <c r="EE53" s="732"/>
      <c r="EF53" s="732"/>
      <c r="EG53" s="732"/>
      <c r="EH53" s="732"/>
      <c r="EI53" s="732"/>
      <c r="EJ53" s="732"/>
      <c r="EK53" s="732"/>
      <c r="EL53" s="732"/>
      <c r="EM53" s="732"/>
      <c r="EN53" s="732"/>
      <c r="EO53" s="732"/>
      <c r="EP53" s="732"/>
      <c r="EQ53" s="732"/>
      <c r="ER53" s="732"/>
      <c r="ES53" s="732"/>
      <c r="ET53" s="732"/>
      <c r="EU53" s="732"/>
      <c r="EV53" s="732"/>
      <c r="EW53" s="732"/>
      <c r="EX53" s="732"/>
      <c r="EY53" s="732"/>
      <c r="EZ53" s="732"/>
      <c r="FA53" s="732"/>
      <c r="FB53" s="732"/>
      <c r="FC53" s="732"/>
      <c r="FD53" s="732"/>
      <c r="FE53" s="732"/>
      <c r="FF53" s="732"/>
      <c r="FG53" s="732"/>
      <c r="FH53" s="732"/>
      <c r="FI53" s="732"/>
      <c r="FJ53" s="732"/>
      <c r="FK53" s="732"/>
      <c r="FL53" s="732"/>
      <c r="FM53" s="732"/>
      <c r="FN53" s="732"/>
      <c r="FO53" s="732"/>
      <c r="FP53" s="732"/>
      <c r="FQ53" s="732"/>
      <c r="FR53" s="732"/>
      <c r="FS53" s="732"/>
      <c r="FT53" s="732"/>
      <c r="FU53" s="732"/>
      <c r="FV53" s="732"/>
      <c r="FW53" s="732"/>
      <c r="FX53" s="732"/>
      <c r="FY53" s="732"/>
      <c r="FZ53" s="732"/>
      <c r="GA53" s="732"/>
      <c r="GB53" s="732"/>
      <c r="GC53" s="732"/>
      <c r="GD53" s="732"/>
      <c r="GE53" s="732"/>
      <c r="GF53" s="732"/>
      <c r="GG53" s="732"/>
      <c r="GH53" s="732"/>
      <c r="GI53" s="732"/>
      <c r="GJ53" s="732"/>
      <c r="GK53" s="732"/>
      <c r="GL53" s="732"/>
      <c r="GM53" s="732"/>
      <c r="GN53" s="732"/>
      <c r="GO53" s="732"/>
      <c r="GP53" s="732"/>
      <c r="GQ53" s="732"/>
      <c r="GR53" s="732"/>
      <c r="GS53" s="732"/>
      <c r="GT53" s="732"/>
      <c r="GU53" s="732"/>
      <c r="GV53" s="732"/>
      <c r="GW53" s="732"/>
      <c r="GX53" s="732"/>
      <c r="GY53" s="732"/>
      <c r="GZ53" s="732"/>
      <c r="HA53" s="732"/>
      <c r="HB53" s="732"/>
      <c r="HC53" s="732"/>
      <c r="HD53" s="732"/>
      <c r="HE53" s="732"/>
      <c r="HF53" s="732"/>
      <c r="HG53" s="732"/>
      <c r="HH53" s="732"/>
      <c r="HI53" s="732"/>
      <c r="HJ53" s="732"/>
      <c r="HK53" s="732"/>
      <c r="HL53" s="732"/>
      <c r="HM53" s="732"/>
      <c r="HN53" s="732"/>
      <c r="HO53" s="732"/>
      <c r="HP53" s="732"/>
      <c r="HQ53" s="732"/>
      <c r="HR53" s="732"/>
      <c r="HS53" s="732"/>
      <c r="HT53" s="732"/>
      <c r="HU53" s="732"/>
      <c r="HV53" s="732"/>
      <c r="HW53" s="732"/>
      <c r="HX53" s="732"/>
      <c r="HY53" s="732"/>
      <c r="HZ53" s="732"/>
      <c r="IA53" s="732"/>
      <c r="IB53" s="732"/>
      <c r="IC53" s="732"/>
      <c r="ID53" s="732"/>
      <c r="IE53" s="732"/>
      <c r="IF53" s="732"/>
      <c r="IG53" s="732"/>
      <c r="IH53" s="732"/>
      <c r="II53" s="732"/>
      <c r="IJ53" s="732"/>
      <c r="IK53" s="732"/>
      <c r="IL53" s="732"/>
      <c r="IM53" s="732"/>
      <c r="IN53" s="732"/>
      <c r="IO53" s="732"/>
      <c r="IP53" s="732"/>
      <c r="IQ53" s="732"/>
      <c r="IR53" s="732"/>
      <c r="IS53" s="732"/>
      <c r="IT53" s="732"/>
      <c r="IU53" s="732"/>
    </row>
    <row r="54" spans="1:255" ht="15.75" x14ac:dyDescent="0.25">
      <c r="A54" s="735" t="s">
        <v>825</v>
      </c>
      <c r="C54" s="728" t="s">
        <v>924</v>
      </c>
      <c r="D54" s="730"/>
      <c r="E54" s="730"/>
      <c r="F54" s="730"/>
      <c r="G54" s="730"/>
      <c r="H54" s="730"/>
      <c r="I54" s="730"/>
      <c r="J54" s="730"/>
      <c r="K54" s="730"/>
      <c r="L54" s="730"/>
      <c r="M54" s="730"/>
      <c r="N54" s="730"/>
      <c r="O54" s="730"/>
      <c r="P54" s="730"/>
      <c r="Q54" s="730"/>
      <c r="R54" s="730"/>
      <c r="S54" s="730"/>
      <c r="T54" s="730"/>
      <c r="U54" s="730"/>
      <c r="V54" s="730"/>
      <c r="W54" s="730"/>
      <c r="X54" s="730"/>
      <c r="Y54" s="730"/>
      <c r="Z54" s="730"/>
      <c r="AA54" s="730"/>
      <c r="AB54" s="730"/>
      <c r="AC54" s="730"/>
      <c r="AD54" s="730"/>
      <c r="AE54" s="730"/>
      <c r="AF54" s="730"/>
      <c r="AG54" s="730"/>
      <c r="AH54" s="730"/>
      <c r="AI54" s="730"/>
      <c r="AJ54" s="730"/>
      <c r="AK54" s="730"/>
      <c r="AL54" s="730"/>
      <c r="AM54" s="730"/>
      <c r="AN54" s="730"/>
      <c r="AO54" s="730"/>
      <c r="AP54" s="730"/>
      <c r="AQ54" s="730"/>
      <c r="AR54" s="730"/>
      <c r="AS54" s="730"/>
      <c r="AT54" s="730"/>
      <c r="AU54" s="730"/>
      <c r="AV54" s="730"/>
      <c r="AW54" s="730"/>
      <c r="AX54" s="730"/>
      <c r="AY54" s="730"/>
      <c r="AZ54" s="730"/>
      <c r="BA54" s="730"/>
      <c r="BB54" s="730"/>
      <c r="BC54" s="730"/>
      <c r="BD54" s="730"/>
      <c r="BE54" s="730"/>
      <c r="BF54" s="730"/>
      <c r="BG54" s="730"/>
      <c r="BH54" s="730"/>
      <c r="BI54" s="730"/>
      <c r="BJ54" s="730"/>
      <c r="BK54" s="730"/>
      <c r="BL54" s="730"/>
      <c r="BM54" s="730"/>
      <c r="BN54" s="730"/>
      <c r="BO54" s="730"/>
      <c r="BP54" s="730"/>
      <c r="BQ54" s="730"/>
      <c r="BR54" s="730"/>
      <c r="BS54" s="730"/>
      <c r="BT54" s="730"/>
      <c r="BU54" s="730"/>
      <c r="BV54" s="730"/>
      <c r="BW54" s="730"/>
      <c r="BX54" s="730"/>
      <c r="BY54" s="730"/>
      <c r="BZ54" s="730"/>
      <c r="CA54" s="730"/>
      <c r="CB54" s="730"/>
      <c r="CC54" s="730"/>
      <c r="CD54" s="730"/>
      <c r="CE54" s="730"/>
      <c r="CF54" s="730"/>
      <c r="CG54" s="730"/>
      <c r="CH54" s="730"/>
      <c r="CI54" s="730"/>
      <c r="CJ54" s="730"/>
      <c r="CK54" s="730"/>
      <c r="CL54" s="730"/>
      <c r="CM54" s="730"/>
      <c r="CN54" s="730"/>
      <c r="CO54" s="730"/>
      <c r="CP54" s="730"/>
      <c r="CQ54" s="730"/>
      <c r="CR54" s="730"/>
      <c r="CS54" s="730"/>
      <c r="CT54" s="730"/>
      <c r="CU54" s="730"/>
      <c r="CV54" s="730"/>
      <c r="CW54" s="730"/>
      <c r="CX54" s="730"/>
      <c r="CY54" s="730"/>
      <c r="CZ54" s="730"/>
      <c r="DA54" s="730"/>
      <c r="DB54" s="730"/>
      <c r="DC54" s="730"/>
      <c r="DD54" s="730"/>
      <c r="DE54" s="730"/>
      <c r="DF54" s="730"/>
      <c r="DG54" s="730"/>
      <c r="DH54" s="730"/>
      <c r="DI54" s="730"/>
      <c r="DJ54" s="730"/>
      <c r="DK54" s="730"/>
      <c r="DL54" s="730"/>
      <c r="DM54" s="730"/>
      <c r="DN54" s="730"/>
      <c r="DO54" s="730"/>
      <c r="DP54" s="730"/>
      <c r="DQ54" s="730"/>
      <c r="DR54" s="730"/>
      <c r="DS54" s="730"/>
      <c r="DT54" s="730"/>
      <c r="DU54" s="730"/>
      <c r="DV54" s="730"/>
      <c r="DW54" s="730"/>
      <c r="DX54" s="730"/>
      <c r="DY54" s="730"/>
      <c r="DZ54" s="730"/>
      <c r="EA54" s="730"/>
      <c r="EB54" s="730"/>
      <c r="EC54" s="730"/>
      <c r="ED54" s="730"/>
      <c r="EE54" s="730"/>
      <c r="EF54" s="730"/>
      <c r="EG54" s="730"/>
      <c r="EH54" s="730"/>
      <c r="EI54" s="730"/>
      <c r="EJ54" s="730"/>
      <c r="EK54" s="730"/>
      <c r="EL54" s="730"/>
      <c r="EM54" s="730"/>
      <c r="EN54" s="730"/>
      <c r="EO54" s="730"/>
      <c r="EP54" s="730"/>
      <c r="EQ54" s="730"/>
      <c r="ER54" s="730"/>
      <c r="ES54" s="730"/>
      <c r="ET54" s="730"/>
      <c r="EU54" s="730"/>
      <c r="EV54" s="730"/>
      <c r="EW54" s="730"/>
      <c r="EX54" s="730"/>
      <c r="EY54" s="730"/>
      <c r="EZ54" s="730"/>
      <c r="FA54" s="730"/>
      <c r="FB54" s="730"/>
      <c r="FC54" s="730"/>
      <c r="FD54" s="730"/>
      <c r="FE54" s="730"/>
      <c r="FF54" s="730"/>
      <c r="FG54" s="730"/>
      <c r="FH54" s="730"/>
      <c r="FI54" s="730"/>
      <c r="FJ54" s="730"/>
      <c r="FK54" s="730"/>
      <c r="FL54" s="730"/>
      <c r="FM54" s="730"/>
      <c r="FN54" s="730"/>
      <c r="FO54" s="730"/>
      <c r="FP54" s="730"/>
      <c r="FQ54" s="730"/>
      <c r="FR54" s="730"/>
      <c r="FS54" s="730"/>
      <c r="FT54" s="730"/>
      <c r="FU54" s="730"/>
      <c r="FV54" s="730"/>
      <c r="FW54" s="730"/>
      <c r="FX54" s="730"/>
      <c r="FY54" s="730"/>
      <c r="FZ54" s="730"/>
      <c r="GA54" s="730"/>
      <c r="GB54" s="730"/>
      <c r="GC54" s="730"/>
      <c r="GD54" s="730"/>
      <c r="GE54" s="730"/>
      <c r="GF54" s="730"/>
      <c r="GG54" s="730"/>
      <c r="GH54" s="730"/>
      <c r="GI54" s="730"/>
      <c r="GJ54" s="730"/>
      <c r="GK54" s="730"/>
      <c r="GL54" s="730"/>
      <c r="GM54" s="730"/>
      <c r="GN54" s="730"/>
      <c r="GO54" s="730"/>
      <c r="GP54" s="730"/>
      <c r="GQ54" s="730"/>
      <c r="GR54" s="730"/>
      <c r="GS54" s="730"/>
      <c r="GT54" s="730"/>
      <c r="GU54" s="730"/>
      <c r="GV54" s="730"/>
      <c r="GW54" s="730"/>
      <c r="GX54" s="730"/>
      <c r="GY54" s="730"/>
      <c r="GZ54" s="730"/>
      <c r="HA54" s="730"/>
      <c r="HB54" s="730"/>
      <c r="HC54" s="730"/>
      <c r="HD54" s="730"/>
      <c r="HE54" s="730"/>
      <c r="HF54" s="730"/>
      <c r="HG54" s="730"/>
      <c r="HH54" s="730"/>
      <c r="HI54" s="730"/>
      <c r="HJ54" s="730"/>
      <c r="HK54" s="730"/>
      <c r="HL54" s="730"/>
      <c r="HM54" s="730"/>
      <c r="HN54" s="730"/>
      <c r="HO54" s="730"/>
      <c r="HP54" s="730"/>
      <c r="HQ54" s="730"/>
      <c r="HR54" s="730"/>
      <c r="HS54" s="730"/>
      <c r="HT54" s="730"/>
      <c r="HU54" s="730"/>
      <c r="HV54" s="730"/>
      <c r="HW54" s="730"/>
      <c r="HX54" s="730"/>
      <c r="HY54" s="730"/>
      <c r="HZ54" s="730"/>
      <c r="IA54" s="730"/>
      <c r="IB54" s="730"/>
      <c r="IC54" s="730"/>
      <c r="ID54" s="730"/>
      <c r="IE54" s="730"/>
      <c r="IF54" s="730"/>
      <c r="IG54" s="730"/>
      <c r="IH54" s="730"/>
      <c r="II54" s="730"/>
      <c r="IJ54" s="730"/>
      <c r="IK54" s="730"/>
      <c r="IL54" s="730"/>
      <c r="IM54" s="730"/>
      <c r="IN54" s="730"/>
      <c r="IO54" s="730"/>
      <c r="IP54" s="730"/>
      <c r="IQ54" s="730"/>
      <c r="IR54" s="730"/>
      <c r="IS54" s="730"/>
      <c r="IT54" s="730"/>
      <c r="IU54" s="730"/>
    </row>
    <row r="55" spans="1:255" ht="15.75" x14ac:dyDescent="0.25">
      <c r="A55" s="899" t="s">
        <v>811</v>
      </c>
      <c r="C55" s="666" t="s">
        <v>925</v>
      </c>
      <c r="D55" s="730"/>
      <c r="E55" s="730"/>
      <c r="F55" s="730"/>
      <c r="G55" s="730"/>
      <c r="H55" s="730"/>
      <c r="I55" s="730"/>
      <c r="J55" s="730"/>
      <c r="K55" s="730"/>
      <c r="L55" s="730"/>
      <c r="M55" s="730"/>
      <c r="N55" s="730"/>
      <c r="O55" s="730"/>
      <c r="P55" s="730"/>
      <c r="Q55" s="730"/>
      <c r="R55" s="730"/>
      <c r="S55" s="730"/>
      <c r="T55" s="730"/>
      <c r="U55" s="730"/>
      <c r="V55" s="730"/>
      <c r="W55" s="730"/>
      <c r="X55" s="730"/>
      <c r="Y55" s="730"/>
      <c r="Z55" s="730"/>
      <c r="AA55" s="730"/>
      <c r="AB55" s="730"/>
      <c r="AC55" s="730"/>
      <c r="AD55" s="730"/>
      <c r="AE55" s="730"/>
      <c r="AF55" s="730"/>
      <c r="AG55" s="730"/>
      <c r="AH55" s="730"/>
      <c r="AI55" s="730"/>
      <c r="AJ55" s="730"/>
      <c r="AK55" s="730"/>
      <c r="AL55" s="730"/>
      <c r="AM55" s="730"/>
      <c r="AN55" s="730"/>
      <c r="AO55" s="730"/>
      <c r="AP55" s="730"/>
      <c r="AQ55" s="730"/>
      <c r="AR55" s="730"/>
      <c r="AS55" s="730"/>
      <c r="AT55" s="730"/>
      <c r="AU55" s="730"/>
      <c r="AV55" s="730"/>
      <c r="AW55" s="730"/>
      <c r="AX55" s="730"/>
      <c r="AY55" s="730"/>
      <c r="AZ55" s="730"/>
      <c r="BA55" s="730"/>
      <c r="BB55" s="730"/>
      <c r="BC55" s="730"/>
      <c r="BD55" s="730"/>
      <c r="BE55" s="730"/>
      <c r="BF55" s="730"/>
      <c r="BG55" s="730"/>
      <c r="BH55" s="730"/>
      <c r="BI55" s="730"/>
      <c r="BJ55" s="730"/>
      <c r="BK55" s="730"/>
      <c r="BL55" s="730"/>
      <c r="BM55" s="730"/>
      <c r="BN55" s="730"/>
      <c r="BO55" s="730"/>
      <c r="BP55" s="730"/>
      <c r="BQ55" s="730"/>
      <c r="BR55" s="730"/>
      <c r="BS55" s="730"/>
      <c r="BT55" s="730"/>
      <c r="BU55" s="730"/>
      <c r="BV55" s="730"/>
      <c r="BW55" s="730"/>
      <c r="BX55" s="730"/>
      <c r="BY55" s="730"/>
      <c r="BZ55" s="730"/>
      <c r="CA55" s="730"/>
      <c r="CB55" s="730"/>
      <c r="CC55" s="730"/>
      <c r="CD55" s="730"/>
      <c r="CE55" s="730"/>
      <c r="CF55" s="730"/>
      <c r="CG55" s="730"/>
      <c r="CH55" s="730"/>
      <c r="CI55" s="730"/>
      <c r="CJ55" s="730"/>
      <c r="CK55" s="730"/>
      <c r="CL55" s="730"/>
      <c r="CM55" s="730"/>
      <c r="CN55" s="730"/>
      <c r="CO55" s="730"/>
      <c r="CP55" s="730"/>
      <c r="CQ55" s="730"/>
      <c r="CR55" s="730"/>
      <c r="CS55" s="730"/>
      <c r="CT55" s="730"/>
      <c r="CU55" s="730"/>
      <c r="CV55" s="730"/>
      <c r="CW55" s="730"/>
      <c r="CX55" s="730"/>
      <c r="CY55" s="730"/>
      <c r="CZ55" s="730"/>
      <c r="DA55" s="730"/>
      <c r="DB55" s="730"/>
      <c r="DC55" s="730"/>
      <c r="DD55" s="730"/>
      <c r="DE55" s="730"/>
      <c r="DF55" s="730"/>
      <c r="DG55" s="730"/>
      <c r="DH55" s="730"/>
      <c r="DI55" s="730"/>
      <c r="DJ55" s="730"/>
      <c r="DK55" s="730"/>
      <c r="DL55" s="730"/>
      <c r="DM55" s="730"/>
      <c r="DN55" s="730"/>
      <c r="DO55" s="730"/>
      <c r="DP55" s="730"/>
      <c r="DQ55" s="730"/>
      <c r="DR55" s="730"/>
      <c r="DS55" s="730"/>
      <c r="DT55" s="730"/>
      <c r="DU55" s="730"/>
      <c r="DV55" s="730"/>
      <c r="DW55" s="730"/>
      <c r="DX55" s="730"/>
      <c r="DY55" s="730"/>
      <c r="DZ55" s="730"/>
      <c r="EA55" s="730"/>
      <c r="EB55" s="730"/>
      <c r="EC55" s="730"/>
      <c r="ED55" s="730"/>
      <c r="EE55" s="730"/>
      <c r="EF55" s="730"/>
      <c r="EG55" s="730"/>
      <c r="EH55" s="730"/>
      <c r="EI55" s="730"/>
      <c r="EJ55" s="730"/>
      <c r="EK55" s="730"/>
      <c r="EL55" s="730"/>
      <c r="EM55" s="730"/>
      <c r="EN55" s="730"/>
      <c r="EO55" s="730"/>
      <c r="EP55" s="730"/>
      <c r="EQ55" s="730"/>
      <c r="ER55" s="730"/>
      <c r="ES55" s="730"/>
      <c r="ET55" s="730"/>
      <c r="EU55" s="730"/>
      <c r="EV55" s="730"/>
      <c r="EW55" s="730"/>
      <c r="EX55" s="730"/>
      <c r="EY55" s="730"/>
      <c r="EZ55" s="730"/>
      <c r="FA55" s="730"/>
      <c r="FB55" s="730"/>
      <c r="FC55" s="730"/>
      <c r="FD55" s="730"/>
      <c r="FE55" s="730"/>
      <c r="FF55" s="730"/>
      <c r="FG55" s="730"/>
      <c r="FH55" s="730"/>
      <c r="FI55" s="730"/>
      <c r="FJ55" s="730"/>
      <c r="FK55" s="730"/>
      <c r="FL55" s="730"/>
      <c r="FM55" s="730"/>
      <c r="FN55" s="730"/>
      <c r="FO55" s="730"/>
      <c r="FP55" s="730"/>
      <c r="FQ55" s="730"/>
      <c r="FR55" s="730"/>
      <c r="FS55" s="730"/>
      <c r="FT55" s="730"/>
      <c r="FU55" s="730"/>
      <c r="FV55" s="730"/>
      <c r="FW55" s="730"/>
      <c r="FX55" s="730"/>
      <c r="FY55" s="730"/>
      <c r="FZ55" s="730"/>
      <c r="GA55" s="730"/>
      <c r="GB55" s="730"/>
      <c r="GC55" s="730"/>
      <c r="GD55" s="730"/>
      <c r="GE55" s="730"/>
      <c r="GF55" s="730"/>
      <c r="GG55" s="730"/>
      <c r="GH55" s="730"/>
      <c r="GI55" s="730"/>
      <c r="GJ55" s="730"/>
      <c r="GK55" s="730"/>
      <c r="GL55" s="730"/>
      <c r="GM55" s="730"/>
      <c r="GN55" s="730"/>
      <c r="GO55" s="730"/>
      <c r="GP55" s="730"/>
      <c r="GQ55" s="730"/>
      <c r="GR55" s="730"/>
      <c r="GS55" s="730"/>
      <c r="GT55" s="730"/>
      <c r="GU55" s="730"/>
      <c r="GV55" s="730"/>
      <c r="GW55" s="730"/>
      <c r="GX55" s="730"/>
      <c r="GY55" s="730"/>
      <c r="GZ55" s="730"/>
      <c r="HA55" s="730"/>
      <c r="HB55" s="730"/>
      <c r="HC55" s="730"/>
      <c r="HD55" s="730"/>
      <c r="HE55" s="730"/>
      <c r="HF55" s="730"/>
      <c r="HG55" s="730"/>
      <c r="HH55" s="730"/>
      <c r="HI55" s="730"/>
      <c r="HJ55" s="730"/>
      <c r="HK55" s="730"/>
      <c r="HL55" s="730"/>
      <c r="HM55" s="730"/>
      <c r="HN55" s="730"/>
      <c r="HO55" s="730"/>
      <c r="HP55" s="730"/>
      <c r="HQ55" s="730"/>
      <c r="HR55" s="730"/>
      <c r="HS55" s="730"/>
      <c r="HT55" s="730"/>
      <c r="HU55" s="730"/>
      <c r="HV55" s="730"/>
      <c r="HW55" s="730"/>
      <c r="HX55" s="730"/>
      <c r="HY55" s="730"/>
      <c r="HZ55" s="730"/>
      <c r="IA55" s="730"/>
      <c r="IB55" s="730"/>
      <c r="IC55" s="730"/>
      <c r="ID55" s="730"/>
      <c r="IE55" s="730"/>
      <c r="IF55" s="730"/>
      <c r="IG55" s="730"/>
      <c r="IH55" s="730"/>
      <c r="II55" s="730"/>
      <c r="IJ55" s="730"/>
      <c r="IK55" s="730"/>
      <c r="IL55" s="730"/>
      <c r="IM55" s="730"/>
      <c r="IN55" s="730"/>
      <c r="IO55" s="730"/>
      <c r="IP55" s="730"/>
      <c r="IQ55" s="730"/>
      <c r="IR55" s="730"/>
      <c r="IS55" s="730"/>
      <c r="IT55" s="730"/>
      <c r="IU55" s="730"/>
    </row>
    <row r="56" spans="1:255" ht="15.75" x14ac:dyDescent="0.25">
      <c r="B56" s="734"/>
      <c r="C56" s="666"/>
      <c r="D56" s="736"/>
      <c r="E56" s="736"/>
      <c r="F56" s="736"/>
      <c r="G56" s="736"/>
      <c r="H56" s="736"/>
      <c r="I56" s="736"/>
      <c r="J56" s="736"/>
      <c r="K56" s="736"/>
      <c r="L56" s="736"/>
      <c r="M56" s="736"/>
      <c r="N56" s="736"/>
      <c r="O56" s="736"/>
      <c r="P56" s="736"/>
      <c r="Q56" s="736"/>
      <c r="R56" s="736"/>
      <c r="S56" s="736"/>
      <c r="T56" s="736"/>
      <c r="U56" s="736"/>
      <c r="V56" s="736"/>
      <c r="W56" s="736"/>
      <c r="X56" s="736"/>
      <c r="Y56" s="736"/>
      <c r="Z56" s="736"/>
      <c r="AA56" s="736"/>
      <c r="AB56" s="736"/>
      <c r="AC56" s="736"/>
      <c r="AD56" s="736"/>
      <c r="AE56" s="736"/>
      <c r="AF56" s="736"/>
      <c r="AG56" s="736"/>
      <c r="AH56" s="736"/>
      <c r="AI56" s="736"/>
      <c r="AJ56" s="736"/>
      <c r="AK56" s="736"/>
      <c r="AL56" s="736"/>
      <c r="AM56" s="736"/>
      <c r="AN56" s="736"/>
      <c r="AO56" s="736"/>
      <c r="AP56" s="736"/>
      <c r="AQ56" s="736"/>
      <c r="AR56" s="736"/>
      <c r="AS56" s="736"/>
      <c r="AT56" s="736"/>
      <c r="AU56" s="736"/>
      <c r="AV56" s="736"/>
      <c r="AW56" s="736"/>
      <c r="AX56" s="736"/>
      <c r="AY56" s="736"/>
      <c r="AZ56" s="736"/>
      <c r="BA56" s="736"/>
      <c r="BB56" s="736"/>
      <c r="BC56" s="736"/>
      <c r="BD56" s="736"/>
      <c r="BE56" s="736"/>
      <c r="BF56" s="736"/>
      <c r="BG56" s="736"/>
      <c r="BH56" s="736"/>
      <c r="BI56" s="736"/>
      <c r="BJ56" s="736"/>
      <c r="BK56" s="736"/>
      <c r="BL56" s="736"/>
      <c r="BM56" s="736"/>
      <c r="BN56" s="736"/>
      <c r="BO56" s="736"/>
      <c r="BP56" s="736"/>
      <c r="BQ56" s="736"/>
      <c r="BR56" s="736"/>
      <c r="BS56" s="736"/>
      <c r="BT56" s="736"/>
      <c r="BU56" s="736"/>
      <c r="BV56" s="736"/>
      <c r="BW56" s="736"/>
      <c r="BX56" s="736"/>
      <c r="BY56" s="736"/>
      <c r="BZ56" s="736"/>
      <c r="CA56" s="736"/>
      <c r="CB56" s="736"/>
      <c r="CC56" s="736"/>
      <c r="CD56" s="736"/>
      <c r="CE56" s="736"/>
      <c r="CF56" s="736"/>
      <c r="CG56" s="736"/>
      <c r="CH56" s="736"/>
      <c r="CI56" s="736"/>
      <c r="CJ56" s="736"/>
      <c r="CK56" s="736"/>
      <c r="CL56" s="736"/>
      <c r="CM56" s="736"/>
      <c r="CN56" s="736"/>
      <c r="CO56" s="736"/>
      <c r="CP56" s="736"/>
      <c r="CQ56" s="736"/>
      <c r="CR56" s="736"/>
      <c r="CS56" s="736"/>
      <c r="CT56" s="736"/>
      <c r="CU56" s="736"/>
      <c r="CV56" s="736"/>
      <c r="CW56" s="736"/>
      <c r="CX56" s="736"/>
      <c r="CY56" s="736"/>
      <c r="CZ56" s="736"/>
      <c r="DA56" s="736"/>
      <c r="DB56" s="736"/>
      <c r="DC56" s="736"/>
      <c r="DD56" s="736"/>
      <c r="DE56" s="736"/>
      <c r="DF56" s="736"/>
      <c r="DG56" s="736"/>
      <c r="DH56" s="736"/>
      <c r="DI56" s="736"/>
      <c r="DJ56" s="736"/>
      <c r="DK56" s="736"/>
      <c r="DL56" s="736"/>
      <c r="DM56" s="736"/>
      <c r="DN56" s="736"/>
      <c r="DO56" s="736"/>
      <c r="DP56" s="736"/>
      <c r="DQ56" s="736"/>
      <c r="DR56" s="736"/>
      <c r="DS56" s="736"/>
      <c r="DT56" s="736"/>
      <c r="DU56" s="736"/>
      <c r="DV56" s="736"/>
      <c r="DW56" s="736"/>
      <c r="DX56" s="736"/>
      <c r="DY56" s="736"/>
      <c r="DZ56" s="736"/>
      <c r="EA56" s="736"/>
      <c r="EB56" s="736"/>
      <c r="EC56" s="736"/>
      <c r="ED56" s="736"/>
      <c r="EE56" s="736"/>
      <c r="EF56" s="736"/>
      <c r="EG56" s="736"/>
      <c r="EH56" s="736"/>
      <c r="EI56" s="736"/>
      <c r="EJ56" s="736"/>
      <c r="EK56" s="736"/>
      <c r="EL56" s="736"/>
      <c r="EM56" s="736"/>
      <c r="EN56" s="736"/>
      <c r="EO56" s="736"/>
      <c r="EP56" s="736"/>
      <c r="EQ56" s="736"/>
      <c r="ER56" s="736"/>
      <c r="ES56" s="736"/>
      <c r="ET56" s="736"/>
      <c r="EU56" s="736"/>
      <c r="EV56" s="736"/>
      <c r="EW56" s="736"/>
      <c r="EX56" s="736"/>
      <c r="EY56" s="736"/>
      <c r="EZ56" s="736"/>
      <c r="FA56" s="736"/>
      <c r="FB56" s="736"/>
      <c r="FC56" s="736"/>
      <c r="FD56" s="736"/>
      <c r="FE56" s="736"/>
      <c r="FF56" s="736"/>
      <c r="FG56" s="736"/>
      <c r="FH56" s="736"/>
      <c r="FI56" s="736"/>
      <c r="FJ56" s="736"/>
      <c r="FK56" s="736"/>
      <c r="FL56" s="736"/>
      <c r="FM56" s="736"/>
      <c r="FN56" s="736"/>
      <c r="FO56" s="736"/>
      <c r="FP56" s="736"/>
      <c r="FQ56" s="736"/>
      <c r="FR56" s="736"/>
      <c r="FS56" s="736"/>
      <c r="FT56" s="736"/>
      <c r="FU56" s="736"/>
      <c r="FV56" s="736"/>
      <c r="FW56" s="736"/>
      <c r="FX56" s="736"/>
      <c r="FY56" s="736"/>
      <c r="FZ56" s="736"/>
      <c r="GA56" s="736"/>
      <c r="GB56" s="736"/>
      <c r="GC56" s="736"/>
      <c r="GD56" s="736"/>
      <c r="GE56" s="736"/>
      <c r="GF56" s="736"/>
      <c r="GG56" s="736"/>
      <c r="GH56" s="736"/>
      <c r="GI56" s="736"/>
      <c r="GJ56" s="736"/>
      <c r="GK56" s="736"/>
      <c r="GL56" s="736"/>
      <c r="GM56" s="736"/>
      <c r="GN56" s="736"/>
      <c r="GO56" s="736"/>
      <c r="GP56" s="736"/>
      <c r="GQ56" s="736"/>
      <c r="GR56" s="736"/>
      <c r="GS56" s="736"/>
      <c r="GT56" s="736"/>
      <c r="GU56" s="736"/>
      <c r="GV56" s="736"/>
      <c r="GW56" s="736"/>
      <c r="GX56" s="736"/>
      <c r="GY56" s="736"/>
      <c r="GZ56" s="736"/>
      <c r="HA56" s="736"/>
      <c r="HB56" s="736"/>
      <c r="HC56" s="736"/>
      <c r="HD56" s="736"/>
      <c r="HE56" s="736"/>
      <c r="HF56" s="736"/>
      <c r="HG56" s="736"/>
      <c r="HH56" s="736"/>
      <c r="HI56" s="736"/>
      <c r="HJ56" s="736"/>
      <c r="HK56" s="736"/>
      <c r="HL56" s="736"/>
      <c r="HM56" s="736"/>
      <c r="HN56" s="736"/>
      <c r="HO56" s="736"/>
      <c r="HP56" s="736"/>
      <c r="HQ56" s="736"/>
      <c r="HR56" s="736"/>
      <c r="HS56" s="736"/>
      <c r="HT56" s="736"/>
      <c r="HU56" s="736"/>
      <c r="HV56" s="736"/>
      <c r="HW56" s="736"/>
      <c r="HX56" s="736"/>
      <c r="HY56" s="736"/>
      <c r="HZ56" s="736"/>
      <c r="IA56" s="736"/>
      <c r="IB56" s="736"/>
      <c r="IC56" s="736"/>
      <c r="ID56" s="736"/>
      <c r="IE56" s="736"/>
      <c r="IF56" s="736"/>
      <c r="IG56" s="736"/>
      <c r="IH56" s="736"/>
      <c r="II56" s="736"/>
      <c r="IJ56" s="736"/>
      <c r="IK56" s="736"/>
      <c r="IL56" s="736"/>
      <c r="IM56" s="736"/>
      <c r="IN56" s="736"/>
      <c r="IO56" s="736"/>
      <c r="IP56" s="736"/>
      <c r="IQ56" s="736"/>
      <c r="IR56" s="736"/>
      <c r="IS56" s="736"/>
      <c r="IT56" s="736"/>
      <c r="IU56" s="736"/>
    </row>
    <row r="57" spans="1:255" x14ac:dyDescent="0.25">
      <c r="B57" s="737"/>
      <c r="C57" s="737"/>
    </row>
    <row r="58" spans="1:255" x14ac:dyDescent="0.25">
      <c r="B58" s="737"/>
      <c r="C58" s="737"/>
    </row>
    <row r="59" spans="1:255" x14ac:dyDescent="0.25">
      <c r="B59" s="737"/>
      <c r="C59" s="737"/>
    </row>
    <row r="60" spans="1:255" x14ac:dyDescent="0.25">
      <c r="B60" s="737"/>
      <c r="C60" s="737"/>
    </row>
    <row r="61" spans="1:255" x14ac:dyDescent="0.25">
      <c r="B61" s="737"/>
      <c r="C61" s="737"/>
    </row>
    <row r="62" spans="1:255" x14ac:dyDescent="0.25">
      <c r="B62" s="737"/>
      <c r="C62" s="737"/>
    </row>
    <row r="63" spans="1:255" x14ac:dyDescent="0.25">
      <c r="B63" s="737"/>
      <c r="C63" s="737"/>
    </row>
    <row r="64" spans="1:255" x14ac:dyDescent="0.25">
      <c r="B64" s="737"/>
      <c r="C64" s="737"/>
    </row>
    <row r="65" spans="2:3" x14ac:dyDescent="0.25">
      <c r="B65" s="737"/>
      <c r="C65" s="737"/>
    </row>
    <row r="66" spans="2:3" x14ac:dyDescent="0.25">
      <c r="B66" s="737"/>
      <c r="C66" s="737"/>
    </row>
    <row r="67" spans="2:3" x14ac:dyDescent="0.25">
      <c r="B67" s="737"/>
      <c r="C67" s="737"/>
    </row>
    <row r="68" spans="2:3" x14ac:dyDescent="0.25">
      <c r="B68" s="737"/>
      <c r="C68" s="737"/>
    </row>
    <row r="69" spans="2:3" x14ac:dyDescent="0.25">
      <c r="B69" s="737"/>
      <c r="C69" s="737"/>
    </row>
    <row r="70" spans="2:3" x14ac:dyDescent="0.25">
      <c r="B70" s="737"/>
      <c r="C70" s="737"/>
    </row>
    <row r="71" spans="2:3" x14ac:dyDescent="0.25">
      <c r="B71" s="737"/>
      <c r="C71" s="737"/>
    </row>
    <row r="72" spans="2:3" x14ac:dyDescent="0.25">
      <c r="B72" s="737"/>
      <c r="C72" s="737"/>
    </row>
    <row r="73" spans="2:3" x14ac:dyDescent="0.25">
      <c r="B73" s="737"/>
      <c r="C73" s="737"/>
    </row>
    <row r="74" spans="2:3" x14ac:dyDescent="0.25">
      <c r="B74" s="737"/>
      <c r="C74" s="737"/>
    </row>
    <row r="75" spans="2:3" x14ac:dyDescent="0.25">
      <c r="B75" s="737"/>
      <c r="C75" s="737"/>
    </row>
    <row r="76" spans="2:3" x14ac:dyDescent="0.25">
      <c r="B76" s="737"/>
      <c r="C76" s="737"/>
    </row>
    <row r="77" spans="2:3" x14ac:dyDescent="0.25">
      <c r="B77" s="737"/>
      <c r="C77" s="737"/>
    </row>
    <row r="78" spans="2:3" x14ac:dyDescent="0.25">
      <c r="B78" s="737"/>
      <c r="C78" s="737"/>
    </row>
    <row r="79" spans="2:3" x14ac:dyDescent="0.25">
      <c r="B79" s="737"/>
      <c r="C79" s="737"/>
    </row>
    <row r="80" spans="2:3" x14ac:dyDescent="0.25">
      <c r="B80" s="737"/>
      <c r="C80" s="737"/>
    </row>
    <row r="81" spans="2:3" x14ac:dyDescent="0.25">
      <c r="B81" s="737"/>
      <c r="C81" s="737"/>
    </row>
    <row r="82" spans="2:3" x14ac:dyDescent="0.25">
      <c r="B82" s="737"/>
      <c r="C82" s="737"/>
    </row>
    <row r="83" spans="2:3" x14ac:dyDescent="0.25">
      <c r="B83" s="737"/>
      <c r="C83" s="737"/>
    </row>
    <row r="84" spans="2:3" x14ac:dyDescent="0.25">
      <c r="B84" s="737"/>
      <c r="C84" s="737"/>
    </row>
    <row r="85" spans="2:3" x14ac:dyDescent="0.25">
      <c r="B85" s="737"/>
      <c r="C85" s="737"/>
    </row>
    <row r="86" spans="2:3" x14ac:dyDescent="0.25">
      <c r="B86" s="737"/>
      <c r="C86" s="737"/>
    </row>
    <row r="87" spans="2:3" x14ac:dyDescent="0.25">
      <c r="B87" s="737"/>
      <c r="C87" s="737"/>
    </row>
    <row r="88" spans="2:3" x14ac:dyDescent="0.25">
      <c r="B88" s="737"/>
      <c r="C88" s="737"/>
    </row>
    <row r="89" spans="2:3" x14ac:dyDescent="0.25">
      <c r="B89" s="737"/>
      <c r="C89" s="737"/>
    </row>
    <row r="90" spans="2:3" x14ac:dyDescent="0.25">
      <c r="B90" s="737"/>
      <c r="C90" s="737"/>
    </row>
    <row r="91" spans="2:3" x14ac:dyDescent="0.25">
      <c r="B91" s="737"/>
      <c r="C91" s="737"/>
    </row>
    <row r="92" spans="2:3" x14ac:dyDescent="0.25">
      <c r="B92" s="737"/>
      <c r="C92" s="737"/>
    </row>
    <row r="93" spans="2:3" x14ac:dyDescent="0.25">
      <c r="B93" s="737"/>
      <c r="C93" s="737"/>
    </row>
    <row r="94" spans="2:3" x14ac:dyDescent="0.25">
      <c r="B94" s="737"/>
      <c r="C94" s="737"/>
    </row>
    <row r="95" spans="2:3" x14ac:dyDescent="0.25">
      <c r="B95" s="737"/>
      <c r="C95" s="737"/>
    </row>
    <row r="96" spans="2:3" x14ac:dyDescent="0.25">
      <c r="B96" s="737"/>
      <c r="C96" s="737"/>
    </row>
    <row r="97" spans="2:3" x14ac:dyDescent="0.25">
      <c r="B97" s="737"/>
      <c r="C97" s="737"/>
    </row>
    <row r="98" spans="2:3" x14ac:dyDescent="0.25">
      <c r="B98" s="737"/>
      <c r="C98" s="737"/>
    </row>
    <row r="99" spans="2:3" x14ac:dyDescent="0.25">
      <c r="B99" s="737"/>
      <c r="C99" s="737"/>
    </row>
    <row r="100" spans="2:3" x14ac:dyDescent="0.25">
      <c r="B100" s="737"/>
      <c r="C100" s="737"/>
    </row>
    <row r="101" spans="2:3" x14ac:dyDescent="0.25">
      <c r="B101" s="737"/>
      <c r="C101" s="737"/>
    </row>
    <row r="102" spans="2:3" x14ac:dyDescent="0.25">
      <c r="B102" s="737"/>
      <c r="C102" s="737"/>
    </row>
    <row r="103" spans="2:3" x14ac:dyDescent="0.25">
      <c r="B103" s="737"/>
      <c r="C103" s="737"/>
    </row>
    <row r="104" spans="2:3" x14ac:dyDescent="0.25">
      <c r="B104" s="737"/>
      <c r="C104" s="737"/>
    </row>
    <row r="105" spans="2:3" x14ac:dyDescent="0.25">
      <c r="B105" s="737"/>
      <c r="C105" s="737"/>
    </row>
    <row r="106" spans="2:3" x14ac:dyDescent="0.25">
      <c r="B106" s="737"/>
      <c r="C106" s="737"/>
    </row>
    <row r="107" spans="2:3" x14ac:dyDescent="0.25">
      <c r="B107" s="737"/>
      <c r="C107" s="737"/>
    </row>
    <row r="108" spans="2:3" x14ac:dyDescent="0.25">
      <c r="B108" s="737"/>
      <c r="C108" s="737"/>
    </row>
    <row r="109" spans="2:3" x14ac:dyDescent="0.25">
      <c r="B109" s="737"/>
      <c r="C109" s="737"/>
    </row>
    <row r="110" spans="2:3" x14ac:dyDescent="0.25">
      <c r="B110" s="737"/>
      <c r="C110" s="737"/>
    </row>
    <row r="111" spans="2:3" x14ac:dyDescent="0.25">
      <c r="B111" s="737"/>
      <c r="C111" s="737"/>
    </row>
    <row r="112" spans="2:3" x14ac:dyDescent="0.25">
      <c r="B112" s="737"/>
      <c r="C112" s="737"/>
    </row>
    <row r="113" spans="2:3" x14ac:dyDescent="0.25">
      <c r="B113" s="737"/>
      <c r="C113" s="737"/>
    </row>
    <row r="114" spans="2:3" x14ac:dyDescent="0.25">
      <c r="B114" s="737"/>
      <c r="C114" s="737"/>
    </row>
    <row r="115" spans="2:3" x14ac:dyDescent="0.25">
      <c r="B115" s="737"/>
      <c r="C115" s="737"/>
    </row>
    <row r="116" spans="2:3" x14ac:dyDescent="0.25">
      <c r="B116" s="737"/>
      <c r="C116" s="737"/>
    </row>
    <row r="117" spans="2:3" x14ac:dyDescent="0.25">
      <c r="B117" s="737"/>
      <c r="C117" s="737"/>
    </row>
    <row r="118" spans="2:3" x14ac:dyDescent="0.25">
      <c r="B118" s="737"/>
      <c r="C118" s="737"/>
    </row>
    <row r="119" spans="2:3" x14ac:dyDescent="0.25">
      <c r="B119" s="737"/>
      <c r="C119" s="737"/>
    </row>
    <row r="120" spans="2:3" x14ac:dyDescent="0.25">
      <c r="B120" s="737"/>
      <c r="C120" s="737"/>
    </row>
    <row r="121" spans="2:3" x14ac:dyDescent="0.25">
      <c r="B121" s="737"/>
      <c r="C121" s="737"/>
    </row>
    <row r="122" spans="2:3" x14ac:dyDescent="0.25">
      <c r="B122" s="737"/>
      <c r="C122" s="737"/>
    </row>
    <row r="123" spans="2:3" x14ac:dyDescent="0.25">
      <c r="B123" s="737"/>
      <c r="C123" s="737"/>
    </row>
    <row r="124" spans="2:3" x14ac:dyDescent="0.25">
      <c r="B124" s="737"/>
      <c r="C124" s="737"/>
    </row>
    <row r="125" spans="2:3" x14ac:dyDescent="0.25">
      <c r="B125" s="737"/>
      <c r="C125" s="737"/>
    </row>
    <row r="126" spans="2:3" x14ac:dyDescent="0.25">
      <c r="B126" s="737"/>
      <c r="C126" s="737"/>
    </row>
    <row r="127" spans="2:3" x14ac:dyDescent="0.25">
      <c r="B127" s="737"/>
      <c r="C127" s="737"/>
    </row>
    <row r="128" spans="2:3" x14ac:dyDescent="0.25">
      <c r="B128" s="737"/>
      <c r="C128" s="737"/>
    </row>
    <row r="129" spans="2:3" x14ac:dyDescent="0.25">
      <c r="B129" s="737"/>
      <c r="C129" s="737"/>
    </row>
    <row r="130" spans="2:3" x14ac:dyDescent="0.25">
      <c r="B130" s="737"/>
      <c r="C130" s="737"/>
    </row>
    <row r="131" spans="2:3" x14ac:dyDescent="0.25">
      <c r="B131" s="737"/>
      <c r="C131" s="737"/>
    </row>
    <row r="132" spans="2:3" x14ac:dyDescent="0.25">
      <c r="B132" s="737"/>
      <c r="C132" s="737"/>
    </row>
    <row r="133" spans="2:3" x14ac:dyDescent="0.25">
      <c r="B133" s="737"/>
      <c r="C133" s="737"/>
    </row>
    <row r="134" spans="2:3" x14ac:dyDescent="0.25">
      <c r="B134" s="737"/>
      <c r="C134" s="737"/>
    </row>
    <row r="135" spans="2:3" x14ac:dyDescent="0.25">
      <c r="B135" s="737"/>
      <c r="C135" s="737"/>
    </row>
    <row r="136" spans="2:3" x14ac:dyDescent="0.25">
      <c r="B136" s="737"/>
      <c r="C136" s="737"/>
    </row>
    <row r="137" spans="2:3" x14ac:dyDescent="0.25">
      <c r="B137" s="737"/>
      <c r="C137" s="737"/>
    </row>
    <row r="138" spans="2:3" x14ac:dyDescent="0.25">
      <c r="B138" s="737"/>
      <c r="C138" s="737"/>
    </row>
    <row r="139" spans="2:3" x14ac:dyDescent="0.25">
      <c r="B139" s="737"/>
      <c r="C139" s="737"/>
    </row>
    <row r="140" spans="2:3" x14ac:dyDescent="0.25">
      <c r="B140" s="737"/>
      <c r="C140" s="737"/>
    </row>
    <row r="141" spans="2:3" x14ac:dyDescent="0.25">
      <c r="B141" s="737"/>
      <c r="C141" s="737"/>
    </row>
    <row r="142" spans="2:3" x14ac:dyDescent="0.25">
      <c r="B142" s="737"/>
      <c r="C142" s="737"/>
    </row>
    <row r="143" spans="2:3" x14ac:dyDescent="0.25">
      <c r="B143" s="737"/>
      <c r="C143" s="737"/>
    </row>
    <row r="144" spans="2:3" x14ac:dyDescent="0.25">
      <c r="B144" s="737"/>
      <c r="C144" s="737"/>
    </row>
    <row r="145" spans="2:3" x14ac:dyDescent="0.25">
      <c r="B145" s="737"/>
      <c r="C145" s="737"/>
    </row>
    <row r="146" spans="2:3" x14ac:dyDescent="0.25">
      <c r="B146" s="737"/>
      <c r="C146" s="737"/>
    </row>
    <row r="147" spans="2:3" x14ac:dyDescent="0.25">
      <c r="B147" s="737"/>
      <c r="C147" s="737"/>
    </row>
    <row r="148" spans="2:3" x14ac:dyDescent="0.25">
      <c r="B148" s="737"/>
      <c r="C148" s="737"/>
    </row>
  </sheetData>
  <mergeCells count="10">
    <mergeCell ref="A44:C44"/>
    <mergeCell ref="A45:C45"/>
    <mergeCell ref="A46:C46"/>
    <mergeCell ref="A47:C47"/>
    <mergeCell ref="A1:C1"/>
    <mergeCell ref="A2:C2"/>
    <mergeCell ref="A3:C3"/>
    <mergeCell ref="A4:C4"/>
    <mergeCell ref="A6:C6"/>
    <mergeCell ref="A43:C43"/>
  </mergeCells>
  <printOptions horizontalCentered="1"/>
  <pageMargins left="0.31496062992125984" right="0.31496062992125984" top="0.19685039370078741" bottom="0.19685039370078741" header="0.31496062992125984" footer="0.31496062992125984"/>
  <pageSetup scale="77" orientation="portrait" horizontalDpi="4294967295" verticalDpi="4294967295"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R138"/>
  <sheetViews>
    <sheetView showGridLines="0" tabSelected="1" zoomScaleNormal="100" workbookViewId="0">
      <selection activeCell="D6" sqref="D6"/>
    </sheetView>
  </sheetViews>
  <sheetFormatPr baseColWidth="10" defaultColWidth="17.875" defaultRowHeight="15" x14ac:dyDescent="0.25"/>
  <cols>
    <col min="1" max="1" width="39.375" style="551" customWidth="1"/>
    <col min="2" max="2" width="18" style="551" customWidth="1"/>
    <col min="3" max="3" width="20.625" style="551" customWidth="1"/>
    <col min="4" max="4" width="18.25" style="551" customWidth="1"/>
    <col min="5" max="5" width="17" style="1230" customWidth="1"/>
    <col min="6" max="6" width="15.375" style="551" customWidth="1"/>
    <col min="7" max="236" width="11.375" style="551" customWidth="1"/>
    <col min="237" max="237" width="44" style="551" customWidth="1"/>
    <col min="238" max="238" width="19.625" style="551" customWidth="1"/>
    <col min="239" max="239" width="25.625" style="551" customWidth="1"/>
    <col min="240" max="240" width="14.125" style="551" bestFit="1" customWidth="1"/>
    <col min="241" max="245" width="0" style="551" hidden="1" customWidth="1"/>
    <col min="246" max="246" width="59" style="551" customWidth="1"/>
    <col min="247" max="247" width="18.25" style="551" bestFit="1" customWidth="1"/>
    <col min="248" max="248" width="20.75" style="551" bestFit="1" customWidth="1"/>
    <col min="249" max="249" width="21.125" style="551" customWidth="1"/>
    <col min="250" max="250" width="17.875" style="551" bestFit="1" customWidth="1"/>
    <col min="251" max="251" width="18.25" style="551" customWidth="1"/>
    <col min="252" max="16384" width="17.875" style="551"/>
  </cols>
  <sheetData>
    <row r="1" spans="1:10" x14ac:dyDescent="0.25">
      <c r="A1" s="1449" t="s">
        <v>1109</v>
      </c>
      <c r="B1" s="1449"/>
      <c r="C1" s="1449"/>
    </row>
    <row r="2" spans="1:10" x14ac:dyDescent="0.25">
      <c r="A2" s="1449" t="s">
        <v>1076</v>
      </c>
      <c r="B2" s="1449"/>
      <c r="C2" s="1449"/>
    </row>
    <row r="3" spans="1:10" x14ac:dyDescent="0.25">
      <c r="A3" s="1449" t="s">
        <v>1122</v>
      </c>
      <c r="B3" s="1449"/>
      <c r="C3" s="1449"/>
    </row>
    <row r="4" spans="1:10" x14ac:dyDescent="0.25">
      <c r="A4" s="1449" t="s">
        <v>1075</v>
      </c>
      <c r="B4" s="1449"/>
      <c r="C4" s="1449"/>
    </row>
    <row r="5" spans="1:10" x14ac:dyDescent="0.25">
      <c r="A5" s="673"/>
      <c r="B5" s="673"/>
      <c r="C5" s="673"/>
      <c r="D5" s="673"/>
      <c r="E5" s="1231"/>
      <c r="F5" s="674"/>
      <c r="G5" s="674"/>
      <c r="H5" s="674"/>
      <c r="I5" s="674"/>
      <c r="J5" s="675"/>
    </row>
    <row r="6" spans="1:10" ht="74.25" customHeight="1" x14ac:dyDescent="0.25">
      <c r="A6" s="1450" t="s">
        <v>1123</v>
      </c>
      <c r="B6" s="1451"/>
      <c r="C6" s="1451"/>
      <c r="E6" s="1232"/>
    </row>
    <row r="7" spans="1:10" x14ac:dyDescent="0.25">
      <c r="A7" s="676"/>
      <c r="B7" s="676"/>
      <c r="C7" s="676"/>
      <c r="D7" s="677"/>
      <c r="E7" s="1233"/>
      <c r="F7" s="677"/>
      <c r="G7" s="677"/>
      <c r="H7" s="677"/>
      <c r="I7" s="677"/>
      <c r="J7" s="677"/>
    </row>
    <row r="8" spans="1:10" ht="20.100000000000001" customHeight="1" x14ac:dyDescent="0.25">
      <c r="A8" s="1284" t="s">
        <v>620</v>
      </c>
      <c r="B8" s="1285">
        <v>1</v>
      </c>
      <c r="C8" s="676"/>
      <c r="D8" s="677"/>
      <c r="E8" s="1233"/>
      <c r="F8" s="677"/>
      <c r="G8" s="677"/>
      <c r="H8" s="677"/>
      <c r="I8" s="677"/>
      <c r="J8" s="677"/>
    </row>
    <row r="9" spans="1:10" ht="20.100000000000001" hidden="1" customHeight="1" x14ac:dyDescent="0.25">
      <c r="A9" s="678" t="s">
        <v>640</v>
      </c>
      <c r="B9" s="679">
        <v>110</v>
      </c>
      <c r="C9" s="676"/>
      <c r="D9" s="677"/>
      <c r="E9" s="1233"/>
      <c r="F9" s="677"/>
      <c r="G9" s="677"/>
      <c r="H9" s="677"/>
      <c r="I9" s="677"/>
      <c r="J9" s="677"/>
    </row>
    <row r="10" spans="1:10" ht="20.100000000000001" hidden="1" customHeight="1" x14ac:dyDescent="0.25">
      <c r="A10" s="680" t="s">
        <v>621</v>
      </c>
      <c r="B10" s="681">
        <v>1</v>
      </c>
      <c r="C10" s="676"/>
      <c r="D10" s="677"/>
      <c r="E10" s="1233"/>
      <c r="F10" s="677"/>
      <c r="G10" s="677"/>
      <c r="H10" s="677"/>
      <c r="I10" s="677"/>
      <c r="J10" s="677"/>
    </row>
    <row r="11" spans="1:10" ht="20.100000000000001" hidden="1" customHeight="1" thickBot="1" x14ac:dyDescent="0.3">
      <c r="A11" s="682" t="s">
        <v>622</v>
      </c>
      <c r="B11" s="683" t="e">
        <f>+#REF!/B10</f>
        <v>#REF!</v>
      </c>
      <c r="C11" s="676"/>
      <c r="D11" s="677"/>
      <c r="E11" s="1233"/>
      <c r="F11" s="677"/>
      <c r="G11" s="677"/>
      <c r="H11" s="677"/>
      <c r="I11" s="677"/>
      <c r="J11" s="677"/>
    </row>
    <row r="12" spans="1:10" ht="8.25" customHeight="1" x14ac:dyDescent="0.25">
      <c r="A12" s="676"/>
      <c r="B12" s="676"/>
      <c r="C12" s="676"/>
      <c r="D12" s="677"/>
      <c r="E12" s="1233"/>
      <c r="F12" s="677"/>
      <c r="G12" s="677"/>
      <c r="H12" s="677"/>
      <c r="I12" s="677"/>
      <c r="J12" s="677"/>
    </row>
    <row r="13" spans="1:10" ht="21.75" customHeight="1" thickBot="1" x14ac:dyDescent="0.3">
      <c r="A13" s="761" t="s">
        <v>1115</v>
      </c>
    </row>
    <row r="14" spans="1:10" ht="27.75" customHeight="1" x14ac:dyDescent="0.25">
      <c r="A14" s="1246" t="s">
        <v>71</v>
      </c>
      <c r="B14" s="1247" t="s">
        <v>1093</v>
      </c>
      <c r="C14" s="1249" t="s">
        <v>1092</v>
      </c>
      <c r="D14" s="1447" t="s">
        <v>1072</v>
      </c>
      <c r="E14" s="1448"/>
    </row>
    <row r="15" spans="1:10" s="1226" customFormat="1" ht="27.75" customHeight="1" x14ac:dyDescent="0.25">
      <c r="A15" s="1286" t="s">
        <v>624</v>
      </c>
      <c r="B15" s="1248"/>
      <c r="C15" s="1250"/>
      <c r="D15" s="1251" t="s">
        <v>1073</v>
      </c>
      <c r="E15" s="1234" t="s">
        <v>1074</v>
      </c>
    </row>
    <row r="16" spans="1:10" ht="20.100000000000001" customHeight="1" x14ac:dyDescent="0.25">
      <c r="A16" s="1279" t="s">
        <v>207</v>
      </c>
      <c r="B16" s="1280">
        <f>RH!G14</f>
        <v>0</v>
      </c>
      <c r="C16" s="1225"/>
      <c r="D16" s="1224"/>
      <c r="E16" s="1235"/>
    </row>
    <row r="17" spans="1:5" ht="20.100000000000001" customHeight="1" x14ac:dyDescent="0.25">
      <c r="A17" s="1178" t="s">
        <v>1118</v>
      </c>
      <c r="B17" s="1223">
        <f>Actividades!E6</f>
        <v>0</v>
      </c>
      <c r="C17" s="1225"/>
      <c r="D17" s="1224"/>
      <c r="E17" s="1235"/>
    </row>
    <row r="18" spans="1:5" ht="20.100000000000001" customHeight="1" x14ac:dyDescent="0.25">
      <c r="A18" s="1178" t="s">
        <v>669</v>
      </c>
      <c r="B18" s="1223">
        <f>Transporte!N10</f>
        <v>0</v>
      </c>
      <c r="C18" s="1225"/>
      <c r="D18" s="1224"/>
      <c r="E18" s="1235"/>
    </row>
    <row r="19" spans="1:5" ht="20.100000000000001" customHeight="1" x14ac:dyDescent="0.25">
      <c r="A19" s="1178" t="s">
        <v>910</v>
      </c>
      <c r="B19" s="1223">
        <f>Dotacion!H18</f>
        <v>0</v>
      </c>
      <c r="C19" s="1225"/>
      <c r="D19" s="1224"/>
      <c r="E19" s="1235"/>
    </row>
    <row r="20" spans="1:5" ht="20.100000000000001" customHeight="1" x14ac:dyDescent="0.25">
      <c r="A20" s="1178" t="s">
        <v>1107</v>
      </c>
      <c r="B20" s="1223">
        <f>Alqul_Equip!J11</f>
        <v>0</v>
      </c>
      <c r="C20" s="1225"/>
      <c r="D20" s="1224"/>
      <c r="E20" s="1235"/>
    </row>
    <row r="21" spans="1:5" ht="20.100000000000001" customHeight="1" x14ac:dyDescent="0.25">
      <c r="A21" s="1178" t="s">
        <v>1070</v>
      </c>
      <c r="B21" s="1223">
        <f>Refrigerios!J10</f>
        <v>0</v>
      </c>
      <c r="C21" s="1225"/>
      <c r="D21" s="1224"/>
      <c r="E21" s="1235"/>
    </row>
    <row r="22" spans="1:5" ht="20.100000000000001" customHeight="1" x14ac:dyDescent="0.25">
      <c r="A22" s="1178" t="s">
        <v>1069</v>
      </c>
      <c r="B22" s="1223">
        <f>'Gestión documental'!F10</f>
        <v>0</v>
      </c>
      <c r="C22" s="1225"/>
      <c r="D22" s="1224"/>
      <c r="E22" s="1235"/>
    </row>
    <row r="23" spans="1:5" ht="22.5" customHeight="1" x14ac:dyDescent="0.25">
      <c r="A23" s="1273" t="s">
        <v>1102</v>
      </c>
      <c r="B23" s="1274">
        <f>SUM(D23:E23)</f>
        <v>0</v>
      </c>
      <c r="C23" s="1225"/>
      <c r="D23" s="1224"/>
      <c r="E23" s="1275"/>
    </row>
    <row r="24" spans="1:5" s="1226" customFormat="1" ht="24" customHeight="1" x14ac:dyDescent="0.25">
      <c r="A24" s="1276" t="s">
        <v>1106</v>
      </c>
      <c r="B24" s="1278">
        <f>SUM(D24:E24)</f>
        <v>0</v>
      </c>
      <c r="C24" s="1225"/>
      <c r="D24" s="1277"/>
      <c r="E24" s="1235"/>
    </row>
    <row r="25" spans="1:5" ht="71.25" customHeight="1" x14ac:dyDescent="0.25">
      <c r="A25" s="1254" t="s">
        <v>1105</v>
      </c>
      <c r="B25" s="1255">
        <f>SUM(B16:B24)</f>
        <v>0</v>
      </c>
      <c r="C25" s="1225"/>
      <c r="D25" s="1224"/>
      <c r="E25" s="1235"/>
    </row>
    <row r="26" spans="1:5" ht="20.100000000000001" hidden="1" customHeight="1" x14ac:dyDescent="0.25">
      <c r="A26" s="695" t="s">
        <v>629</v>
      </c>
      <c r="B26" s="1223">
        <f>+C26/$B$8</f>
        <v>0</v>
      </c>
      <c r="C26" s="1225"/>
      <c r="D26" s="1224"/>
      <c r="E26" s="1235"/>
    </row>
    <row r="27" spans="1:5" ht="20.100000000000001" customHeight="1" x14ac:dyDescent="0.25">
      <c r="A27" s="703"/>
      <c r="B27" s="704"/>
      <c r="C27" s="704"/>
    </row>
    <row r="28" spans="1:5" ht="20.100000000000001" hidden="1" customHeight="1" x14ac:dyDescent="0.25">
      <c r="A28" s="705" t="s">
        <v>631</v>
      </c>
      <c r="B28" s="706"/>
      <c r="C28" s="707"/>
    </row>
    <row r="29" spans="1:5" ht="20.100000000000001" hidden="1" customHeight="1" x14ac:dyDescent="0.25">
      <c r="A29" s="708" t="s">
        <v>632</v>
      </c>
      <c r="B29" s="709"/>
      <c r="C29" s="710"/>
      <c r="D29" s="748"/>
    </row>
    <row r="30" spans="1:5" ht="25.5" hidden="1" customHeight="1" x14ac:dyDescent="0.25">
      <c r="A30" s="711" t="s">
        <v>5</v>
      </c>
      <c r="B30" s="712"/>
      <c r="C30" s="713"/>
    </row>
    <row r="31" spans="1:5" ht="30.75" hidden="1" customHeight="1" x14ac:dyDescent="0.25">
      <c r="A31" s="714" t="s">
        <v>633</v>
      </c>
      <c r="B31" s="712"/>
      <c r="C31" s="693"/>
      <c r="D31" s="748"/>
    </row>
    <row r="32" spans="1:5" ht="20.100000000000001" hidden="1" customHeight="1" thickBot="1" x14ac:dyDescent="0.3">
      <c r="A32" s="715" t="s">
        <v>634</v>
      </c>
      <c r="B32" s="716"/>
      <c r="C32" s="772"/>
      <c r="D32" s="905"/>
    </row>
    <row r="33" spans="1:252" ht="20.100000000000001" customHeight="1" x14ac:dyDescent="0.25">
      <c r="A33" s="675"/>
      <c r="B33" s="717"/>
      <c r="C33" s="717"/>
      <c r="D33" s="905"/>
    </row>
    <row r="34" spans="1:252" ht="20.100000000000001" hidden="1" customHeight="1" x14ac:dyDescent="0.25">
      <c r="A34" s="718" t="s">
        <v>635</v>
      </c>
      <c r="B34" s="719"/>
      <c r="C34" s="719">
        <v>6267000000</v>
      </c>
    </row>
    <row r="35" spans="1:252" ht="20.100000000000001" hidden="1" customHeight="1" thickBot="1" x14ac:dyDescent="0.3">
      <c r="A35" s="721" t="s">
        <v>636</v>
      </c>
      <c r="B35" s="722"/>
      <c r="C35" s="723" t="e">
        <f>+C34-#REF!</f>
        <v>#REF!</v>
      </c>
      <c r="D35" s="690"/>
    </row>
    <row r="36" spans="1:252" hidden="1" x14ac:dyDescent="0.25">
      <c r="A36" s="724"/>
      <c r="B36" s="725"/>
      <c r="C36" s="699">
        <f>2316796953+368466018</f>
        <v>2685262971</v>
      </c>
      <c r="D36" s="690"/>
    </row>
    <row r="37" spans="1:252" hidden="1" x14ac:dyDescent="0.25">
      <c r="A37" s="666"/>
      <c r="B37" s="726"/>
      <c r="C37" s="699">
        <f>+C36-C32</f>
        <v>2685262971</v>
      </c>
      <c r="D37" s="690"/>
    </row>
    <row r="38" spans="1:252" ht="15.75" x14ac:dyDescent="0.25">
      <c r="B38" s="729"/>
      <c r="C38" s="729"/>
      <c r="D38" s="730"/>
      <c r="E38" s="1236"/>
      <c r="F38" s="730"/>
      <c r="G38" s="730"/>
      <c r="H38" s="730"/>
      <c r="I38" s="730"/>
      <c r="J38" s="730"/>
      <c r="K38" s="730"/>
      <c r="L38" s="730"/>
      <c r="M38" s="730"/>
      <c r="N38" s="730"/>
      <c r="O38" s="730"/>
      <c r="P38" s="730"/>
      <c r="Q38" s="730"/>
      <c r="R38" s="730"/>
      <c r="S38" s="730"/>
      <c r="T38" s="730"/>
      <c r="U38" s="730"/>
      <c r="V38" s="730"/>
      <c r="W38" s="730"/>
      <c r="X38" s="730"/>
      <c r="Y38" s="730"/>
      <c r="Z38" s="730"/>
      <c r="AA38" s="730"/>
      <c r="AB38" s="730"/>
      <c r="AC38" s="730"/>
      <c r="AD38" s="730"/>
      <c r="AE38" s="730"/>
      <c r="AF38" s="730"/>
      <c r="AG38" s="730"/>
      <c r="AH38" s="730"/>
      <c r="AI38" s="730"/>
      <c r="AJ38" s="730"/>
      <c r="AK38" s="730"/>
      <c r="AL38" s="730"/>
      <c r="AM38" s="730"/>
      <c r="AN38" s="730"/>
      <c r="AO38" s="730"/>
      <c r="AP38" s="730"/>
      <c r="AQ38" s="730"/>
      <c r="AR38" s="730"/>
      <c r="AS38" s="730"/>
      <c r="AT38" s="730"/>
      <c r="AU38" s="730"/>
      <c r="AV38" s="730"/>
      <c r="AW38" s="730"/>
      <c r="AX38" s="730"/>
      <c r="AY38" s="730"/>
      <c r="AZ38" s="730"/>
      <c r="BA38" s="730"/>
      <c r="BB38" s="730"/>
      <c r="BC38" s="730"/>
      <c r="BD38" s="730"/>
      <c r="BE38" s="730"/>
      <c r="BF38" s="730"/>
      <c r="BG38" s="730"/>
      <c r="BH38" s="730"/>
      <c r="BI38" s="730"/>
      <c r="BJ38" s="730"/>
      <c r="BK38" s="730"/>
      <c r="BL38" s="730"/>
      <c r="BM38" s="730"/>
      <c r="BN38" s="730"/>
      <c r="BO38" s="730"/>
      <c r="BP38" s="730"/>
      <c r="BQ38" s="730"/>
      <c r="BR38" s="730"/>
      <c r="BS38" s="730"/>
      <c r="BT38" s="730"/>
      <c r="BU38" s="730"/>
      <c r="BV38" s="730"/>
      <c r="BW38" s="730"/>
      <c r="BX38" s="730"/>
      <c r="BY38" s="730"/>
      <c r="BZ38" s="730"/>
      <c r="CA38" s="730"/>
      <c r="CB38" s="730"/>
      <c r="CC38" s="730"/>
      <c r="CD38" s="730"/>
      <c r="CE38" s="730"/>
      <c r="CF38" s="730"/>
      <c r="CG38" s="730"/>
      <c r="CH38" s="730"/>
      <c r="CI38" s="730"/>
      <c r="CJ38" s="730"/>
      <c r="CK38" s="730"/>
      <c r="CL38" s="730"/>
      <c r="CM38" s="730"/>
      <c r="CN38" s="730"/>
      <c r="CO38" s="730"/>
      <c r="CP38" s="730"/>
      <c r="CQ38" s="730"/>
      <c r="CR38" s="730"/>
      <c r="CS38" s="730"/>
      <c r="CT38" s="730"/>
      <c r="CU38" s="730"/>
      <c r="CV38" s="730"/>
      <c r="CW38" s="730"/>
      <c r="CX38" s="730"/>
      <c r="CY38" s="730"/>
      <c r="CZ38" s="730"/>
      <c r="DA38" s="730"/>
      <c r="DB38" s="730"/>
      <c r="DC38" s="730"/>
      <c r="DD38" s="730"/>
      <c r="DE38" s="730"/>
      <c r="DF38" s="730"/>
      <c r="DG38" s="730"/>
      <c r="DH38" s="730"/>
      <c r="DI38" s="730"/>
      <c r="DJ38" s="730"/>
      <c r="DK38" s="730"/>
      <c r="DL38" s="730"/>
      <c r="DM38" s="730"/>
      <c r="DN38" s="730"/>
      <c r="DO38" s="730"/>
      <c r="DP38" s="730"/>
      <c r="DQ38" s="730"/>
      <c r="DR38" s="730"/>
      <c r="DS38" s="730"/>
      <c r="DT38" s="730"/>
      <c r="DU38" s="730"/>
      <c r="DV38" s="730"/>
      <c r="DW38" s="730"/>
      <c r="DX38" s="730"/>
      <c r="DY38" s="730"/>
      <c r="DZ38" s="730"/>
      <c r="EA38" s="730"/>
      <c r="EB38" s="730"/>
      <c r="EC38" s="730"/>
      <c r="ED38" s="730"/>
      <c r="EE38" s="730"/>
      <c r="EF38" s="730"/>
      <c r="EG38" s="730"/>
      <c r="EH38" s="730"/>
      <c r="EI38" s="730"/>
      <c r="EJ38" s="730"/>
      <c r="EK38" s="730"/>
      <c r="EL38" s="730"/>
      <c r="EM38" s="730"/>
      <c r="EN38" s="730"/>
      <c r="EO38" s="730"/>
      <c r="EP38" s="730"/>
      <c r="EQ38" s="730"/>
      <c r="ER38" s="730"/>
      <c r="ES38" s="730"/>
      <c r="ET38" s="730"/>
      <c r="EU38" s="730"/>
      <c r="EV38" s="730"/>
      <c r="EW38" s="730"/>
      <c r="EX38" s="730"/>
      <c r="EY38" s="730"/>
      <c r="EZ38" s="730"/>
      <c r="FA38" s="730"/>
      <c r="FB38" s="730"/>
      <c r="FC38" s="730"/>
      <c r="FD38" s="730"/>
      <c r="FE38" s="730"/>
      <c r="FF38" s="730"/>
      <c r="FG38" s="730"/>
      <c r="FH38" s="730"/>
      <c r="FI38" s="730"/>
      <c r="FJ38" s="730"/>
      <c r="FK38" s="730"/>
      <c r="FL38" s="730"/>
      <c r="FM38" s="730"/>
      <c r="FN38" s="730"/>
      <c r="FO38" s="730"/>
      <c r="FP38" s="730"/>
      <c r="FQ38" s="730"/>
      <c r="FR38" s="730"/>
      <c r="FS38" s="730"/>
      <c r="FT38" s="730"/>
      <c r="FU38" s="730"/>
      <c r="FV38" s="730"/>
      <c r="FW38" s="730"/>
      <c r="FX38" s="730"/>
      <c r="FY38" s="730"/>
      <c r="FZ38" s="730"/>
      <c r="GA38" s="730"/>
      <c r="GB38" s="730"/>
      <c r="GC38" s="730"/>
      <c r="GD38" s="730"/>
      <c r="GE38" s="730"/>
      <c r="GF38" s="730"/>
      <c r="GG38" s="730"/>
      <c r="GH38" s="730"/>
      <c r="GI38" s="730"/>
      <c r="GJ38" s="730"/>
      <c r="GK38" s="730"/>
      <c r="GL38" s="730"/>
      <c r="GM38" s="730"/>
      <c r="GN38" s="730"/>
      <c r="GO38" s="730"/>
      <c r="GP38" s="730"/>
      <c r="GQ38" s="730"/>
      <c r="GR38" s="730"/>
      <c r="GS38" s="730"/>
      <c r="GT38" s="730"/>
      <c r="GU38" s="730"/>
      <c r="GV38" s="730"/>
      <c r="GW38" s="730"/>
      <c r="GX38" s="730"/>
      <c r="GY38" s="730"/>
      <c r="GZ38" s="730"/>
      <c r="HA38" s="730"/>
      <c r="HB38" s="730"/>
      <c r="HC38" s="730"/>
      <c r="HD38" s="730"/>
      <c r="HE38" s="730"/>
      <c r="HF38" s="730"/>
      <c r="HG38" s="730"/>
      <c r="HH38" s="730"/>
      <c r="HI38" s="730"/>
      <c r="HJ38" s="730"/>
      <c r="HK38" s="730"/>
      <c r="HL38" s="730"/>
      <c r="HM38" s="730"/>
      <c r="HN38" s="730"/>
      <c r="HO38" s="730"/>
      <c r="HP38" s="730"/>
      <c r="HQ38" s="730"/>
      <c r="HR38" s="730"/>
      <c r="HS38" s="730"/>
      <c r="HT38" s="730"/>
      <c r="HU38" s="730"/>
      <c r="HV38" s="730"/>
      <c r="HW38" s="730"/>
      <c r="HX38" s="730"/>
      <c r="HY38" s="730"/>
      <c r="HZ38" s="730"/>
      <c r="IA38" s="730"/>
      <c r="IB38" s="730"/>
      <c r="IC38" s="730"/>
      <c r="ID38" s="730"/>
      <c r="IE38" s="730"/>
      <c r="IF38" s="730"/>
      <c r="IG38" s="730"/>
      <c r="IH38" s="730"/>
      <c r="II38" s="730"/>
      <c r="IJ38" s="730"/>
      <c r="IK38" s="730"/>
      <c r="IL38" s="730"/>
      <c r="IM38" s="730"/>
      <c r="IN38" s="730"/>
      <c r="IO38" s="730"/>
      <c r="IP38" s="730"/>
      <c r="IQ38" s="730"/>
      <c r="IR38" s="730"/>
    </row>
    <row r="39" spans="1:252" ht="15.75" x14ac:dyDescent="0.25">
      <c r="A39" s="666"/>
      <c r="B39" s="726"/>
      <c r="C39" s="726"/>
      <c r="D39" s="730"/>
      <c r="E39" s="1236"/>
      <c r="F39" s="730"/>
      <c r="G39" s="730"/>
      <c r="H39" s="730"/>
      <c r="I39" s="730"/>
      <c r="J39" s="730"/>
      <c r="K39" s="730"/>
      <c r="L39" s="730"/>
      <c r="M39" s="730"/>
      <c r="N39" s="730"/>
      <c r="O39" s="730"/>
      <c r="P39" s="730"/>
      <c r="Q39" s="730"/>
      <c r="R39" s="730"/>
      <c r="S39" s="730"/>
      <c r="T39" s="730"/>
      <c r="U39" s="730"/>
      <c r="V39" s="730"/>
      <c r="W39" s="730"/>
      <c r="X39" s="730"/>
      <c r="Y39" s="730"/>
      <c r="Z39" s="730"/>
      <c r="AA39" s="730"/>
      <c r="AB39" s="730"/>
      <c r="AC39" s="730"/>
      <c r="AD39" s="730"/>
      <c r="AE39" s="730"/>
      <c r="AF39" s="730"/>
      <c r="AG39" s="730"/>
      <c r="AH39" s="730"/>
      <c r="AI39" s="730"/>
      <c r="AJ39" s="730"/>
      <c r="AK39" s="730"/>
      <c r="AL39" s="730"/>
      <c r="AM39" s="730"/>
      <c r="AN39" s="730"/>
      <c r="AO39" s="730"/>
      <c r="AP39" s="730"/>
      <c r="AQ39" s="730"/>
      <c r="AR39" s="730"/>
      <c r="AS39" s="730"/>
      <c r="AT39" s="730"/>
      <c r="AU39" s="730"/>
      <c r="AV39" s="730"/>
      <c r="AW39" s="730"/>
      <c r="AX39" s="730"/>
      <c r="AY39" s="730"/>
      <c r="AZ39" s="730"/>
      <c r="BA39" s="730"/>
      <c r="BB39" s="730"/>
      <c r="BC39" s="730"/>
      <c r="BD39" s="730"/>
      <c r="BE39" s="730"/>
      <c r="BF39" s="730"/>
      <c r="BG39" s="730"/>
      <c r="BH39" s="730"/>
      <c r="BI39" s="730"/>
      <c r="BJ39" s="730"/>
      <c r="BK39" s="730"/>
      <c r="BL39" s="730"/>
      <c r="BM39" s="730"/>
      <c r="BN39" s="730"/>
      <c r="BO39" s="730"/>
      <c r="BP39" s="730"/>
      <c r="BQ39" s="730"/>
      <c r="BR39" s="730"/>
      <c r="BS39" s="730"/>
      <c r="BT39" s="730"/>
      <c r="BU39" s="730"/>
      <c r="BV39" s="730"/>
      <c r="BW39" s="730"/>
      <c r="BX39" s="730"/>
      <c r="BY39" s="730"/>
      <c r="BZ39" s="730"/>
      <c r="CA39" s="730"/>
      <c r="CB39" s="730"/>
      <c r="CC39" s="730"/>
      <c r="CD39" s="730"/>
      <c r="CE39" s="730"/>
      <c r="CF39" s="730"/>
      <c r="CG39" s="730"/>
      <c r="CH39" s="730"/>
      <c r="CI39" s="730"/>
      <c r="CJ39" s="730"/>
      <c r="CK39" s="730"/>
      <c r="CL39" s="730"/>
      <c r="CM39" s="730"/>
      <c r="CN39" s="730"/>
      <c r="CO39" s="730"/>
      <c r="CP39" s="730"/>
      <c r="CQ39" s="730"/>
      <c r="CR39" s="730"/>
      <c r="CS39" s="730"/>
      <c r="CT39" s="730"/>
      <c r="CU39" s="730"/>
      <c r="CV39" s="730"/>
      <c r="CW39" s="730"/>
      <c r="CX39" s="730"/>
      <c r="CY39" s="730"/>
      <c r="CZ39" s="730"/>
      <c r="DA39" s="730"/>
      <c r="DB39" s="730"/>
      <c r="DC39" s="730"/>
      <c r="DD39" s="730"/>
      <c r="DE39" s="730"/>
      <c r="DF39" s="730"/>
      <c r="DG39" s="730"/>
      <c r="DH39" s="730"/>
      <c r="DI39" s="730"/>
      <c r="DJ39" s="730"/>
      <c r="DK39" s="730"/>
      <c r="DL39" s="730"/>
      <c r="DM39" s="730"/>
      <c r="DN39" s="730"/>
      <c r="DO39" s="730"/>
      <c r="DP39" s="730"/>
      <c r="DQ39" s="730"/>
      <c r="DR39" s="730"/>
      <c r="DS39" s="730"/>
      <c r="DT39" s="730"/>
      <c r="DU39" s="730"/>
      <c r="DV39" s="730"/>
      <c r="DW39" s="730"/>
      <c r="DX39" s="730"/>
      <c r="DY39" s="730"/>
      <c r="DZ39" s="730"/>
      <c r="EA39" s="730"/>
      <c r="EB39" s="730"/>
      <c r="EC39" s="730"/>
      <c r="ED39" s="730"/>
      <c r="EE39" s="730"/>
      <c r="EF39" s="730"/>
      <c r="EG39" s="730"/>
      <c r="EH39" s="730"/>
      <c r="EI39" s="730"/>
      <c r="EJ39" s="730"/>
      <c r="EK39" s="730"/>
      <c r="EL39" s="730"/>
      <c r="EM39" s="730"/>
      <c r="EN39" s="730"/>
      <c r="EO39" s="730"/>
      <c r="EP39" s="730"/>
      <c r="EQ39" s="730"/>
      <c r="ER39" s="730"/>
      <c r="ES39" s="730"/>
      <c r="ET39" s="730"/>
      <c r="EU39" s="730"/>
      <c r="EV39" s="730"/>
      <c r="EW39" s="730"/>
      <c r="EX39" s="730"/>
      <c r="EY39" s="730"/>
      <c r="EZ39" s="730"/>
      <c r="FA39" s="730"/>
      <c r="FB39" s="730"/>
      <c r="FC39" s="730"/>
      <c r="FD39" s="730"/>
      <c r="FE39" s="730"/>
      <c r="FF39" s="730"/>
      <c r="FG39" s="730"/>
      <c r="FH39" s="730"/>
      <c r="FI39" s="730"/>
      <c r="FJ39" s="730"/>
      <c r="FK39" s="730"/>
      <c r="FL39" s="730"/>
      <c r="FM39" s="730"/>
      <c r="FN39" s="730"/>
      <c r="FO39" s="730"/>
      <c r="FP39" s="730"/>
      <c r="FQ39" s="730"/>
      <c r="FR39" s="730"/>
      <c r="FS39" s="730"/>
      <c r="FT39" s="730"/>
      <c r="FU39" s="730"/>
      <c r="FV39" s="730"/>
      <c r="FW39" s="730"/>
      <c r="FX39" s="730"/>
      <c r="FY39" s="730"/>
      <c r="FZ39" s="730"/>
      <c r="GA39" s="730"/>
      <c r="GB39" s="730"/>
      <c r="GC39" s="730"/>
      <c r="GD39" s="730"/>
      <c r="GE39" s="730"/>
      <c r="GF39" s="730"/>
      <c r="GG39" s="730"/>
      <c r="GH39" s="730"/>
      <c r="GI39" s="730"/>
      <c r="GJ39" s="730"/>
      <c r="GK39" s="730"/>
      <c r="GL39" s="730"/>
      <c r="GM39" s="730"/>
      <c r="GN39" s="730"/>
      <c r="GO39" s="730"/>
      <c r="GP39" s="730"/>
      <c r="GQ39" s="730"/>
      <c r="GR39" s="730"/>
      <c r="GS39" s="730"/>
      <c r="GT39" s="730"/>
      <c r="GU39" s="730"/>
      <c r="GV39" s="730"/>
      <c r="GW39" s="730"/>
      <c r="GX39" s="730"/>
      <c r="GY39" s="730"/>
      <c r="GZ39" s="730"/>
      <c r="HA39" s="730"/>
      <c r="HB39" s="730"/>
      <c r="HC39" s="730"/>
      <c r="HD39" s="730"/>
      <c r="HE39" s="730"/>
      <c r="HF39" s="730"/>
      <c r="HG39" s="730"/>
      <c r="HH39" s="730"/>
      <c r="HI39" s="730"/>
      <c r="HJ39" s="730"/>
      <c r="HK39" s="730"/>
      <c r="HL39" s="730"/>
      <c r="HM39" s="730"/>
      <c r="HN39" s="730"/>
      <c r="HO39" s="730"/>
      <c r="HP39" s="730"/>
      <c r="HQ39" s="730"/>
      <c r="HR39" s="730"/>
      <c r="HS39" s="730"/>
      <c r="HT39" s="730"/>
      <c r="HU39" s="730"/>
      <c r="HV39" s="730"/>
      <c r="HW39" s="730"/>
      <c r="HX39" s="730"/>
      <c r="HY39" s="730"/>
      <c r="HZ39" s="730"/>
      <c r="IA39" s="730"/>
      <c r="IB39" s="730"/>
      <c r="IC39" s="730"/>
      <c r="ID39" s="730"/>
      <c r="IE39" s="730"/>
      <c r="IF39" s="730"/>
      <c r="IG39" s="730"/>
      <c r="IH39" s="730"/>
      <c r="II39" s="730"/>
      <c r="IJ39" s="730"/>
      <c r="IK39" s="730"/>
      <c r="IL39" s="730"/>
      <c r="IM39" s="730"/>
      <c r="IN39" s="730"/>
      <c r="IO39" s="730"/>
      <c r="IP39" s="730"/>
      <c r="IQ39" s="730"/>
      <c r="IR39" s="730"/>
    </row>
    <row r="40" spans="1:252" ht="15.75" x14ac:dyDescent="0.25">
      <c r="A40" s="728"/>
      <c r="B40" s="731"/>
      <c r="C40" s="731"/>
      <c r="D40" s="732"/>
      <c r="E40" s="1237"/>
      <c r="F40" s="732"/>
      <c r="G40" s="732"/>
      <c r="H40" s="732"/>
      <c r="I40" s="732"/>
      <c r="J40" s="732"/>
      <c r="K40" s="732"/>
      <c r="L40" s="732"/>
      <c r="M40" s="732"/>
      <c r="N40" s="732"/>
      <c r="O40" s="732"/>
      <c r="P40" s="732"/>
      <c r="Q40" s="732"/>
      <c r="R40" s="732"/>
      <c r="S40" s="732"/>
      <c r="T40" s="732"/>
      <c r="U40" s="732"/>
      <c r="V40" s="732"/>
      <c r="W40" s="732"/>
      <c r="X40" s="732"/>
      <c r="Y40" s="732"/>
      <c r="Z40" s="732"/>
      <c r="AA40" s="732"/>
      <c r="AB40" s="732"/>
      <c r="AC40" s="732"/>
      <c r="AD40" s="732"/>
      <c r="AE40" s="732"/>
      <c r="AF40" s="732"/>
      <c r="AG40" s="732"/>
      <c r="AH40" s="732"/>
      <c r="AI40" s="732"/>
      <c r="AJ40" s="732"/>
      <c r="AK40" s="732"/>
      <c r="AL40" s="732"/>
      <c r="AM40" s="732"/>
      <c r="AN40" s="732"/>
      <c r="AO40" s="732"/>
      <c r="AP40" s="732"/>
      <c r="AQ40" s="732"/>
      <c r="AR40" s="732"/>
      <c r="AS40" s="732"/>
      <c r="AT40" s="732"/>
      <c r="AU40" s="732"/>
      <c r="AV40" s="732"/>
      <c r="AW40" s="732"/>
      <c r="AX40" s="732"/>
      <c r="AY40" s="732"/>
      <c r="AZ40" s="732"/>
      <c r="BA40" s="732"/>
      <c r="BB40" s="732"/>
      <c r="BC40" s="732"/>
      <c r="BD40" s="732"/>
      <c r="BE40" s="732"/>
      <c r="BF40" s="732"/>
      <c r="BG40" s="732"/>
      <c r="BH40" s="732"/>
      <c r="BI40" s="732"/>
      <c r="BJ40" s="732"/>
      <c r="BK40" s="732"/>
      <c r="BL40" s="732"/>
      <c r="BM40" s="732"/>
      <c r="BN40" s="732"/>
      <c r="BO40" s="732"/>
      <c r="BP40" s="732"/>
      <c r="BQ40" s="732"/>
      <c r="BR40" s="732"/>
      <c r="BS40" s="732"/>
      <c r="BT40" s="732"/>
      <c r="BU40" s="732"/>
      <c r="BV40" s="732"/>
      <c r="BW40" s="732"/>
      <c r="BX40" s="732"/>
      <c r="BY40" s="732"/>
      <c r="BZ40" s="732"/>
      <c r="CA40" s="732"/>
      <c r="CB40" s="732"/>
      <c r="CC40" s="732"/>
      <c r="CD40" s="732"/>
      <c r="CE40" s="732"/>
      <c r="CF40" s="732"/>
      <c r="CG40" s="732"/>
      <c r="CH40" s="732"/>
      <c r="CI40" s="732"/>
      <c r="CJ40" s="732"/>
      <c r="CK40" s="732"/>
      <c r="CL40" s="732"/>
      <c r="CM40" s="732"/>
      <c r="CN40" s="732"/>
      <c r="CO40" s="732"/>
      <c r="CP40" s="732"/>
      <c r="CQ40" s="732"/>
      <c r="CR40" s="732"/>
      <c r="CS40" s="732"/>
      <c r="CT40" s="732"/>
      <c r="CU40" s="732"/>
      <c r="CV40" s="732"/>
      <c r="CW40" s="732"/>
      <c r="CX40" s="732"/>
      <c r="CY40" s="732"/>
      <c r="CZ40" s="732"/>
      <c r="DA40" s="732"/>
      <c r="DB40" s="732"/>
      <c r="DC40" s="732"/>
      <c r="DD40" s="732"/>
      <c r="DE40" s="732"/>
      <c r="DF40" s="732"/>
      <c r="DG40" s="732"/>
      <c r="DH40" s="732"/>
      <c r="DI40" s="732"/>
      <c r="DJ40" s="732"/>
      <c r="DK40" s="732"/>
      <c r="DL40" s="732"/>
      <c r="DM40" s="732"/>
      <c r="DN40" s="732"/>
      <c r="DO40" s="732"/>
      <c r="DP40" s="732"/>
      <c r="DQ40" s="732"/>
      <c r="DR40" s="732"/>
      <c r="DS40" s="732"/>
      <c r="DT40" s="732"/>
      <c r="DU40" s="732"/>
      <c r="DV40" s="732"/>
      <c r="DW40" s="732"/>
      <c r="DX40" s="732"/>
      <c r="DY40" s="732"/>
      <c r="DZ40" s="732"/>
      <c r="EA40" s="732"/>
      <c r="EB40" s="732"/>
      <c r="EC40" s="732"/>
      <c r="ED40" s="732"/>
      <c r="EE40" s="732"/>
      <c r="EF40" s="732"/>
      <c r="EG40" s="732"/>
      <c r="EH40" s="732"/>
      <c r="EI40" s="732"/>
      <c r="EJ40" s="732"/>
      <c r="EK40" s="732"/>
      <c r="EL40" s="732"/>
      <c r="EM40" s="732"/>
      <c r="EN40" s="732"/>
      <c r="EO40" s="732"/>
      <c r="EP40" s="732"/>
      <c r="EQ40" s="732"/>
      <c r="ER40" s="732"/>
      <c r="ES40" s="732"/>
      <c r="ET40" s="732"/>
      <c r="EU40" s="732"/>
      <c r="EV40" s="732"/>
      <c r="EW40" s="732"/>
      <c r="EX40" s="732"/>
      <c r="EY40" s="732"/>
      <c r="EZ40" s="732"/>
      <c r="FA40" s="732"/>
      <c r="FB40" s="732"/>
      <c r="FC40" s="732"/>
      <c r="FD40" s="732"/>
      <c r="FE40" s="732"/>
      <c r="FF40" s="732"/>
      <c r="FG40" s="732"/>
      <c r="FH40" s="732"/>
      <c r="FI40" s="732"/>
      <c r="FJ40" s="732"/>
      <c r="FK40" s="732"/>
      <c r="FL40" s="732"/>
      <c r="FM40" s="732"/>
      <c r="FN40" s="732"/>
      <c r="FO40" s="732"/>
      <c r="FP40" s="732"/>
      <c r="FQ40" s="732"/>
      <c r="FR40" s="732"/>
      <c r="FS40" s="732"/>
      <c r="FT40" s="732"/>
      <c r="FU40" s="732"/>
      <c r="FV40" s="732"/>
      <c r="FW40" s="732"/>
      <c r="FX40" s="732"/>
      <c r="FY40" s="732"/>
      <c r="FZ40" s="732"/>
      <c r="GA40" s="732"/>
      <c r="GB40" s="732"/>
      <c r="GC40" s="732"/>
      <c r="GD40" s="732"/>
      <c r="GE40" s="732"/>
      <c r="GF40" s="732"/>
      <c r="GG40" s="732"/>
      <c r="GH40" s="732"/>
      <c r="GI40" s="732"/>
      <c r="GJ40" s="732"/>
      <c r="GK40" s="732"/>
      <c r="GL40" s="732"/>
      <c r="GM40" s="732"/>
      <c r="GN40" s="732"/>
      <c r="GO40" s="732"/>
      <c r="GP40" s="732"/>
      <c r="GQ40" s="732"/>
      <c r="GR40" s="732"/>
      <c r="GS40" s="732"/>
      <c r="GT40" s="732"/>
      <c r="GU40" s="732"/>
      <c r="GV40" s="732"/>
      <c r="GW40" s="732"/>
      <c r="GX40" s="732"/>
      <c r="GY40" s="732"/>
      <c r="GZ40" s="732"/>
      <c r="HA40" s="732"/>
      <c r="HB40" s="732"/>
      <c r="HC40" s="732"/>
      <c r="HD40" s="732"/>
      <c r="HE40" s="732"/>
      <c r="HF40" s="732"/>
      <c r="HG40" s="732"/>
      <c r="HH40" s="732"/>
      <c r="HI40" s="732"/>
      <c r="HJ40" s="732"/>
      <c r="HK40" s="732"/>
      <c r="HL40" s="732"/>
      <c r="HM40" s="732"/>
      <c r="HN40" s="732"/>
      <c r="HO40" s="732"/>
      <c r="HP40" s="732"/>
      <c r="HQ40" s="732"/>
      <c r="HR40" s="732"/>
      <c r="HS40" s="732"/>
      <c r="HT40" s="732"/>
      <c r="HU40" s="732"/>
      <c r="HV40" s="732"/>
      <c r="HW40" s="732"/>
      <c r="HX40" s="732"/>
      <c r="HY40" s="732"/>
      <c r="HZ40" s="732"/>
      <c r="IA40" s="732"/>
      <c r="IB40" s="732"/>
      <c r="IC40" s="732"/>
      <c r="ID40" s="732"/>
      <c r="IE40" s="732"/>
      <c r="IF40" s="732"/>
      <c r="IG40" s="732"/>
      <c r="IH40" s="732"/>
      <c r="II40" s="732"/>
      <c r="IJ40" s="732"/>
      <c r="IK40" s="732"/>
      <c r="IL40" s="732"/>
      <c r="IM40" s="732"/>
      <c r="IN40" s="732"/>
      <c r="IO40" s="732"/>
      <c r="IP40" s="732"/>
      <c r="IQ40" s="732"/>
      <c r="IR40" s="732"/>
    </row>
    <row r="41" spans="1:252" ht="15.75" x14ac:dyDescent="0.25">
      <c r="A41" s="666"/>
      <c r="B41" s="726"/>
      <c r="C41" s="726"/>
      <c r="D41" s="730"/>
      <c r="E41" s="1236"/>
      <c r="F41" s="730"/>
      <c r="G41" s="730"/>
      <c r="H41" s="730"/>
      <c r="I41" s="730"/>
      <c r="J41" s="730"/>
      <c r="K41" s="730"/>
      <c r="L41" s="730"/>
      <c r="M41" s="730"/>
      <c r="N41" s="730"/>
      <c r="O41" s="730"/>
      <c r="P41" s="730"/>
      <c r="Q41" s="730"/>
      <c r="R41" s="730"/>
      <c r="S41" s="730"/>
      <c r="T41" s="730"/>
      <c r="U41" s="730"/>
      <c r="V41" s="730"/>
      <c r="W41" s="730"/>
      <c r="X41" s="730"/>
      <c r="Y41" s="730"/>
      <c r="Z41" s="730"/>
      <c r="AA41" s="730"/>
      <c r="AB41" s="730"/>
      <c r="AC41" s="730"/>
      <c r="AD41" s="730"/>
      <c r="AE41" s="730"/>
      <c r="AF41" s="730"/>
      <c r="AG41" s="730"/>
      <c r="AH41" s="730"/>
      <c r="AI41" s="730"/>
      <c r="AJ41" s="730"/>
      <c r="AK41" s="730"/>
      <c r="AL41" s="730"/>
      <c r="AM41" s="730"/>
      <c r="AN41" s="730"/>
      <c r="AO41" s="730"/>
      <c r="AP41" s="730"/>
      <c r="AQ41" s="730"/>
      <c r="AR41" s="730"/>
      <c r="AS41" s="730"/>
      <c r="AT41" s="730"/>
      <c r="AU41" s="730"/>
      <c r="AV41" s="730"/>
      <c r="AW41" s="730"/>
      <c r="AX41" s="730"/>
      <c r="AY41" s="730"/>
      <c r="AZ41" s="730"/>
      <c r="BA41" s="730"/>
      <c r="BB41" s="730"/>
      <c r="BC41" s="730"/>
      <c r="BD41" s="730"/>
      <c r="BE41" s="730"/>
      <c r="BF41" s="730"/>
      <c r="BG41" s="730"/>
      <c r="BH41" s="730"/>
      <c r="BI41" s="730"/>
      <c r="BJ41" s="730"/>
      <c r="BK41" s="730"/>
      <c r="BL41" s="730"/>
      <c r="BM41" s="730"/>
      <c r="BN41" s="730"/>
      <c r="BO41" s="730"/>
      <c r="BP41" s="730"/>
      <c r="BQ41" s="730"/>
      <c r="BR41" s="730"/>
      <c r="BS41" s="730"/>
      <c r="BT41" s="730"/>
      <c r="BU41" s="730"/>
      <c r="BV41" s="730"/>
      <c r="BW41" s="730"/>
      <c r="BX41" s="730"/>
      <c r="BY41" s="730"/>
      <c r="BZ41" s="730"/>
      <c r="CA41" s="730"/>
      <c r="CB41" s="730"/>
      <c r="CC41" s="730"/>
      <c r="CD41" s="730"/>
      <c r="CE41" s="730"/>
      <c r="CF41" s="730"/>
      <c r="CG41" s="730"/>
      <c r="CH41" s="730"/>
      <c r="CI41" s="730"/>
      <c r="CJ41" s="730"/>
      <c r="CK41" s="730"/>
      <c r="CL41" s="730"/>
      <c r="CM41" s="730"/>
      <c r="CN41" s="730"/>
      <c r="CO41" s="730"/>
      <c r="CP41" s="730"/>
      <c r="CQ41" s="730"/>
      <c r="CR41" s="730"/>
      <c r="CS41" s="730"/>
      <c r="CT41" s="730"/>
      <c r="CU41" s="730"/>
      <c r="CV41" s="730"/>
      <c r="CW41" s="730"/>
      <c r="CX41" s="730"/>
      <c r="CY41" s="730"/>
      <c r="CZ41" s="730"/>
      <c r="DA41" s="730"/>
      <c r="DB41" s="730"/>
      <c r="DC41" s="730"/>
      <c r="DD41" s="730"/>
      <c r="DE41" s="730"/>
      <c r="DF41" s="730"/>
      <c r="DG41" s="730"/>
      <c r="DH41" s="730"/>
      <c r="DI41" s="730"/>
      <c r="DJ41" s="730"/>
      <c r="DK41" s="730"/>
      <c r="DL41" s="730"/>
      <c r="DM41" s="730"/>
      <c r="DN41" s="730"/>
      <c r="DO41" s="730"/>
      <c r="DP41" s="730"/>
      <c r="DQ41" s="730"/>
      <c r="DR41" s="730"/>
      <c r="DS41" s="730"/>
      <c r="DT41" s="730"/>
      <c r="DU41" s="730"/>
      <c r="DV41" s="730"/>
      <c r="DW41" s="730"/>
      <c r="DX41" s="730"/>
      <c r="DY41" s="730"/>
      <c r="DZ41" s="730"/>
      <c r="EA41" s="730"/>
      <c r="EB41" s="730"/>
      <c r="EC41" s="730"/>
      <c r="ED41" s="730"/>
      <c r="EE41" s="730"/>
      <c r="EF41" s="730"/>
      <c r="EG41" s="730"/>
      <c r="EH41" s="730"/>
      <c r="EI41" s="730"/>
      <c r="EJ41" s="730"/>
      <c r="EK41" s="730"/>
      <c r="EL41" s="730"/>
      <c r="EM41" s="730"/>
      <c r="EN41" s="730"/>
      <c r="EO41" s="730"/>
      <c r="EP41" s="730"/>
      <c r="EQ41" s="730"/>
      <c r="ER41" s="730"/>
      <c r="ES41" s="730"/>
      <c r="ET41" s="730"/>
      <c r="EU41" s="730"/>
      <c r="EV41" s="730"/>
      <c r="EW41" s="730"/>
      <c r="EX41" s="730"/>
      <c r="EY41" s="730"/>
      <c r="EZ41" s="730"/>
      <c r="FA41" s="730"/>
      <c r="FB41" s="730"/>
      <c r="FC41" s="730"/>
      <c r="FD41" s="730"/>
      <c r="FE41" s="730"/>
      <c r="FF41" s="730"/>
      <c r="FG41" s="730"/>
      <c r="FH41" s="730"/>
      <c r="FI41" s="730"/>
      <c r="FJ41" s="730"/>
      <c r="FK41" s="730"/>
      <c r="FL41" s="730"/>
      <c r="FM41" s="730"/>
      <c r="FN41" s="730"/>
      <c r="FO41" s="730"/>
      <c r="FP41" s="730"/>
      <c r="FQ41" s="730"/>
      <c r="FR41" s="730"/>
      <c r="FS41" s="730"/>
      <c r="FT41" s="730"/>
      <c r="FU41" s="730"/>
      <c r="FV41" s="730"/>
      <c r="FW41" s="730"/>
      <c r="FX41" s="730"/>
      <c r="FY41" s="730"/>
      <c r="FZ41" s="730"/>
      <c r="GA41" s="730"/>
      <c r="GB41" s="730"/>
      <c r="GC41" s="730"/>
      <c r="GD41" s="730"/>
      <c r="GE41" s="730"/>
      <c r="GF41" s="730"/>
      <c r="GG41" s="730"/>
      <c r="GH41" s="730"/>
      <c r="GI41" s="730"/>
      <c r="GJ41" s="730"/>
      <c r="GK41" s="730"/>
      <c r="GL41" s="730"/>
      <c r="GM41" s="730"/>
      <c r="GN41" s="730"/>
      <c r="GO41" s="730"/>
      <c r="GP41" s="730"/>
      <c r="GQ41" s="730"/>
      <c r="GR41" s="730"/>
      <c r="GS41" s="730"/>
      <c r="GT41" s="730"/>
      <c r="GU41" s="730"/>
      <c r="GV41" s="730"/>
      <c r="GW41" s="730"/>
      <c r="GX41" s="730"/>
      <c r="GY41" s="730"/>
      <c r="GZ41" s="730"/>
      <c r="HA41" s="730"/>
      <c r="HB41" s="730"/>
      <c r="HC41" s="730"/>
      <c r="HD41" s="730"/>
      <c r="HE41" s="730"/>
      <c r="HF41" s="730"/>
      <c r="HG41" s="730"/>
      <c r="HH41" s="730"/>
      <c r="HI41" s="730"/>
      <c r="HJ41" s="730"/>
      <c r="HK41" s="730"/>
      <c r="HL41" s="730"/>
      <c r="HM41" s="730"/>
      <c r="HN41" s="730"/>
      <c r="HO41" s="730"/>
      <c r="HP41" s="730"/>
      <c r="HQ41" s="730"/>
      <c r="HR41" s="730"/>
      <c r="HS41" s="730"/>
      <c r="HT41" s="730"/>
      <c r="HU41" s="730"/>
      <c r="HV41" s="730"/>
      <c r="HW41" s="730"/>
      <c r="HX41" s="730"/>
      <c r="HY41" s="730"/>
      <c r="HZ41" s="730"/>
      <c r="IA41" s="730"/>
      <c r="IB41" s="730"/>
      <c r="IC41" s="730"/>
      <c r="ID41" s="730"/>
      <c r="IE41" s="730"/>
      <c r="IF41" s="730"/>
      <c r="IG41" s="730"/>
      <c r="IH41" s="730"/>
      <c r="II41" s="730"/>
      <c r="IJ41" s="730"/>
      <c r="IK41" s="730"/>
      <c r="IL41" s="730"/>
      <c r="IM41" s="730"/>
      <c r="IN41" s="730"/>
      <c r="IO41" s="730"/>
      <c r="IP41" s="730"/>
      <c r="IQ41" s="730"/>
      <c r="IR41" s="730"/>
    </row>
    <row r="42" spans="1:252" ht="15.75" x14ac:dyDescent="0.25">
      <c r="A42" s="733"/>
      <c r="B42" s="734"/>
      <c r="C42" s="666"/>
      <c r="D42" s="730"/>
      <c r="E42" s="1236"/>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730"/>
      <c r="AM42" s="730"/>
      <c r="AN42" s="730"/>
      <c r="AO42" s="730"/>
      <c r="AP42" s="730"/>
      <c r="AQ42" s="730"/>
      <c r="AR42" s="730"/>
      <c r="AS42" s="730"/>
      <c r="AT42" s="730"/>
      <c r="AU42" s="730"/>
      <c r="AV42" s="730"/>
      <c r="AW42" s="730"/>
      <c r="AX42" s="730"/>
      <c r="AY42" s="730"/>
      <c r="AZ42" s="730"/>
      <c r="BA42" s="730"/>
      <c r="BB42" s="730"/>
      <c r="BC42" s="730"/>
      <c r="BD42" s="730"/>
      <c r="BE42" s="730"/>
      <c r="BF42" s="730"/>
      <c r="BG42" s="730"/>
      <c r="BH42" s="730"/>
      <c r="BI42" s="730"/>
      <c r="BJ42" s="730"/>
      <c r="BK42" s="730"/>
      <c r="BL42" s="730"/>
      <c r="BM42" s="730"/>
      <c r="BN42" s="730"/>
      <c r="BO42" s="730"/>
      <c r="BP42" s="730"/>
      <c r="BQ42" s="730"/>
      <c r="BR42" s="730"/>
      <c r="BS42" s="730"/>
      <c r="BT42" s="730"/>
      <c r="BU42" s="730"/>
      <c r="BV42" s="730"/>
      <c r="BW42" s="730"/>
      <c r="BX42" s="730"/>
      <c r="BY42" s="730"/>
      <c r="BZ42" s="730"/>
      <c r="CA42" s="730"/>
      <c r="CB42" s="730"/>
      <c r="CC42" s="730"/>
      <c r="CD42" s="730"/>
      <c r="CE42" s="730"/>
      <c r="CF42" s="730"/>
      <c r="CG42" s="730"/>
      <c r="CH42" s="730"/>
      <c r="CI42" s="730"/>
      <c r="CJ42" s="730"/>
      <c r="CK42" s="730"/>
      <c r="CL42" s="730"/>
      <c r="CM42" s="730"/>
      <c r="CN42" s="730"/>
      <c r="CO42" s="730"/>
      <c r="CP42" s="730"/>
      <c r="CQ42" s="730"/>
      <c r="CR42" s="730"/>
      <c r="CS42" s="730"/>
      <c r="CT42" s="730"/>
      <c r="CU42" s="730"/>
      <c r="CV42" s="730"/>
      <c r="CW42" s="730"/>
      <c r="CX42" s="730"/>
      <c r="CY42" s="730"/>
      <c r="CZ42" s="730"/>
      <c r="DA42" s="730"/>
      <c r="DB42" s="730"/>
      <c r="DC42" s="730"/>
      <c r="DD42" s="730"/>
      <c r="DE42" s="730"/>
      <c r="DF42" s="730"/>
      <c r="DG42" s="730"/>
      <c r="DH42" s="730"/>
      <c r="DI42" s="730"/>
      <c r="DJ42" s="730"/>
      <c r="DK42" s="730"/>
      <c r="DL42" s="730"/>
      <c r="DM42" s="730"/>
      <c r="DN42" s="730"/>
      <c r="DO42" s="730"/>
      <c r="DP42" s="730"/>
      <c r="DQ42" s="730"/>
      <c r="DR42" s="730"/>
      <c r="DS42" s="730"/>
      <c r="DT42" s="730"/>
      <c r="DU42" s="730"/>
      <c r="DV42" s="730"/>
      <c r="DW42" s="730"/>
      <c r="DX42" s="730"/>
      <c r="DY42" s="730"/>
      <c r="DZ42" s="730"/>
      <c r="EA42" s="730"/>
      <c r="EB42" s="730"/>
      <c r="EC42" s="730"/>
      <c r="ED42" s="730"/>
      <c r="EE42" s="730"/>
      <c r="EF42" s="730"/>
      <c r="EG42" s="730"/>
      <c r="EH42" s="730"/>
      <c r="EI42" s="730"/>
      <c r="EJ42" s="730"/>
      <c r="EK42" s="730"/>
      <c r="EL42" s="730"/>
      <c r="EM42" s="730"/>
      <c r="EN42" s="730"/>
      <c r="EO42" s="730"/>
      <c r="EP42" s="730"/>
      <c r="EQ42" s="730"/>
      <c r="ER42" s="730"/>
      <c r="ES42" s="730"/>
      <c r="ET42" s="730"/>
      <c r="EU42" s="730"/>
      <c r="EV42" s="730"/>
      <c r="EW42" s="730"/>
      <c r="EX42" s="730"/>
      <c r="EY42" s="730"/>
      <c r="EZ42" s="730"/>
      <c r="FA42" s="730"/>
      <c r="FB42" s="730"/>
      <c r="FC42" s="730"/>
      <c r="FD42" s="730"/>
      <c r="FE42" s="730"/>
      <c r="FF42" s="730"/>
      <c r="FG42" s="730"/>
      <c r="FH42" s="730"/>
      <c r="FI42" s="730"/>
      <c r="FJ42" s="730"/>
      <c r="FK42" s="730"/>
      <c r="FL42" s="730"/>
      <c r="FM42" s="730"/>
      <c r="FN42" s="730"/>
      <c r="FO42" s="730"/>
      <c r="FP42" s="730"/>
      <c r="FQ42" s="730"/>
      <c r="FR42" s="730"/>
      <c r="FS42" s="730"/>
      <c r="FT42" s="730"/>
      <c r="FU42" s="730"/>
      <c r="FV42" s="730"/>
      <c r="FW42" s="730"/>
      <c r="FX42" s="730"/>
      <c r="FY42" s="730"/>
      <c r="FZ42" s="730"/>
      <c r="GA42" s="730"/>
      <c r="GB42" s="730"/>
      <c r="GC42" s="730"/>
      <c r="GD42" s="730"/>
      <c r="GE42" s="730"/>
      <c r="GF42" s="730"/>
      <c r="GG42" s="730"/>
      <c r="GH42" s="730"/>
      <c r="GI42" s="730"/>
      <c r="GJ42" s="730"/>
      <c r="GK42" s="730"/>
      <c r="GL42" s="730"/>
      <c r="GM42" s="730"/>
      <c r="GN42" s="730"/>
      <c r="GO42" s="730"/>
      <c r="GP42" s="730"/>
      <c r="GQ42" s="730"/>
      <c r="GR42" s="730"/>
      <c r="GS42" s="730"/>
      <c r="GT42" s="730"/>
      <c r="GU42" s="730"/>
      <c r="GV42" s="730"/>
      <c r="GW42" s="730"/>
      <c r="GX42" s="730"/>
      <c r="GY42" s="730"/>
      <c r="GZ42" s="730"/>
      <c r="HA42" s="730"/>
      <c r="HB42" s="730"/>
      <c r="HC42" s="730"/>
      <c r="HD42" s="730"/>
      <c r="HE42" s="730"/>
      <c r="HF42" s="730"/>
      <c r="HG42" s="730"/>
      <c r="HH42" s="730"/>
      <c r="HI42" s="730"/>
      <c r="HJ42" s="730"/>
      <c r="HK42" s="730"/>
      <c r="HL42" s="730"/>
      <c r="HM42" s="730"/>
      <c r="HN42" s="730"/>
      <c r="HO42" s="730"/>
      <c r="HP42" s="730"/>
      <c r="HQ42" s="730"/>
      <c r="HR42" s="730"/>
      <c r="HS42" s="730"/>
      <c r="HT42" s="730"/>
      <c r="HU42" s="730"/>
      <c r="HV42" s="730"/>
      <c r="HW42" s="730"/>
      <c r="HX42" s="730"/>
      <c r="HY42" s="730"/>
      <c r="HZ42" s="730"/>
      <c r="IA42" s="730"/>
      <c r="IB42" s="730"/>
      <c r="IC42" s="730"/>
      <c r="ID42" s="730"/>
      <c r="IE42" s="730"/>
      <c r="IF42" s="730"/>
      <c r="IG42" s="730"/>
      <c r="IH42" s="730"/>
      <c r="II42" s="730"/>
      <c r="IJ42" s="730"/>
      <c r="IK42" s="730"/>
      <c r="IL42" s="730"/>
      <c r="IM42" s="730"/>
      <c r="IN42" s="730"/>
      <c r="IO42" s="730"/>
      <c r="IP42" s="730"/>
      <c r="IQ42" s="730"/>
      <c r="IR42" s="730"/>
    </row>
    <row r="43" spans="1:252" ht="15.75" x14ac:dyDescent="0.25">
      <c r="A43" s="733"/>
      <c r="B43" s="734"/>
      <c r="C43" s="666"/>
      <c r="D43" s="732"/>
      <c r="E43" s="1237"/>
      <c r="F43" s="732"/>
      <c r="G43" s="732"/>
      <c r="H43" s="732"/>
      <c r="I43" s="732"/>
      <c r="J43" s="732"/>
      <c r="K43" s="732"/>
      <c r="L43" s="732"/>
      <c r="M43" s="732"/>
      <c r="N43" s="732"/>
      <c r="O43" s="732"/>
      <c r="P43" s="732"/>
      <c r="Q43" s="732"/>
      <c r="R43" s="732"/>
      <c r="S43" s="732"/>
      <c r="T43" s="732"/>
      <c r="U43" s="732"/>
      <c r="V43" s="732"/>
      <c r="W43" s="732"/>
      <c r="X43" s="732"/>
      <c r="Y43" s="732"/>
      <c r="Z43" s="732"/>
      <c r="AA43" s="732"/>
      <c r="AB43" s="732"/>
      <c r="AC43" s="732"/>
      <c r="AD43" s="732"/>
      <c r="AE43" s="732"/>
      <c r="AF43" s="732"/>
      <c r="AG43" s="732"/>
      <c r="AH43" s="732"/>
      <c r="AI43" s="732"/>
      <c r="AJ43" s="732"/>
      <c r="AK43" s="732"/>
      <c r="AL43" s="732"/>
      <c r="AM43" s="732"/>
      <c r="AN43" s="732"/>
      <c r="AO43" s="732"/>
      <c r="AP43" s="732"/>
      <c r="AQ43" s="732"/>
      <c r="AR43" s="732"/>
      <c r="AS43" s="732"/>
      <c r="AT43" s="732"/>
      <c r="AU43" s="732"/>
      <c r="AV43" s="732"/>
      <c r="AW43" s="732"/>
      <c r="AX43" s="732"/>
      <c r="AY43" s="732"/>
      <c r="AZ43" s="732"/>
      <c r="BA43" s="732"/>
      <c r="BB43" s="732"/>
      <c r="BC43" s="732"/>
      <c r="BD43" s="732"/>
      <c r="BE43" s="732"/>
      <c r="BF43" s="732"/>
      <c r="BG43" s="732"/>
      <c r="BH43" s="732"/>
      <c r="BI43" s="732"/>
      <c r="BJ43" s="732"/>
      <c r="BK43" s="732"/>
      <c r="BL43" s="732"/>
      <c r="BM43" s="732"/>
      <c r="BN43" s="732"/>
      <c r="BO43" s="732"/>
      <c r="BP43" s="732"/>
      <c r="BQ43" s="732"/>
      <c r="BR43" s="732"/>
      <c r="BS43" s="732"/>
      <c r="BT43" s="732"/>
      <c r="BU43" s="732"/>
      <c r="BV43" s="732"/>
      <c r="BW43" s="732"/>
      <c r="BX43" s="732"/>
      <c r="BY43" s="732"/>
      <c r="BZ43" s="732"/>
      <c r="CA43" s="732"/>
      <c r="CB43" s="732"/>
      <c r="CC43" s="732"/>
      <c r="CD43" s="732"/>
      <c r="CE43" s="732"/>
      <c r="CF43" s="732"/>
      <c r="CG43" s="732"/>
      <c r="CH43" s="732"/>
      <c r="CI43" s="732"/>
      <c r="CJ43" s="732"/>
      <c r="CK43" s="732"/>
      <c r="CL43" s="732"/>
      <c r="CM43" s="732"/>
      <c r="CN43" s="732"/>
      <c r="CO43" s="732"/>
      <c r="CP43" s="732"/>
      <c r="CQ43" s="732"/>
      <c r="CR43" s="732"/>
      <c r="CS43" s="732"/>
      <c r="CT43" s="732"/>
      <c r="CU43" s="732"/>
      <c r="CV43" s="732"/>
      <c r="CW43" s="732"/>
      <c r="CX43" s="732"/>
      <c r="CY43" s="732"/>
      <c r="CZ43" s="732"/>
      <c r="DA43" s="732"/>
      <c r="DB43" s="732"/>
      <c r="DC43" s="732"/>
      <c r="DD43" s="732"/>
      <c r="DE43" s="732"/>
      <c r="DF43" s="732"/>
      <c r="DG43" s="732"/>
      <c r="DH43" s="732"/>
      <c r="DI43" s="732"/>
      <c r="DJ43" s="732"/>
      <c r="DK43" s="732"/>
      <c r="DL43" s="732"/>
      <c r="DM43" s="732"/>
      <c r="DN43" s="732"/>
      <c r="DO43" s="732"/>
      <c r="DP43" s="732"/>
      <c r="DQ43" s="732"/>
      <c r="DR43" s="732"/>
      <c r="DS43" s="732"/>
      <c r="DT43" s="732"/>
      <c r="DU43" s="732"/>
      <c r="DV43" s="732"/>
      <c r="DW43" s="732"/>
      <c r="DX43" s="732"/>
      <c r="DY43" s="732"/>
      <c r="DZ43" s="732"/>
      <c r="EA43" s="732"/>
      <c r="EB43" s="732"/>
      <c r="EC43" s="732"/>
      <c r="ED43" s="732"/>
      <c r="EE43" s="732"/>
      <c r="EF43" s="732"/>
      <c r="EG43" s="732"/>
      <c r="EH43" s="732"/>
      <c r="EI43" s="732"/>
      <c r="EJ43" s="732"/>
      <c r="EK43" s="732"/>
      <c r="EL43" s="732"/>
      <c r="EM43" s="732"/>
      <c r="EN43" s="732"/>
      <c r="EO43" s="732"/>
      <c r="EP43" s="732"/>
      <c r="EQ43" s="732"/>
      <c r="ER43" s="732"/>
      <c r="ES43" s="732"/>
      <c r="ET43" s="732"/>
      <c r="EU43" s="732"/>
      <c r="EV43" s="732"/>
      <c r="EW43" s="732"/>
      <c r="EX43" s="732"/>
      <c r="EY43" s="732"/>
      <c r="EZ43" s="732"/>
      <c r="FA43" s="732"/>
      <c r="FB43" s="732"/>
      <c r="FC43" s="732"/>
      <c r="FD43" s="732"/>
      <c r="FE43" s="732"/>
      <c r="FF43" s="732"/>
      <c r="FG43" s="732"/>
      <c r="FH43" s="732"/>
      <c r="FI43" s="732"/>
      <c r="FJ43" s="732"/>
      <c r="FK43" s="732"/>
      <c r="FL43" s="732"/>
      <c r="FM43" s="732"/>
      <c r="FN43" s="732"/>
      <c r="FO43" s="732"/>
      <c r="FP43" s="732"/>
      <c r="FQ43" s="732"/>
      <c r="FR43" s="732"/>
      <c r="FS43" s="732"/>
      <c r="FT43" s="732"/>
      <c r="FU43" s="732"/>
      <c r="FV43" s="732"/>
      <c r="FW43" s="732"/>
      <c r="FX43" s="732"/>
      <c r="FY43" s="732"/>
      <c r="FZ43" s="732"/>
      <c r="GA43" s="732"/>
      <c r="GB43" s="732"/>
      <c r="GC43" s="732"/>
      <c r="GD43" s="732"/>
      <c r="GE43" s="732"/>
      <c r="GF43" s="732"/>
      <c r="GG43" s="732"/>
      <c r="GH43" s="732"/>
      <c r="GI43" s="732"/>
      <c r="GJ43" s="732"/>
      <c r="GK43" s="732"/>
      <c r="GL43" s="732"/>
      <c r="GM43" s="732"/>
      <c r="GN43" s="732"/>
      <c r="GO43" s="732"/>
      <c r="GP43" s="732"/>
      <c r="GQ43" s="732"/>
      <c r="GR43" s="732"/>
      <c r="GS43" s="732"/>
      <c r="GT43" s="732"/>
      <c r="GU43" s="732"/>
      <c r="GV43" s="732"/>
      <c r="GW43" s="732"/>
      <c r="GX43" s="732"/>
      <c r="GY43" s="732"/>
      <c r="GZ43" s="732"/>
      <c r="HA43" s="732"/>
      <c r="HB43" s="732"/>
      <c r="HC43" s="732"/>
      <c r="HD43" s="732"/>
      <c r="HE43" s="732"/>
      <c r="HF43" s="732"/>
      <c r="HG43" s="732"/>
      <c r="HH43" s="732"/>
      <c r="HI43" s="732"/>
      <c r="HJ43" s="732"/>
      <c r="HK43" s="732"/>
      <c r="HL43" s="732"/>
      <c r="HM43" s="732"/>
      <c r="HN43" s="732"/>
      <c r="HO43" s="732"/>
      <c r="HP43" s="732"/>
      <c r="HQ43" s="732"/>
      <c r="HR43" s="732"/>
      <c r="HS43" s="732"/>
      <c r="HT43" s="732"/>
      <c r="HU43" s="732"/>
      <c r="HV43" s="732"/>
      <c r="HW43" s="732"/>
      <c r="HX43" s="732"/>
      <c r="HY43" s="732"/>
      <c r="HZ43" s="732"/>
      <c r="IA43" s="732"/>
      <c r="IB43" s="732"/>
      <c r="IC43" s="732"/>
      <c r="ID43" s="732"/>
      <c r="IE43" s="732"/>
      <c r="IF43" s="732"/>
      <c r="IG43" s="732"/>
      <c r="IH43" s="732"/>
      <c r="II43" s="732"/>
      <c r="IJ43" s="732"/>
      <c r="IK43" s="732"/>
      <c r="IL43" s="732"/>
      <c r="IM43" s="732"/>
      <c r="IN43" s="732"/>
      <c r="IO43" s="732"/>
      <c r="IP43" s="732"/>
      <c r="IQ43" s="732"/>
      <c r="IR43" s="732"/>
    </row>
    <row r="44" spans="1:252" ht="15.75" x14ac:dyDescent="0.25">
      <c r="A44" s="735"/>
      <c r="C44" s="728"/>
      <c r="D44" s="730"/>
      <c r="E44" s="1236"/>
      <c r="F44" s="730"/>
      <c r="G44" s="730"/>
      <c r="H44" s="730"/>
      <c r="I44" s="730"/>
      <c r="J44" s="730"/>
      <c r="K44" s="730"/>
      <c r="L44" s="730"/>
      <c r="M44" s="730"/>
      <c r="N44" s="730"/>
      <c r="O44" s="730"/>
      <c r="P44" s="730"/>
      <c r="Q44" s="730"/>
      <c r="R44" s="730"/>
      <c r="S44" s="730"/>
      <c r="T44" s="730"/>
      <c r="U44" s="730"/>
      <c r="V44" s="730"/>
      <c r="W44" s="730"/>
      <c r="X44" s="730"/>
      <c r="Y44" s="730"/>
      <c r="Z44" s="730"/>
      <c r="AA44" s="730"/>
      <c r="AB44" s="730"/>
      <c r="AC44" s="730"/>
      <c r="AD44" s="730"/>
      <c r="AE44" s="730"/>
      <c r="AF44" s="730"/>
      <c r="AG44" s="730"/>
      <c r="AH44" s="730"/>
      <c r="AI44" s="730"/>
      <c r="AJ44" s="730"/>
      <c r="AK44" s="730"/>
      <c r="AL44" s="730"/>
      <c r="AM44" s="730"/>
      <c r="AN44" s="730"/>
      <c r="AO44" s="730"/>
      <c r="AP44" s="730"/>
      <c r="AQ44" s="730"/>
      <c r="AR44" s="730"/>
      <c r="AS44" s="730"/>
      <c r="AT44" s="730"/>
      <c r="AU44" s="730"/>
      <c r="AV44" s="730"/>
      <c r="AW44" s="730"/>
      <c r="AX44" s="730"/>
      <c r="AY44" s="730"/>
      <c r="AZ44" s="730"/>
      <c r="BA44" s="730"/>
      <c r="BB44" s="730"/>
      <c r="BC44" s="730"/>
      <c r="BD44" s="730"/>
      <c r="BE44" s="730"/>
      <c r="BF44" s="730"/>
      <c r="BG44" s="730"/>
      <c r="BH44" s="730"/>
      <c r="BI44" s="730"/>
      <c r="BJ44" s="730"/>
      <c r="BK44" s="730"/>
      <c r="BL44" s="730"/>
      <c r="BM44" s="730"/>
      <c r="BN44" s="730"/>
      <c r="BO44" s="730"/>
      <c r="BP44" s="730"/>
      <c r="BQ44" s="730"/>
      <c r="BR44" s="730"/>
      <c r="BS44" s="730"/>
      <c r="BT44" s="730"/>
      <c r="BU44" s="730"/>
      <c r="BV44" s="730"/>
      <c r="BW44" s="730"/>
      <c r="BX44" s="730"/>
      <c r="BY44" s="730"/>
      <c r="BZ44" s="730"/>
      <c r="CA44" s="730"/>
      <c r="CB44" s="730"/>
      <c r="CC44" s="730"/>
      <c r="CD44" s="730"/>
      <c r="CE44" s="730"/>
      <c r="CF44" s="730"/>
      <c r="CG44" s="730"/>
      <c r="CH44" s="730"/>
      <c r="CI44" s="730"/>
      <c r="CJ44" s="730"/>
      <c r="CK44" s="730"/>
      <c r="CL44" s="730"/>
      <c r="CM44" s="730"/>
      <c r="CN44" s="730"/>
      <c r="CO44" s="730"/>
      <c r="CP44" s="730"/>
      <c r="CQ44" s="730"/>
      <c r="CR44" s="730"/>
      <c r="CS44" s="730"/>
      <c r="CT44" s="730"/>
      <c r="CU44" s="730"/>
      <c r="CV44" s="730"/>
      <c r="CW44" s="730"/>
      <c r="CX44" s="730"/>
      <c r="CY44" s="730"/>
      <c r="CZ44" s="730"/>
      <c r="DA44" s="730"/>
      <c r="DB44" s="730"/>
      <c r="DC44" s="730"/>
      <c r="DD44" s="730"/>
      <c r="DE44" s="730"/>
      <c r="DF44" s="730"/>
      <c r="DG44" s="730"/>
      <c r="DH44" s="730"/>
      <c r="DI44" s="730"/>
      <c r="DJ44" s="730"/>
      <c r="DK44" s="730"/>
      <c r="DL44" s="730"/>
      <c r="DM44" s="730"/>
      <c r="DN44" s="730"/>
      <c r="DO44" s="730"/>
      <c r="DP44" s="730"/>
      <c r="DQ44" s="730"/>
      <c r="DR44" s="730"/>
      <c r="DS44" s="730"/>
      <c r="DT44" s="730"/>
      <c r="DU44" s="730"/>
      <c r="DV44" s="730"/>
      <c r="DW44" s="730"/>
      <c r="DX44" s="730"/>
      <c r="DY44" s="730"/>
      <c r="DZ44" s="730"/>
      <c r="EA44" s="730"/>
      <c r="EB44" s="730"/>
      <c r="EC44" s="730"/>
      <c r="ED44" s="730"/>
      <c r="EE44" s="730"/>
      <c r="EF44" s="730"/>
      <c r="EG44" s="730"/>
      <c r="EH44" s="730"/>
      <c r="EI44" s="730"/>
      <c r="EJ44" s="730"/>
      <c r="EK44" s="730"/>
      <c r="EL44" s="730"/>
      <c r="EM44" s="730"/>
      <c r="EN44" s="730"/>
      <c r="EO44" s="730"/>
      <c r="EP44" s="730"/>
      <c r="EQ44" s="730"/>
      <c r="ER44" s="730"/>
      <c r="ES44" s="730"/>
      <c r="ET44" s="730"/>
      <c r="EU44" s="730"/>
      <c r="EV44" s="730"/>
      <c r="EW44" s="730"/>
      <c r="EX44" s="730"/>
      <c r="EY44" s="730"/>
      <c r="EZ44" s="730"/>
      <c r="FA44" s="730"/>
      <c r="FB44" s="730"/>
      <c r="FC44" s="730"/>
      <c r="FD44" s="730"/>
      <c r="FE44" s="730"/>
      <c r="FF44" s="730"/>
      <c r="FG44" s="730"/>
      <c r="FH44" s="730"/>
      <c r="FI44" s="730"/>
      <c r="FJ44" s="730"/>
      <c r="FK44" s="730"/>
      <c r="FL44" s="730"/>
      <c r="FM44" s="730"/>
      <c r="FN44" s="730"/>
      <c r="FO44" s="730"/>
      <c r="FP44" s="730"/>
      <c r="FQ44" s="730"/>
      <c r="FR44" s="730"/>
      <c r="FS44" s="730"/>
      <c r="FT44" s="730"/>
      <c r="FU44" s="730"/>
      <c r="FV44" s="730"/>
      <c r="FW44" s="730"/>
      <c r="FX44" s="730"/>
      <c r="FY44" s="730"/>
      <c r="FZ44" s="730"/>
      <c r="GA44" s="730"/>
      <c r="GB44" s="730"/>
      <c r="GC44" s="730"/>
      <c r="GD44" s="730"/>
      <c r="GE44" s="730"/>
      <c r="GF44" s="730"/>
      <c r="GG44" s="730"/>
      <c r="GH44" s="730"/>
      <c r="GI44" s="730"/>
      <c r="GJ44" s="730"/>
      <c r="GK44" s="730"/>
      <c r="GL44" s="730"/>
      <c r="GM44" s="730"/>
      <c r="GN44" s="730"/>
      <c r="GO44" s="730"/>
      <c r="GP44" s="730"/>
      <c r="GQ44" s="730"/>
      <c r="GR44" s="730"/>
      <c r="GS44" s="730"/>
      <c r="GT44" s="730"/>
      <c r="GU44" s="730"/>
      <c r="GV44" s="730"/>
      <c r="GW44" s="730"/>
      <c r="GX44" s="730"/>
      <c r="GY44" s="730"/>
      <c r="GZ44" s="730"/>
      <c r="HA44" s="730"/>
      <c r="HB44" s="730"/>
      <c r="HC44" s="730"/>
      <c r="HD44" s="730"/>
      <c r="HE44" s="730"/>
      <c r="HF44" s="730"/>
      <c r="HG44" s="730"/>
      <c r="HH44" s="730"/>
      <c r="HI44" s="730"/>
      <c r="HJ44" s="730"/>
      <c r="HK44" s="730"/>
      <c r="HL44" s="730"/>
      <c r="HM44" s="730"/>
      <c r="HN44" s="730"/>
      <c r="HO44" s="730"/>
      <c r="HP44" s="730"/>
      <c r="HQ44" s="730"/>
      <c r="HR44" s="730"/>
      <c r="HS44" s="730"/>
      <c r="HT44" s="730"/>
      <c r="HU44" s="730"/>
      <c r="HV44" s="730"/>
      <c r="HW44" s="730"/>
      <c r="HX44" s="730"/>
      <c r="HY44" s="730"/>
      <c r="HZ44" s="730"/>
      <c r="IA44" s="730"/>
      <c r="IB44" s="730"/>
      <c r="IC44" s="730"/>
      <c r="ID44" s="730"/>
      <c r="IE44" s="730"/>
      <c r="IF44" s="730"/>
      <c r="IG44" s="730"/>
      <c r="IH44" s="730"/>
      <c r="II44" s="730"/>
      <c r="IJ44" s="730"/>
      <c r="IK44" s="730"/>
      <c r="IL44" s="730"/>
      <c r="IM44" s="730"/>
      <c r="IN44" s="730"/>
      <c r="IO44" s="730"/>
      <c r="IP44" s="730"/>
      <c r="IQ44" s="730"/>
      <c r="IR44" s="730"/>
    </row>
    <row r="45" spans="1:252" ht="15.75" x14ac:dyDescent="0.25">
      <c r="A45" s="899"/>
      <c r="C45" s="666"/>
      <c r="D45" s="730"/>
      <c r="E45" s="1236"/>
      <c r="F45" s="730"/>
      <c r="G45" s="730"/>
      <c r="H45" s="730"/>
      <c r="I45" s="730"/>
      <c r="J45" s="730"/>
      <c r="K45" s="730"/>
      <c r="L45" s="730"/>
      <c r="M45" s="730"/>
      <c r="N45" s="730"/>
      <c r="O45" s="730"/>
      <c r="P45" s="730"/>
      <c r="Q45" s="730"/>
      <c r="R45" s="730"/>
      <c r="S45" s="730"/>
      <c r="T45" s="730"/>
      <c r="U45" s="730"/>
      <c r="V45" s="730"/>
      <c r="W45" s="730"/>
      <c r="X45" s="730"/>
      <c r="Y45" s="730"/>
      <c r="Z45" s="730"/>
      <c r="AA45" s="730"/>
      <c r="AB45" s="730"/>
      <c r="AC45" s="730"/>
      <c r="AD45" s="730"/>
      <c r="AE45" s="730"/>
      <c r="AF45" s="730"/>
      <c r="AG45" s="730"/>
      <c r="AH45" s="730"/>
      <c r="AI45" s="730"/>
      <c r="AJ45" s="730"/>
      <c r="AK45" s="730"/>
      <c r="AL45" s="730"/>
      <c r="AM45" s="730"/>
      <c r="AN45" s="730"/>
      <c r="AO45" s="730"/>
      <c r="AP45" s="730"/>
      <c r="AQ45" s="730"/>
      <c r="AR45" s="730"/>
      <c r="AS45" s="730"/>
      <c r="AT45" s="730"/>
      <c r="AU45" s="730"/>
      <c r="AV45" s="730"/>
      <c r="AW45" s="730"/>
      <c r="AX45" s="730"/>
      <c r="AY45" s="730"/>
      <c r="AZ45" s="730"/>
      <c r="BA45" s="730"/>
      <c r="BB45" s="730"/>
      <c r="BC45" s="730"/>
      <c r="BD45" s="730"/>
      <c r="BE45" s="730"/>
      <c r="BF45" s="730"/>
      <c r="BG45" s="730"/>
      <c r="BH45" s="730"/>
      <c r="BI45" s="730"/>
      <c r="BJ45" s="730"/>
      <c r="BK45" s="730"/>
      <c r="BL45" s="730"/>
      <c r="BM45" s="730"/>
      <c r="BN45" s="730"/>
      <c r="BO45" s="730"/>
      <c r="BP45" s="730"/>
      <c r="BQ45" s="730"/>
      <c r="BR45" s="730"/>
      <c r="BS45" s="730"/>
      <c r="BT45" s="730"/>
      <c r="BU45" s="730"/>
      <c r="BV45" s="730"/>
      <c r="BW45" s="730"/>
      <c r="BX45" s="730"/>
      <c r="BY45" s="730"/>
      <c r="BZ45" s="730"/>
      <c r="CA45" s="730"/>
      <c r="CB45" s="730"/>
      <c r="CC45" s="730"/>
      <c r="CD45" s="730"/>
      <c r="CE45" s="730"/>
      <c r="CF45" s="730"/>
      <c r="CG45" s="730"/>
      <c r="CH45" s="730"/>
      <c r="CI45" s="730"/>
      <c r="CJ45" s="730"/>
      <c r="CK45" s="730"/>
      <c r="CL45" s="730"/>
      <c r="CM45" s="730"/>
      <c r="CN45" s="730"/>
      <c r="CO45" s="730"/>
      <c r="CP45" s="730"/>
      <c r="CQ45" s="730"/>
      <c r="CR45" s="730"/>
      <c r="CS45" s="730"/>
      <c r="CT45" s="730"/>
      <c r="CU45" s="730"/>
      <c r="CV45" s="730"/>
      <c r="CW45" s="730"/>
      <c r="CX45" s="730"/>
      <c r="CY45" s="730"/>
      <c r="CZ45" s="730"/>
      <c r="DA45" s="730"/>
      <c r="DB45" s="730"/>
      <c r="DC45" s="730"/>
      <c r="DD45" s="730"/>
      <c r="DE45" s="730"/>
      <c r="DF45" s="730"/>
      <c r="DG45" s="730"/>
      <c r="DH45" s="730"/>
      <c r="DI45" s="730"/>
      <c r="DJ45" s="730"/>
      <c r="DK45" s="730"/>
      <c r="DL45" s="730"/>
      <c r="DM45" s="730"/>
      <c r="DN45" s="730"/>
      <c r="DO45" s="730"/>
      <c r="DP45" s="730"/>
      <c r="DQ45" s="730"/>
      <c r="DR45" s="730"/>
      <c r="DS45" s="730"/>
      <c r="DT45" s="730"/>
      <c r="DU45" s="730"/>
      <c r="DV45" s="730"/>
      <c r="DW45" s="730"/>
      <c r="DX45" s="730"/>
      <c r="DY45" s="730"/>
      <c r="DZ45" s="730"/>
      <c r="EA45" s="730"/>
      <c r="EB45" s="730"/>
      <c r="EC45" s="730"/>
      <c r="ED45" s="730"/>
      <c r="EE45" s="730"/>
      <c r="EF45" s="730"/>
      <c r="EG45" s="730"/>
      <c r="EH45" s="730"/>
      <c r="EI45" s="730"/>
      <c r="EJ45" s="730"/>
      <c r="EK45" s="730"/>
      <c r="EL45" s="730"/>
      <c r="EM45" s="730"/>
      <c r="EN45" s="730"/>
      <c r="EO45" s="730"/>
      <c r="EP45" s="730"/>
      <c r="EQ45" s="730"/>
      <c r="ER45" s="730"/>
      <c r="ES45" s="730"/>
      <c r="ET45" s="730"/>
      <c r="EU45" s="730"/>
      <c r="EV45" s="730"/>
      <c r="EW45" s="730"/>
      <c r="EX45" s="730"/>
      <c r="EY45" s="730"/>
      <c r="EZ45" s="730"/>
      <c r="FA45" s="730"/>
      <c r="FB45" s="730"/>
      <c r="FC45" s="730"/>
      <c r="FD45" s="730"/>
      <c r="FE45" s="730"/>
      <c r="FF45" s="730"/>
      <c r="FG45" s="730"/>
      <c r="FH45" s="730"/>
      <c r="FI45" s="730"/>
      <c r="FJ45" s="730"/>
      <c r="FK45" s="730"/>
      <c r="FL45" s="730"/>
      <c r="FM45" s="730"/>
      <c r="FN45" s="730"/>
      <c r="FO45" s="730"/>
      <c r="FP45" s="730"/>
      <c r="FQ45" s="730"/>
      <c r="FR45" s="730"/>
      <c r="FS45" s="730"/>
      <c r="FT45" s="730"/>
      <c r="FU45" s="730"/>
      <c r="FV45" s="730"/>
      <c r="FW45" s="730"/>
      <c r="FX45" s="730"/>
      <c r="FY45" s="730"/>
      <c r="FZ45" s="730"/>
      <c r="GA45" s="730"/>
      <c r="GB45" s="730"/>
      <c r="GC45" s="730"/>
      <c r="GD45" s="730"/>
      <c r="GE45" s="730"/>
      <c r="GF45" s="730"/>
      <c r="GG45" s="730"/>
      <c r="GH45" s="730"/>
      <c r="GI45" s="730"/>
      <c r="GJ45" s="730"/>
      <c r="GK45" s="730"/>
      <c r="GL45" s="730"/>
      <c r="GM45" s="730"/>
      <c r="GN45" s="730"/>
      <c r="GO45" s="730"/>
      <c r="GP45" s="730"/>
      <c r="GQ45" s="730"/>
      <c r="GR45" s="730"/>
      <c r="GS45" s="730"/>
      <c r="GT45" s="730"/>
      <c r="GU45" s="730"/>
      <c r="GV45" s="730"/>
      <c r="GW45" s="730"/>
      <c r="GX45" s="730"/>
      <c r="GY45" s="730"/>
      <c r="GZ45" s="730"/>
      <c r="HA45" s="730"/>
      <c r="HB45" s="730"/>
      <c r="HC45" s="730"/>
      <c r="HD45" s="730"/>
      <c r="HE45" s="730"/>
      <c r="HF45" s="730"/>
      <c r="HG45" s="730"/>
      <c r="HH45" s="730"/>
      <c r="HI45" s="730"/>
      <c r="HJ45" s="730"/>
      <c r="HK45" s="730"/>
      <c r="HL45" s="730"/>
      <c r="HM45" s="730"/>
      <c r="HN45" s="730"/>
      <c r="HO45" s="730"/>
      <c r="HP45" s="730"/>
      <c r="HQ45" s="730"/>
      <c r="HR45" s="730"/>
      <c r="HS45" s="730"/>
      <c r="HT45" s="730"/>
      <c r="HU45" s="730"/>
      <c r="HV45" s="730"/>
      <c r="HW45" s="730"/>
      <c r="HX45" s="730"/>
      <c r="HY45" s="730"/>
      <c r="HZ45" s="730"/>
      <c r="IA45" s="730"/>
      <c r="IB45" s="730"/>
      <c r="IC45" s="730"/>
      <c r="ID45" s="730"/>
      <c r="IE45" s="730"/>
      <c r="IF45" s="730"/>
      <c r="IG45" s="730"/>
      <c r="IH45" s="730"/>
      <c r="II45" s="730"/>
      <c r="IJ45" s="730"/>
      <c r="IK45" s="730"/>
      <c r="IL45" s="730"/>
      <c r="IM45" s="730"/>
      <c r="IN45" s="730"/>
      <c r="IO45" s="730"/>
      <c r="IP45" s="730"/>
      <c r="IQ45" s="730"/>
      <c r="IR45" s="730"/>
    </row>
    <row r="46" spans="1:252" ht="15.75" x14ac:dyDescent="0.25">
      <c r="B46" s="734"/>
      <c r="C46" s="666"/>
      <c r="D46" s="736"/>
      <c r="E46" s="1238"/>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6"/>
      <c r="AU46" s="736"/>
      <c r="AV46" s="736"/>
      <c r="AW46" s="736"/>
      <c r="AX46" s="736"/>
      <c r="AY46" s="736"/>
      <c r="AZ46" s="736"/>
      <c r="BA46" s="736"/>
      <c r="BB46" s="736"/>
      <c r="BC46" s="736"/>
      <c r="BD46" s="736"/>
      <c r="BE46" s="736"/>
      <c r="BF46" s="736"/>
      <c r="BG46" s="736"/>
      <c r="BH46" s="736"/>
      <c r="BI46" s="736"/>
      <c r="BJ46" s="736"/>
      <c r="BK46" s="736"/>
      <c r="BL46" s="736"/>
      <c r="BM46" s="736"/>
      <c r="BN46" s="736"/>
      <c r="BO46" s="736"/>
      <c r="BP46" s="736"/>
      <c r="BQ46" s="736"/>
      <c r="BR46" s="736"/>
      <c r="BS46" s="736"/>
      <c r="BT46" s="736"/>
      <c r="BU46" s="736"/>
      <c r="BV46" s="736"/>
      <c r="BW46" s="736"/>
      <c r="BX46" s="736"/>
      <c r="BY46" s="736"/>
      <c r="BZ46" s="736"/>
      <c r="CA46" s="736"/>
      <c r="CB46" s="736"/>
      <c r="CC46" s="736"/>
      <c r="CD46" s="736"/>
      <c r="CE46" s="736"/>
      <c r="CF46" s="736"/>
      <c r="CG46" s="736"/>
      <c r="CH46" s="736"/>
      <c r="CI46" s="736"/>
      <c r="CJ46" s="736"/>
      <c r="CK46" s="736"/>
      <c r="CL46" s="736"/>
      <c r="CM46" s="736"/>
      <c r="CN46" s="736"/>
      <c r="CO46" s="736"/>
      <c r="CP46" s="736"/>
      <c r="CQ46" s="736"/>
      <c r="CR46" s="736"/>
      <c r="CS46" s="736"/>
      <c r="CT46" s="736"/>
      <c r="CU46" s="736"/>
      <c r="CV46" s="736"/>
      <c r="CW46" s="736"/>
      <c r="CX46" s="736"/>
      <c r="CY46" s="736"/>
      <c r="CZ46" s="736"/>
      <c r="DA46" s="736"/>
      <c r="DB46" s="736"/>
      <c r="DC46" s="736"/>
      <c r="DD46" s="736"/>
      <c r="DE46" s="736"/>
      <c r="DF46" s="736"/>
      <c r="DG46" s="736"/>
      <c r="DH46" s="736"/>
      <c r="DI46" s="736"/>
      <c r="DJ46" s="736"/>
      <c r="DK46" s="736"/>
      <c r="DL46" s="736"/>
      <c r="DM46" s="736"/>
      <c r="DN46" s="736"/>
      <c r="DO46" s="736"/>
      <c r="DP46" s="736"/>
      <c r="DQ46" s="736"/>
      <c r="DR46" s="736"/>
      <c r="DS46" s="736"/>
      <c r="DT46" s="736"/>
      <c r="DU46" s="736"/>
      <c r="DV46" s="736"/>
      <c r="DW46" s="736"/>
      <c r="DX46" s="736"/>
      <c r="DY46" s="736"/>
      <c r="DZ46" s="736"/>
      <c r="EA46" s="736"/>
      <c r="EB46" s="736"/>
      <c r="EC46" s="736"/>
      <c r="ED46" s="736"/>
      <c r="EE46" s="736"/>
      <c r="EF46" s="736"/>
      <c r="EG46" s="736"/>
      <c r="EH46" s="736"/>
      <c r="EI46" s="736"/>
      <c r="EJ46" s="736"/>
      <c r="EK46" s="736"/>
      <c r="EL46" s="736"/>
      <c r="EM46" s="736"/>
      <c r="EN46" s="736"/>
      <c r="EO46" s="736"/>
      <c r="EP46" s="736"/>
      <c r="EQ46" s="736"/>
      <c r="ER46" s="736"/>
      <c r="ES46" s="736"/>
      <c r="ET46" s="736"/>
      <c r="EU46" s="736"/>
      <c r="EV46" s="736"/>
      <c r="EW46" s="736"/>
      <c r="EX46" s="736"/>
      <c r="EY46" s="736"/>
      <c r="EZ46" s="736"/>
      <c r="FA46" s="736"/>
      <c r="FB46" s="736"/>
      <c r="FC46" s="736"/>
      <c r="FD46" s="736"/>
      <c r="FE46" s="736"/>
      <c r="FF46" s="736"/>
      <c r="FG46" s="736"/>
      <c r="FH46" s="736"/>
      <c r="FI46" s="736"/>
      <c r="FJ46" s="736"/>
      <c r="FK46" s="736"/>
      <c r="FL46" s="736"/>
      <c r="FM46" s="736"/>
      <c r="FN46" s="736"/>
      <c r="FO46" s="736"/>
      <c r="FP46" s="736"/>
      <c r="FQ46" s="736"/>
      <c r="FR46" s="736"/>
      <c r="FS46" s="736"/>
      <c r="FT46" s="736"/>
      <c r="FU46" s="736"/>
      <c r="FV46" s="736"/>
      <c r="FW46" s="736"/>
      <c r="FX46" s="736"/>
      <c r="FY46" s="736"/>
      <c r="FZ46" s="736"/>
      <c r="GA46" s="736"/>
      <c r="GB46" s="736"/>
      <c r="GC46" s="736"/>
      <c r="GD46" s="736"/>
      <c r="GE46" s="736"/>
      <c r="GF46" s="736"/>
      <c r="GG46" s="736"/>
      <c r="GH46" s="736"/>
      <c r="GI46" s="736"/>
      <c r="GJ46" s="736"/>
      <c r="GK46" s="736"/>
      <c r="GL46" s="736"/>
      <c r="GM46" s="736"/>
      <c r="GN46" s="736"/>
      <c r="GO46" s="736"/>
      <c r="GP46" s="736"/>
      <c r="GQ46" s="736"/>
      <c r="GR46" s="736"/>
      <c r="GS46" s="736"/>
      <c r="GT46" s="736"/>
      <c r="GU46" s="736"/>
      <c r="GV46" s="736"/>
      <c r="GW46" s="736"/>
      <c r="GX46" s="736"/>
      <c r="GY46" s="736"/>
      <c r="GZ46" s="736"/>
      <c r="HA46" s="736"/>
      <c r="HB46" s="736"/>
      <c r="HC46" s="736"/>
      <c r="HD46" s="736"/>
      <c r="HE46" s="736"/>
      <c r="HF46" s="736"/>
      <c r="HG46" s="736"/>
      <c r="HH46" s="736"/>
      <c r="HI46" s="736"/>
      <c r="HJ46" s="736"/>
      <c r="HK46" s="736"/>
      <c r="HL46" s="736"/>
      <c r="HM46" s="736"/>
      <c r="HN46" s="736"/>
      <c r="HO46" s="736"/>
      <c r="HP46" s="736"/>
      <c r="HQ46" s="736"/>
      <c r="HR46" s="736"/>
      <c r="HS46" s="736"/>
      <c r="HT46" s="736"/>
      <c r="HU46" s="736"/>
      <c r="HV46" s="736"/>
      <c r="HW46" s="736"/>
      <c r="HX46" s="736"/>
      <c r="HY46" s="736"/>
      <c r="HZ46" s="736"/>
      <c r="IA46" s="736"/>
      <c r="IB46" s="736"/>
      <c r="IC46" s="736"/>
      <c r="ID46" s="736"/>
      <c r="IE46" s="736"/>
      <c r="IF46" s="736"/>
      <c r="IG46" s="736"/>
      <c r="IH46" s="736"/>
      <c r="II46" s="736"/>
      <c r="IJ46" s="736"/>
      <c r="IK46" s="736"/>
      <c r="IL46" s="736"/>
      <c r="IM46" s="736"/>
      <c r="IN46" s="736"/>
      <c r="IO46" s="736"/>
      <c r="IP46" s="736"/>
      <c r="IQ46" s="736"/>
      <c r="IR46" s="736"/>
    </row>
    <row r="47" spans="1:252" x14ac:dyDescent="0.25">
      <c r="B47" s="737"/>
      <c r="C47" s="737"/>
    </row>
    <row r="48" spans="1:252" x14ac:dyDescent="0.25">
      <c r="B48" s="737"/>
      <c r="C48" s="737"/>
    </row>
    <row r="49" spans="2:3" x14ac:dyDescent="0.25">
      <c r="B49" s="737"/>
      <c r="C49" s="737"/>
    </row>
    <row r="50" spans="2:3" x14ac:dyDescent="0.25">
      <c r="B50" s="737"/>
      <c r="C50" s="737"/>
    </row>
    <row r="51" spans="2:3" x14ac:dyDescent="0.25">
      <c r="B51" s="737"/>
      <c r="C51" s="737"/>
    </row>
    <row r="52" spans="2:3" x14ac:dyDescent="0.25">
      <c r="B52" s="737"/>
      <c r="C52" s="737"/>
    </row>
    <row r="53" spans="2:3" x14ac:dyDescent="0.25">
      <c r="B53" s="737"/>
      <c r="C53" s="737"/>
    </row>
    <row r="54" spans="2:3" x14ac:dyDescent="0.25">
      <c r="B54" s="737"/>
      <c r="C54" s="737"/>
    </row>
    <row r="55" spans="2:3" x14ac:dyDescent="0.25">
      <c r="B55" s="737"/>
      <c r="C55" s="737"/>
    </row>
    <row r="56" spans="2:3" x14ac:dyDescent="0.25">
      <c r="B56" s="737"/>
      <c r="C56" s="737"/>
    </row>
    <row r="57" spans="2:3" x14ac:dyDescent="0.25">
      <c r="B57" s="737"/>
      <c r="C57" s="737"/>
    </row>
    <row r="58" spans="2:3" x14ac:dyDescent="0.25">
      <c r="B58" s="737"/>
      <c r="C58" s="737"/>
    </row>
    <row r="59" spans="2:3" x14ac:dyDescent="0.25">
      <c r="B59" s="737"/>
      <c r="C59" s="737"/>
    </row>
    <row r="60" spans="2:3" x14ac:dyDescent="0.25">
      <c r="B60" s="737"/>
      <c r="C60" s="737"/>
    </row>
    <row r="61" spans="2:3" x14ac:dyDescent="0.25">
      <c r="B61" s="737"/>
      <c r="C61" s="737"/>
    </row>
    <row r="62" spans="2:3" x14ac:dyDescent="0.25">
      <c r="B62" s="737"/>
      <c r="C62" s="737"/>
    </row>
    <row r="63" spans="2:3" x14ac:dyDescent="0.25">
      <c r="B63" s="737"/>
      <c r="C63" s="737"/>
    </row>
    <row r="64" spans="2:3" x14ac:dyDescent="0.25">
      <c r="B64" s="737"/>
      <c r="C64" s="737"/>
    </row>
    <row r="65" spans="2:3" x14ac:dyDescent="0.25">
      <c r="B65" s="737"/>
      <c r="C65" s="737"/>
    </row>
    <row r="66" spans="2:3" x14ac:dyDescent="0.25">
      <c r="B66" s="737"/>
      <c r="C66" s="737"/>
    </row>
    <row r="67" spans="2:3" x14ac:dyDescent="0.25">
      <c r="B67" s="737"/>
      <c r="C67" s="737"/>
    </row>
    <row r="68" spans="2:3" x14ac:dyDescent="0.25">
      <c r="B68" s="737"/>
      <c r="C68" s="737"/>
    </row>
    <row r="69" spans="2:3" x14ac:dyDescent="0.25">
      <c r="B69" s="737"/>
      <c r="C69" s="737"/>
    </row>
    <row r="70" spans="2:3" x14ac:dyDescent="0.25">
      <c r="B70" s="737"/>
      <c r="C70" s="737"/>
    </row>
    <row r="71" spans="2:3" x14ac:dyDescent="0.25">
      <c r="B71" s="737"/>
      <c r="C71" s="737"/>
    </row>
    <row r="72" spans="2:3" x14ac:dyDescent="0.25">
      <c r="B72" s="737"/>
      <c r="C72" s="737"/>
    </row>
    <row r="73" spans="2:3" x14ac:dyDescent="0.25">
      <c r="B73" s="737"/>
      <c r="C73" s="737"/>
    </row>
    <row r="74" spans="2:3" x14ac:dyDescent="0.25">
      <c r="B74" s="737"/>
      <c r="C74" s="737"/>
    </row>
    <row r="75" spans="2:3" x14ac:dyDescent="0.25">
      <c r="B75" s="737"/>
      <c r="C75" s="737"/>
    </row>
    <row r="76" spans="2:3" x14ac:dyDescent="0.25">
      <c r="B76" s="737"/>
      <c r="C76" s="737"/>
    </row>
    <row r="77" spans="2:3" x14ac:dyDescent="0.25">
      <c r="B77" s="737"/>
      <c r="C77" s="737"/>
    </row>
    <row r="78" spans="2:3" x14ac:dyDescent="0.25">
      <c r="B78" s="737"/>
      <c r="C78" s="737"/>
    </row>
    <row r="79" spans="2:3" x14ac:dyDescent="0.25">
      <c r="B79" s="737"/>
      <c r="C79" s="737"/>
    </row>
    <row r="80" spans="2:3" x14ac:dyDescent="0.25">
      <c r="B80" s="737"/>
      <c r="C80" s="737"/>
    </row>
    <row r="81" spans="2:3" x14ac:dyDescent="0.25">
      <c r="B81" s="737"/>
      <c r="C81" s="737"/>
    </row>
    <row r="82" spans="2:3" x14ac:dyDescent="0.25">
      <c r="B82" s="737"/>
      <c r="C82" s="737"/>
    </row>
    <row r="83" spans="2:3" x14ac:dyDescent="0.25">
      <c r="B83" s="737"/>
      <c r="C83" s="737"/>
    </row>
    <row r="84" spans="2:3" x14ac:dyDescent="0.25">
      <c r="B84" s="737"/>
      <c r="C84" s="737"/>
    </row>
    <row r="85" spans="2:3" x14ac:dyDescent="0.25">
      <c r="B85" s="737"/>
      <c r="C85" s="737"/>
    </row>
    <row r="86" spans="2:3" x14ac:dyDescent="0.25">
      <c r="B86" s="737"/>
      <c r="C86" s="737"/>
    </row>
    <row r="87" spans="2:3" x14ac:dyDescent="0.25">
      <c r="B87" s="737"/>
      <c r="C87" s="737"/>
    </row>
    <row r="88" spans="2:3" x14ac:dyDescent="0.25">
      <c r="B88" s="737"/>
      <c r="C88" s="737"/>
    </row>
    <row r="89" spans="2:3" x14ac:dyDescent="0.25">
      <c r="B89" s="737"/>
      <c r="C89" s="737"/>
    </row>
    <row r="90" spans="2:3" x14ac:dyDescent="0.25">
      <c r="B90" s="737"/>
      <c r="C90" s="737"/>
    </row>
    <row r="91" spans="2:3" x14ac:dyDescent="0.25">
      <c r="B91" s="737"/>
      <c r="C91" s="737"/>
    </row>
    <row r="92" spans="2:3" x14ac:dyDescent="0.25">
      <c r="B92" s="737"/>
      <c r="C92" s="737"/>
    </row>
    <row r="93" spans="2:3" x14ac:dyDescent="0.25">
      <c r="B93" s="737"/>
      <c r="C93" s="737"/>
    </row>
    <row r="94" spans="2:3" x14ac:dyDescent="0.25">
      <c r="B94" s="737"/>
      <c r="C94" s="737"/>
    </row>
    <row r="95" spans="2:3" x14ac:dyDescent="0.25">
      <c r="B95" s="737"/>
      <c r="C95" s="737"/>
    </row>
    <row r="96" spans="2:3" x14ac:dyDescent="0.25">
      <c r="B96" s="737"/>
      <c r="C96" s="737"/>
    </row>
    <row r="97" spans="2:3" x14ac:dyDescent="0.25">
      <c r="B97" s="737"/>
      <c r="C97" s="737"/>
    </row>
    <row r="98" spans="2:3" x14ac:dyDescent="0.25">
      <c r="B98" s="737"/>
      <c r="C98" s="737"/>
    </row>
    <row r="99" spans="2:3" x14ac:dyDescent="0.25">
      <c r="B99" s="737"/>
      <c r="C99" s="737"/>
    </row>
    <row r="100" spans="2:3" x14ac:dyDescent="0.25">
      <c r="B100" s="737"/>
      <c r="C100" s="737"/>
    </row>
    <row r="101" spans="2:3" x14ac:dyDescent="0.25">
      <c r="B101" s="737"/>
      <c r="C101" s="737"/>
    </row>
    <row r="102" spans="2:3" x14ac:dyDescent="0.25">
      <c r="B102" s="737"/>
      <c r="C102" s="737"/>
    </row>
    <row r="103" spans="2:3" x14ac:dyDescent="0.25">
      <c r="B103" s="737"/>
      <c r="C103" s="737"/>
    </row>
    <row r="104" spans="2:3" x14ac:dyDescent="0.25">
      <c r="B104" s="737"/>
      <c r="C104" s="737"/>
    </row>
    <row r="105" spans="2:3" x14ac:dyDescent="0.25">
      <c r="B105" s="737"/>
      <c r="C105" s="737"/>
    </row>
    <row r="106" spans="2:3" x14ac:dyDescent="0.25">
      <c r="B106" s="737"/>
      <c r="C106" s="737"/>
    </row>
    <row r="107" spans="2:3" x14ac:dyDescent="0.25">
      <c r="B107" s="737"/>
      <c r="C107" s="737"/>
    </row>
    <row r="108" spans="2:3" x14ac:dyDescent="0.25">
      <c r="B108" s="737"/>
      <c r="C108" s="737"/>
    </row>
    <row r="109" spans="2:3" x14ac:dyDescent="0.25">
      <c r="B109" s="737"/>
      <c r="C109" s="737"/>
    </row>
    <row r="110" spans="2:3" x14ac:dyDescent="0.25">
      <c r="B110" s="737"/>
      <c r="C110" s="737"/>
    </row>
    <row r="111" spans="2:3" x14ac:dyDescent="0.25">
      <c r="B111" s="737"/>
      <c r="C111" s="737"/>
    </row>
    <row r="112" spans="2:3" x14ac:dyDescent="0.25">
      <c r="B112" s="737"/>
      <c r="C112" s="737"/>
    </row>
    <row r="113" spans="2:3" x14ac:dyDescent="0.25">
      <c r="B113" s="737"/>
      <c r="C113" s="737"/>
    </row>
    <row r="114" spans="2:3" x14ac:dyDescent="0.25">
      <c r="B114" s="737"/>
      <c r="C114" s="737"/>
    </row>
    <row r="115" spans="2:3" x14ac:dyDescent="0.25">
      <c r="B115" s="737"/>
      <c r="C115" s="737"/>
    </row>
    <row r="116" spans="2:3" x14ac:dyDescent="0.25">
      <c r="B116" s="737"/>
      <c r="C116" s="737"/>
    </row>
    <row r="117" spans="2:3" x14ac:dyDescent="0.25">
      <c r="B117" s="737"/>
      <c r="C117" s="737"/>
    </row>
    <row r="118" spans="2:3" x14ac:dyDescent="0.25">
      <c r="B118" s="737"/>
      <c r="C118" s="737"/>
    </row>
    <row r="119" spans="2:3" x14ac:dyDescent="0.25">
      <c r="B119" s="737"/>
      <c r="C119" s="737"/>
    </row>
    <row r="120" spans="2:3" x14ac:dyDescent="0.25">
      <c r="B120" s="737"/>
      <c r="C120" s="737"/>
    </row>
    <row r="121" spans="2:3" x14ac:dyDescent="0.25">
      <c r="B121" s="737"/>
      <c r="C121" s="737"/>
    </row>
    <row r="122" spans="2:3" x14ac:dyDescent="0.25">
      <c r="B122" s="737"/>
      <c r="C122" s="737"/>
    </row>
    <row r="123" spans="2:3" x14ac:dyDescent="0.25">
      <c r="B123" s="737"/>
      <c r="C123" s="737"/>
    </row>
    <row r="124" spans="2:3" x14ac:dyDescent="0.25">
      <c r="B124" s="737"/>
      <c r="C124" s="737"/>
    </row>
    <row r="125" spans="2:3" x14ac:dyDescent="0.25">
      <c r="B125" s="737"/>
      <c r="C125" s="737"/>
    </row>
    <row r="126" spans="2:3" x14ac:dyDescent="0.25">
      <c r="B126" s="737"/>
      <c r="C126" s="737"/>
    </row>
    <row r="127" spans="2:3" x14ac:dyDescent="0.25">
      <c r="B127" s="737"/>
      <c r="C127" s="737"/>
    </row>
    <row r="128" spans="2:3" x14ac:dyDescent="0.25">
      <c r="B128" s="737"/>
      <c r="C128" s="737"/>
    </row>
    <row r="129" spans="2:3" x14ac:dyDescent="0.25">
      <c r="B129" s="737"/>
      <c r="C129" s="737"/>
    </row>
    <row r="130" spans="2:3" x14ac:dyDescent="0.25">
      <c r="B130" s="737"/>
      <c r="C130" s="737"/>
    </row>
    <row r="131" spans="2:3" x14ac:dyDescent="0.25">
      <c r="B131" s="737"/>
      <c r="C131" s="737"/>
    </row>
    <row r="132" spans="2:3" x14ac:dyDescent="0.25">
      <c r="B132" s="737"/>
      <c r="C132" s="737"/>
    </row>
    <row r="133" spans="2:3" x14ac:dyDescent="0.25">
      <c r="B133" s="737"/>
      <c r="C133" s="737"/>
    </row>
    <row r="134" spans="2:3" x14ac:dyDescent="0.25">
      <c r="B134" s="737"/>
      <c r="C134" s="737"/>
    </row>
    <row r="135" spans="2:3" x14ac:dyDescent="0.25">
      <c r="B135" s="737"/>
      <c r="C135" s="737"/>
    </row>
    <row r="136" spans="2:3" x14ac:dyDescent="0.25">
      <c r="B136" s="737"/>
      <c r="C136" s="737"/>
    </row>
    <row r="137" spans="2:3" x14ac:dyDescent="0.25">
      <c r="B137" s="737"/>
      <c r="C137" s="737"/>
    </row>
    <row r="138" spans="2:3" x14ac:dyDescent="0.25">
      <c r="B138" s="737"/>
      <c r="C138" s="737"/>
    </row>
  </sheetData>
  <mergeCells count="6">
    <mergeCell ref="D14:E14"/>
    <mergeCell ref="A1:C1"/>
    <mergeCell ref="A2:C2"/>
    <mergeCell ref="A3:C3"/>
    <mergeCell ref="A4:C4"/>
    <mergeCell ref="A6:C6"/>
  </mergeCells>
  <printOptions horizontalCentered="1"/>
  <pageMargins left="0.31496062992125984" right="0.31496062992125984" top="0.19685039370078741" bottom="0.19685039370078741" header="0.31496062992125984" footer="0.31496062992125984"/>
  <pageSetup scale="77" orientation="portrait" horizontalDpi="4294967295" verticalDpi="4294967295"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T62"/>
  <sheetViews>
    <sheetView showGridLines="0" topLeftCell="A21" zoomScaleNormal="100" workbookViewId="0">
      <selection activeCell="C27" sqref="C27"/>
    </sheetView>
  </sheetViews>
  <sheetFormatPr baseColWidth="10" defaultColWidth="11.375" defaultRowHeight="15" x14ac:dyDescent="0.25"/>
  <cols>
    <col min="1" max="1" width="22.75" style="739" customWidth="1"/>
    <col min="2" max="2" width="19.25" style="739" customWidth="1"/>
    <col min="3" max="3" width="16" style="739" customWidth="1"/>
    <col min="4" max="4" width="18.125" style="739" customWidth="1"/>
    <col min="5" max="5" width="16" style="739" customWidth="1"/>
    <col min="6" max="6" width="16.125" style="739" customWidth="1"/>
    <col min="7" max="7" width="14.625" style="739" customWidth="1"/>
    <col min="8" max="8" width="14.875" style="739" customWidth="1"/>
    <col min="9" max="9" width="14.125" style="739" hidden="1" customWidth="1"/>
    <col min="10" max="10" width="12.625" style="739" hidden="1" customWidth="1"/>
    <col min="11" max="11" width="14.125" style="739" bestFit="1" customWidth="1"/>
    <col min="12" max="12" width="16.25" style="739" customWidth="1"/>
    <col min="13" max="13" width="16.75" style="739" bestFit="1" customWidth="1"/>
    <col min="14" max="14" width="16.125" style="739" customWidth="1"/>
    <col min="15" max="15" width="11.375" style="739"/>
    <col min="16" max="16" width="15.625" style="739" customWidth="1"/>
    <col min="17" max="17" width="14" style="739" bestFit="1" customWidth="1"/>
    <col min="18" max="18" width="16" style="739" customWidth="1"/>
    <col min="19" max="19" width="17" style="739" customWidth="1"/>
    <col min="20" max="20" width="16.875" style="739" customWidth="1"/>
    <col min="21" max="16384" width="11.375" style="739"/>
  </cols>
  <sheetData>
    <row r="4" spans="1:8" ht="20.100000000000001" customHeight="1" x14ac:dyDescent="0.25">
      <c r="B4" s="950"/>
    </row>
    <row r="5" spans="1:8" ht="20.100000000000001" customHeight="1" x14ac:dyDescent="0.25">
      <c r="A5" s="951"/>
      <c r="B5" s="952" t="s">
        <v>902</v>
      </c>
      <c r="C5" s="953" t="s">
        <v>903</v>
      </c>
    </row>
    <row r="6" spans="1:8" ht="20.100000000000001" customHeight="1" x14ac:dyDescent="0.25">
      <c r="A6" s="951" t="s">
        <v>904</v>
      </c>
      <c r="B6" s="954">
        <v>3150000000</v>
      </c>
      <c r="C6" s="955">
        <f>+B6/$B$10</f>
        <v>0.41176470588235292</v>
      </c>
      <c r="E6" s="985" t="e">
        <f>+#REF!+#REF!</f>
        <v>#REF!</v>
      </c>
      <c r="F6" s="956" t="e">
        <f>+E6/$E$10</f>
        <v>#REF!</v>
      </c>
      <c r="G6" s="956"/>
    </row>
    <row r="7" spans="1:8" ht="20.100000000000001" customHeight="1" x14ac:dyDescent="0.25">
      <c r="A7" s="951" t="s">
        <v>901</v>
      </c>
      <c r="B7" s="954">
        <v>0</v>
      </c>
      <c r="C7" s="955">
        <f>+B7/$B$10</f>
        <v>0</v>
      </c>
      <c r="E7" s="985">
        <f>+Compota!H15</f>
        <v>0</v>
      </c>
      <c r="F7" s="956" t="e">
        <f>+E7/$E$10</f>
        <v>#REF!</v>
      </c>
      <c r="G7" s="957"/>
    </row>
    <row r="8" spans="1:8" ht="20.100000000000001" customHeight="1" x14ac:dyDescent="0.25">
      <c r="A8" s="951" t="s">
        <v>919</v>
      </c>
      <c r="B8" s="954">
        <v>2500000000</v>
      </c>
      <c r="C8" s="955">
        <f>+B8/$B$10</f>
        <v>0.32679738562091504</v>
      </c>
      <c r="E8" s="985">
        <f>+Vit_Mez!G16</f>
        <v>0</v>
      </c>
      <c r="F8" s="956" t="e">
        <f>+E8/$E$10</f>
        <v>#REF!</v>
      </c>
    </row>
    <row r="9" spans="1:8" ht="20.100000000000001" customHeight="1" x14ac:dyDescent="0.25">
      <c r="A9" s="951" t="s">
        <v>796</v>
      </c>
      <c r="B9" s="954">
        <v>2000000000</v>
      </c>
      <c r="C9" s="955">
        <f>+B9/$B$10</f>
        <v>0.26143790849673204</v>
      </c>
      <c r="E9" s="985">
        <f>+Vit_Mez!G15</f>
        <v>0</v>
      </c>
      <c r="F9" s="956" t="e">
        <f>+E9/$E$10</f>
        <v>#REF!</v>
      </c>
    </row>
    <row r="10" spans="1:8" ht="20.100000000000001" customHeight="1" x14ac:dyDescent="0.25">
      <c r="A10" s="951" t="s">
        <v>905</v>
      </c>
      <c r="B10" s="954">
        <f>SUM(B6:B9)</f>
        <v>7650000000</v>
      </c>
      <c r="C10" s="955">
        <f>+B10/$B$10</f>
        <v>1</v>
      </c>
      <c r="E10" s="986" t="e">
        <f>SUM(E6:E9)</f>
        <v>#REF!</v>
      </c>
      <c r="F10" s="987" t="e">
        <f>SUM(F6:F9)</f>
        <v>#REF!</v>
      </c>
    </row>
    <row r="11" spans="1:8" ht="20.100000000000001" customHeight="1" x14ac:dyDescent="0.25">
      <c r="A11" s="950"/>
      <c r="B11" s="958"/>
    </row>
    <row r="12" spans="1:8" ht="20.100000000000001" customHeight="1" x14ac:dyDescent="0.25">
      <c r="A12" s="950"/>
      <c r="B12" s="959"/>
    </row>
    <row r="13" spans="1:8" x14ac:dyDescent="0.25">
      <c r="B13" s="961"/>
    </row>
    <row r="14" spans="1:8" x14ac:dyDescent="0.25">
      <c r="B14" s="958"/>
      <c r="F14" s="961" t="e">
        <f>+D27</f>
        <v>#REF!</v>
      </c>
    </row>
    <row r="16" spans="1:8" x14ac:dyDescent="0.25">
      <c r="G16" s="960"/>
      <c r="H16" s="961"/>
    </row>
    <row r="18" spans="1:20" ht="24.75" customHeight="1" x14ac:dyDescent="0.25">
      <c r="A18" s="962" t="s">
        <v>278</v>
      </c>
      <c r="B18" s="998" t="s">
        <v>352</v>
      </c>
      <c r="C18" s="998" t="s">
        <v>870</v>
      </c>
      <c r="D18" s="998" t="s">
        <v>906</v>
      </c>
      <c r="E18" s="998" t="s">
        <v>907</v>
      </c>
      <c r="F18" s="998" t="s">
        <v>908</v>
      </c>
      <c r="G18" s="997" t="s">
        <v>909</v>
      </c>
      <c r="H18" s="998" t="s">
        <v>788</v>
      </c>
      <c r="I18" s="998" t="s">
        <v>910</v>
      </c>
      <c r="J18" s="998" t="s">
        <v>911</v>
      </c>
      <c r="K18" s="998" t="s">
        <v>912</v>
      </c>
      <c r="L18" s="998" t="s">
        <v>701</v>
      </c>
      <c r="M18" s="998" t="s">
        <v>902</v>
      </c>
      <c r="N18" s="998" t="s">
        <v>678</v>
      </c>
    </row>
    <row r="19" spans="1:20" ht="20.100000000000001" customHeight="1" x14ac:dyDescent="0.25">
      <c r="A19" s="951" t="s">
        <v>904</v>
      </c>
      <c r="B19" s="963" t="e">
        <f>+B47</f>
        <v>#REF!</v>
      </c>
      <c r="C19" s="963" t="e">
        <f t="shared" ref="C19:H19" si="0">+C47</f>
        <v>#REF!</v>
      </c>
      <c r="D19" s="963" t="e">
        <f t="shared" si="0"/>
        <v>#REF!</v>
      </c>
      <c r="E19" s="963" t="e">
        <f t="shared" si="0"/>
        <v>#REF!</v>
      </c>
      <c r="F19" s="963" t="e">
        <f t="shared" si="0"/>
        <v>#REF!</v>
      </c>
      <c r="G19" s="963" t="e">
        <f t="shared" si="0"/>
        <v>#REF!</v>
      </c>
      <c r="H19" s="963">
        <f t="shared" si="0"/>
        <v>317921.27999999997</v>
      </c>
      <c r="I19" s="963">
        <v>0</v>
      </c>
      <c r="J19" s="963">
        <v>0</v>
      </c>
      <c r="K19" s="963" t="e">
        <f>+#REF!*C6</f>
        <v>#REF!</v>
      </c>
      <c r="L19" s="963" t="e">
        <f>SUM(B19:K19)</f>
        <v>#REF!</v>
      </c>
      <c r="M19" s="963">
        <f>+B6</f>
        <v>3150000000</v>
      </c>
      <c r="N19" s="963" t="e">
        <f>+M19-L19</f>
        <v>#REF!</v>
      </c>
      <c r="P19" s="961" t="e">
        <f>SUM(B19:H19)</f>
        <v>#REF!</v>
      </c>
      <c r="Q19" s="961" t="e">
        <f>+#REF!</f>
        <v>#REF!</v>
      </c>
      <c r="R19" s="961" t="e">
        <f>+P19-Q19</f>
        <v>#REF!</v>
      </c>
      <c r="S19" s="961" t="e">
        <f>+E19</f>
        <v>#REF!</v>
      </c>
      <c r="T19" s="961" t="e">
        <f>+R19-S19</f>
        <v>#REF!</v>
      </c>
    </row>
    <row r="20" spans="1:20" ht="20.100000000000001" customHeight="1" x14ac:dyDescent="0.25">
      <c r="A20" s="951" t="s">
        <v>796</v>
      </c>
      <c r="B20" s="963">
        <f>+B48</f>
        <v>0</v>
      </c>
      <c r="C20" s="963">
        <f t="shared" ref="C20:H20" si="1">+C48</f>
        <v>0</v>
      </c>
      <c r="D20" s="963" t="e">
        <f t="shared" si="1"/>
        <v>#VALUE!</v>
      </c>
      <c r="E20" s="963" t="e">
        <f t="shared" si="1"/>
        <v>#REF!</v>
      </c>
      <c r="F20" s="963" t="e">
        <f t="shared" si="1"/>
        <v>#VALUE!</v>
      </c>
      <c r="G20" s="963" t="e">
        <f t="shared" si="1"/>
        <v>#REF!</v>
      </c>
      <c r="H20" s="963">
        <f t="shared" si="1"/>
        <v>317921.27999999997</v>
      </c>
      <c r="I20" s="963">
        <v>0</v>
      </c>
      <c r="J20" s="963">
        <v>0</v>
      </c>
      <c r="K20" s="963" t="e">
        <f>+#REF!*C8</f>
        <v>#REF!</v>
      </c>
      <c r="L20" s="963" t="e">
        <f>SUM(B20:K20)</f>
        <v>#VALUE!</v>
      </c>
      <c r="M20" s="963">
        <v>2500000000</v>
      </c>
      <c r="N20" s="963" t="e">
        <f>+M20-L20</f>
        <v>#VALUE!</v>
      </c>
      <c r="P20" s="961" t="e">
        <f>SUM(B20:H20)</f>
        <v>#VALUE!</v>
      </c>
      <c r="R20" s="961" t="e">
        <f>+P20-Q20</f>
        <v>#VALUE!</v>
      </c>
      <c r="S20" s="961" t="e">
        <f>+E20</f>
        <v>#REF!</v>
      </c>
      <c r="T20" s="961" t="e">
        <f>+R20-S20</f>
        <v>#VALUE!</v>
      </c>
    </row>
    <row r="21" spans="1:20" ht="20.100000000000001" customHeight="1" x14ac:dyDescent="0.25">
      <c r="A21" s="951" t="s">
        <v>919</v>
      </c>
      <c r="B21" s="963">
        <f>+B49</f>
        <v>0</v>
      </c>
      <c r="C21" s="963">
        <f t="shared" ref="C21:H21" si="2">+C49</f>
        <v>0</v>
      </c>
      <c r="D21" s="963" t="e">
        <f t="shared" si="2"/>
        <v>#REF!</v>
      </c>
      <c r="E21" s="963" t="e">
        <f t="shared" si="2"/>
        <v>#REF!</v>
      </c>
      <c r="F21" s="963" t="e">
        <f t="shared" si="2"/>
        <v>#REF!</v>
      </c>
      <c r="G21" s="963" t="e">
        <f t="shared" si="2"/>
        <v>#REF!</v>
      </c>
      <c r="H21" s="963">
        <f t="shared" si="2"/>
        <v>317921.27999999997</v>
      </c>
      <c r="I21" s="963">
        <v>0</v>
      </c>
      <c r="J21" s="963">
        <v>0</v>
      </c>
      <c r="K21" s="963" t="e">
        <f>+#REF!*C9</f>
        <v>#REF!</v>
      </c>
      <c r="L21" s="963" t="e">
        <f>SUM(B21:K21)</f>
        <v>#REF!</v>
      </c>
      <c r="M21" s="963">
        <f>+B9</f>
        <v>2000000000</v>
      </c>
      <c r="N21" s="963" t="e">
        <f>+M21-L21</f>
        <v>#REF!</v>
      </c>
      <c r="P21" s="961" t="e">
        <f>SUM(B21:H21)</f>
        <v>#REF!</v>
      </c>
      <c r="R21" s="961" t="e">
        <f>+P21-Q21</f>
        <v>#REF!</v>
      </c>
      <c r="S21" s="961" t="e">
        <f>+E21</f>
        <v>#REF!</v>
      </c>
      <c r="T21" s="961" t="e">
        <f>+R21-S21</f>
        <v>#REF!</v>
      </c>
    </row>
    <row r="22" spans="1:20" ht="20.100000000000001" customHeight="1" x14ac:dyDescent="0.25">
      <c r="A22" s="964" t="s">
        <v>913</v>
      </c>
      <c r="B22" s="965" t="e">
        <f t="shared" ref="B22:N22" si="3">SUM(B19:B21)</f>
        <v>#REF!</v>
      </c>
      <c r="C22" s="965" t="e">
        <f t="shared" si="3"/>
        <v>#REF!</v>
      </c>
      <c r="D22" s="965" t="e">
        <f t="shared" si="3"/>
        <v>#REF!</v>
      </c>
      <c r="E22" s="965" t="e">
        <f t="shared" si="3"/>
        <v>#REF!</v>
      </c>
      <c r="F22" s="965" t="e">
        <f t="shared" si="3"/>
        <v>#REF!</v>
      </c>
      <c r="G22" s="965" t="e">
        <f t="shared" si="3"/>
        <v>#REF!</v>
      </c>
      <c r="H22" s="965">
        <f t="shared" si="3"/>
        <v>953763.83999999985</v>
      </c>
      <c r="I22" s="965">
        <f t="shared" si="3"/>
        <v>0</v>
      </c>
      <c r="J22" s="965">
        <f t="shared" si="3"/>
        <v>0</v>
      </c>
      <c r="K22" s="965" t="e">
        <f t="shared" si="3"/>
        <v>#REF!</v>
      </c>
      <c r="L22" s="965" t="e">
        <f t="shared" si="3"/>
        <v>#REF!</v>
      </c>
      <c r="M22" s="965">
        <f t="shared" si="3"/>
        <v>7650000000</v>
      </c>
      <c r="N22" s="965" t="e">
        <f t="shared" si="3"/>
        <v>#REF!</v>
      </c>
      <c r="P22" s="961" t="e">
        <f>SUM(P19:P21)</f>
        <v>#REF!</v>
      </c>
      <c r="S22" s="961" t="e">
        <f>SUM(S19:S21)</f>
        <v>#REF!</v>
      </c>
      <c r="T22" s="961" t="e">
        <f>SUM(T19:T21)</f>
        <v>#REF!</v>
      </c>
    </row>
    <row r="23" spans="1:20" ht="20.100000000000001" customHeight="1" x14ac:dyDescent="0.25">
      <c r="A23" s="966" t="s">
        <v>914</v>
      </c>
      <c r="B23" s="967" t="e">
        <f>+'Consolidado '!C17+'Consolidado '!#REF!</f>
        <v>#REF!</v>
      </c>
      <c r="C23" s="967" t="e">
        <f>+'Consolidado '!#REF!</f>
        <v>#REF!</v>
      </c>
      <c r="D23" s="967" t="e">
        <f>+'Consolidado '!#REF!</f>
        <v>#REF!</v>
      </c>
      <c r="E23" s="967" t="e">
        <f>+'Consolidado '!#REF!</f>
        <v>#REF!</v>
      </c>
      <c r="F23" s="967">
        <f>+'Consolidado '!C16</f>
        <v>0</v>
      </c>
      <c r="G23" s="967">
        <f>+'Consolidado '!C20</f>
        <v>0</v>
      </c>
      <c r="H23" s="967" t="e">
        <f>+'Consolidado '!#REF!</f>
        <v>#REF!</v>
      </c>
      <c r="I23" s="967">
        <v>0</v>
      </c>
      <c r="J23" s="967">
        <v>0</v>
      </c>
      <c r="K23" s="967" t="e">
        <f>+'Consolidado '!#REF!</f>
        <v>#REF!</v>
      </c>
      <c r="L23" s="967" t="e">
        <f>+'Consolidado '!#REF!</f>
        <v>#REF!</v>
      </c>
      <c r="M23" s="967">
        <f>+B10</f>
        <v>7650000000</v>
      </c>
      <c r="N23" s="967" t="e">
        <f>+M23-L23</f>
        <v>#REF!</v>
      </c>
      <c r="T23" s="739">
        <v>3742658565</v>
      </c>
    </row>
    <row r="24" spans="1:20" s="950" customFormat="1" ht="18.75" customHeight="1" x14ac:dyDescent="0.25">
      <c r="A24" s="968" t="s">
        <v>915</v>
      </c>
      <c r="B24" s="969" t="e">
        <f>+B22/$L$22</f>
        <v>#REF!</v>
      </c>
      <c r="C24" s="969" t="e">
        <f t="shared" ref="C24:K24" si="4">+C22/$L$22</f>
        <v>#REF!</v>
      </c>
      <c r="D24" s="969" t="e">
        <f t="shared" si="4"/>
        <v>#REF!</v>
      </c>
      <c r="E24" s="969" t="e">
        <f t="shared" si="4"/>
        <v>#REF!</v>
      </c>
      <c r="F24" s="969" t="e">
        <f t="shared" si="4"/>
        <v>#REF!</v>
      </c>
      <c r="G24" s="969" t="e">
        <f t="shared" si="4"/>
        <v>#REF!</v>
      </c>
      <c r="H24" s="969" t="e">
        <f t="shared" si="4"/>
        <v>#REF!</v>
      </c>
      <c r="I24" s="969" t="e">
        <f t="shared" si="4"/>
        <v>#REF!</v>
      </c>
      <c r="J24" s="969" t="e">
        <f t="shared" si="4"/>
        <v>#REF!</v>
      </c>
      <c r="K24" s="969" t="e">
        <f t="shared" si="4"/>
        <v>#REF!</v>
      </c>
      <c r="M24" s="972" t="e">
        <f>+M23-L23+#REF!</f>
        <v>#REF!</v>
      </c>
      <c r="T24" s="972" t="e">
        <f>+T22-T23</f>
        <v>#REF!</v>
      </c>
    </row>
    <row r="26" spans="1:20" ht="30" x14ac:dyDescent="0.25">
      <c r="C26" s="970" t="s">
        <v>862</v>
      </c>
      <c r="D26" s="970" t="s">
        <v>916</v>
      </c>
      <c r="G26" s="1005">
        <f>+L27</f>
        <v>10000</v>
      </c>
      <c r="H26" s="1005">
        <f>+L26</f>
        <v>3200</v>
      </c>
      <c r="K26" s="971"/>
      <c r="L26" s="1005">
        <f>+'Consolidado '!B8*3200</f>
        <v>3200</v>
      </c>
      <c r="M26" s="972"/>
      <c r="S26" s="961" t="e">
        <f>+S22+Q19</f>
        <v>#REF!</v>
      </c>
    </row>
    <row r="27" spans="1:20" ht="24" customHeight="1" x14ac:dyDescent="0.25">
      <c r="C27" s="973" t="e">
        <f>+#REF!</f>
        <v>#REF!</v>
      </c>
      <c r="D27" s="992" t="e">
        <f>+L19/C27</f>
        <v>#REF!</v>
      </c>
      <c r="F27" s="974" t="s">
        <v>796</v>
      </c>
      <c r="G27" s="974">
        <v>840000</v>
      </c>
      <c r="H27" s="961"/>
      <c r="L27" s="1005">
        <f>+'Consolidado '!B8*10000</f>
        <v>10000</v>
      </c>
      <c r="M27" s="972"/>
      <c r="N27" s="739">
        <v>4667</v>
      </c>
      <c r="S27" s="961" t="e">
        <f>+S26+K22</f>
        <v>#REF!</v>
      </c>
    </row>
    <row r="28" spans="1:20" ht="24" customHeight="1" x14ac:dyDescent="0.25">
      <c r="C28" s="975"/>
      <c r="D28" s="976"/>
      <c r="F28" s="739" t="s">
        <v>919</v>
      </c>
      <c r="G28" s="974">
        <v>185000</v>
      </c>
      <c r="H28" s="961"/>
      <c r="L28" s="1005">
        <f>+'Consolidado '!B8*140000</f>
        <v>140000</v>
      </c>
      <c r="M28" s="972"/>
    </row>
    <row r="29" spans="1:20" ht="25.5" hidden="1" customHeight="1" x14ac:dyDescent="0.25">
      <c r="A29" s="977" t="s">
        <v>917</v>
      </c>
      <c r="B29" s="978" t="e">
        <f>+B35/$D$35</f>
        <v>#REF!</v>
      </c>
      <c r="C29" s="978" t="e">
        <f>+C35/$D$35</f>
        <v>#REF!</v>
      </c>
      <c r="L29" s="1005">
        <f>(+'Consolidado '!B8-1.5)*60000</f>
        <v>-30000</v>
      </c>
      <c r="M29" s="972"/>
    </row>
    <row r="30" spans="1:20" ht="29.25" hidden="1" customHeight="1" x14ac:dyDescent="0.25">
      <c r="A30" s="962" t="s">
        <v>278</v>
      </c>
      <c r="B30" s="998" t="s">
        <v>918</v>
      </c>
      <c r="C30" s="998" t="s">
        <v>922</v>
      </c>
      <c r="D30" s="997" t="s">
        <v>701</v>
      </c>
      <c r="E30" s="979"/>
      <c r="F30" s="665"/>
      <c r="G30" s="980"/>
      <c r="M30" s="972"/>
    </row>
    <row r="31" spans="1:20" ht="20.100000000000001" hidden="1" customHeight="1" x14ac:dyDescent="0.25">
      <c r="A31" s="951" t="s">
        <v>904</v>
      </c>
      <c r="B31" s="963" t="e">
        <f>+D31-C31</f>
        <v>#REF!</v>
      </c>
      <c r="C31" s="963" t="e">
        <f>+K19+H31+C19+D19+E19+F19+G19+H19</f>
        <v>#REF!</v>
      </c>
      <c r="D31" s="963" t="e">
        <f>+L19</f>
        <v>#REF!</v>
      </c>
      <c r="E31" s="981"/>
      <c r="F31" s="981" t="e">
        <f>+B6-B31</f>
        <v>#REF!</v>
      </c>
      <c r="G31" s="981"/>
      <c r="H31" s="990" t="e">
        <f>(9632+K31)*#REF!</f>
        <v>#REF!</v>
      </c>
      <c r="K31" s="739">
        <v>240</v>
      </c>
      <c r="M31" s="739" t="e">
        <f>+M19/D27</f>
        <v>#REF!</v>
      </c>
    </row>
    <row r="32" spans="1:20" ht="20.100000000000001" hidden="1" customHeight="1" x14ac:dyDescent="0.25">
      <c r="A32" s="951" t="s">
        <v>901</v>
      </c>
      <c r="B32" s="963" t="e">
        <f>+D32-C32</f>
        <v>#REF!</v>
      </c>
      <c r="C32" s="963" t="e">
        <f>+#REF!+#REF!+#REF!+#REF!+#REF!+#REF!</f>
        <v>#REF!</v>
      </c>
      <c r="D32" s="963" t="e">
        <f>+#REF!</f>
        <v>#REF!</v>
      </c>
      <c r="E32" s="981"/>
      <c r="F32" s="981" t="e">
        <f>+B7-B32</f>
        <v>#REF!</v>
      </c>
      <c r="G32" s="981"/>
      <c r="H32" s="990" t="e">
        <f>8418*#REF!</f>
        <v>#REF!</v>
      </c>
    </row>
    <row r="33" spans="1:18" ht="20.100000000000001" hidden="1" customHeight="1" x14ac:dyDescent="0.25">
      <c r="A33" s="951" t="s">
        <v>919</v>
      </c>
      <c r="B33" s="963" t="e">
        <f>+D33-C33</f>
        <v>#VALUE!</v>
      </c>
      <c r="C33" s="963" t="e">
        <f>+K20+D20+E20+F20+G20+H20</f>
        <v>#REF!</v>
      </c>
      <c r="D33" s="963" t="e">
        <f>+L20</f>
        <v>#VALUE!</v>
      </c>
      <c r="E33" s="981"/>
      <c r="F33" s="981" t="e">
        <f>+B8-B33</f>
        <v>#VALUE!</v>
      </c>
      <c r="G33" s="981"/>
      <c r="H33" s="961"/>
      <c r="I33" s="961"/>
    </row>
    <row r="34" spans="1:18" ht="20.100000000000001" hidden="1" customHeight="1" x14ac:dyDescent="0.25">
      <c r="A34" s="951" t="s">
        <v>796</v>
      </c>
      <c r="B34" s="963" t="e">
        <f>+D34-C34</f>
        <v>#REF!</v>
      </c>
      <c r="C34" s="963" t="e">
        <f>+K21+D21+E21+F21+G21+H21</f>
        <v>#REF!</v>
      </c>
      <c r="D34" s="963" t="e">
        <f>+L21</f>
        <v>#REF!</v>
      </c>
      <c r="E34" s="981"/>
      <c r="F34" s="981" t="e">
        <f>+B9-B34</f>
        <v>#REF!</v>
      </c>
      <c r="G34" s="981"/>
      <c r="H34" s="961">
        <f>9632+8418</f>
        <v>18050</v>
      </c>
    </row>
    <row r="35" spans="1:18" ht="20.100000000000001" hidden="1" customHeight="1" x14ac:dyDescent="0.25">
      <c r="A35" s="964" t="s">
        <v>913</v>
      </c>
      <c r="B35" s="965" t="e">
        <f>SUM(B31:B34)</f>
        <v>#REF!</v>
      </c>
      <c r="C35" s="965" t="e">
        <f>SUM(C31:C34)</f>
        <v>#REF!</v>
      </c>
      <c r="D35" s="965" t="e">
        <f>SUM(D31:D34)</f>
        <v>#REF!</v>
      </c>
      <c r="E35" s="981"/>
      <c r="F35" s="981" t="e">
        <f>SUM(F31:F34)</f>
        <v>#REF!</v>
      </c>
      <c r="G35" s="981"/>
      <c r="H35" s="961"/>
    </row>
    <row r="36" spans="1:18" hidden="1" x14ac:dyDescent="0.25">
      <c r="B36" s="961"/>
      <c r="F36" s="961"/>
    </row>
    <row r="37" spans="1:18" hidden="1" x14ac:dyDescent="0.25">
      <c r="B37" s="961" t="e">
        <f>+B35</f>
        <v>#REF!</v>
      </c>
      <c r="C37" s="982"/>
    </row>
    <row r="38" spans="1:18" hidden="1" x14ac:dyDescent="0.25">
      <c r="B38" s="961">
        <f>+B11</f>
        <v>0</v>
      </c>
      <c r="C38" s="982"/>
    </row>
    <row r="39" spans="1:18" hidden="1" x14ac:dyDescent="0.25">
      <c r="B39" s="961" t="e">
        <f>+B37-B38</f>
        <v>#REF!</v>
      </c>
      <c r="G39" s="739">
        <v>2780206</v>
      </c>
    </row>
    <row r="40" spans="1:18" hidden="1" x14ac:dyDescent="0.25">
      <c r="G40" s="739" t="e">
        <f>+G39/#REF!</f>
        <v>#REF!</v>
      </c>
    </row>
    <row r="41" spans="1:18" hidden="1" x14ac:dyDescent="0.25">
      <c r="B41" s="961"/>
    </row>
    <row r="43" spans="1:18" x14ac:dyDescent="0.25">
      <c r="B43" s="986" t="e">
        <f>+B19/$C$27</f>
        <v>#REF!</v>
      </c>
      <c r="C43" s="986" t="e">
        <f t="shared" ref="C43:K43" si="5">+C19/$C$27</f>
        <v>#REF!</v>
      </c>
      <c r="D43" s="986" t="e">
        <f t="shared" si="5"/>
        <v>#REF!</v>
      </c>
      <c r="E43" s="986" t="e">
        <f t="shared" si="5"/>
        <v>#REF!</v>
      </c>
      <c r="F43" s="986" t="e">
        <f t="shared" si="5"/>
        <v>#REF!</v>
      </c>
      <c r="G43" s="986" t="e">
        <f t="shared" si="5"/>
        <v>#REF!</v>
      </c>
      <c r="H43" s="986" t="e">
        <f t="shared" si="5"/>
        <v>#REF!</v>
      </c>
      <c r="I43" s="986" t="e">
        <f t="shared" si="5"/>
        <v>#REF!</v>
      </c>
      <c r="J43" s="986" t="e">
        <f t="shared" si="5"/>
        <v>#REF!</v>
      </c>
      <c r="K43" s="986" t="e">
        <f t="shared" si="5"/>
        <v>#REF!</v>
      </c>
      <c r="O43" s="739" t="e">
        <f>+L19/#REF!</f>
        <v>#REF!</v>
      </c>
    </row>
    <row r="45" spans="1:18" x14ac:dyDescent="0.25">
      <c r="R45" s="1035" t="e">
        <f>+L21/30000</f>
        <v>#REF!</v>
      </c>
    </row>
    <row r="46" spans="1:18" ht="25.5" x14ac:dyDescent="0.25">
      <c r="A46" s="962" t="s">
        <v>278</v>
      </c>
      <c r="B46" s="998" t="s">
        <v>352</v>
      </c>
      <c r="C46" s="998" t="s">
        <v>870</v>
      </c>
      <c r="D46" s="998" t="s">
        <v>906</v>
      </c>
      <c r="E46" s="998" t="s">
        <v>907</v>
      </c>
      <c r="F46" s="998" t="s">
        <v>908</v>
      </c>
      <c r="G46" s="997" t="s">
        <v>909</v>
      </c>
      <c r="H46" s="998" t="s">
        <v>788</v>
      </c>
      <c r="I46" s="998" t="s">
        <v>910</v>
      </c>
      <c r="J46" s="998" t="s">
        <v>911</v>
      </c>
      <c r="K46" s="998" t="s">
        <v>912</v>
      </c>
      <c r="L46" s="998" t="s">
        <v>701</v>
      </c>
      <c r="M46" s="998" t="s">
        <v>902</v>
      </c>
      <c r="N46" s="998" t="s">
        <v>678</v>
      </c>
    </row>
    <row r="47" spans="1:18" x14ac:dyDescent="0.25">
      <c r="A47" s="951" t="s">
        <v>904</v>
      </c>
      <c r="B47" s="963" t="e">
        <f>+#REF!</f>
        <v>#REF!</v>
      </c>
      <c r="C47" s="963" t="e">
        <f>+#REF!</f>
        <v>#REF!</v>
      </c>
      <c r="D47" s="963" t="e">
        <f>+Transp!$M$11*C54</f>
        <v>#REF!</v>
      </c>
      <c r="E47" s="963" t="e">
        <f>+#REF!*C54</f>
        <v>#REF!</v>
      </c>
      <c r="F47" s="963" t="e">
        <f>+Alquiact!$K$13*C54</f>
        <v>#REF!</v>
      </c>
      <c r="G47" s="963" t="e">
        <f>+'Bodeg y Log'!$H$21*C54</f>
        <v>#REF!</v>
      </c>
      <c r="H47" s="963">
        <f>+'Papelería '!$L$60/3</f>
        <v>317921.27999999997</v>
      </c>
      <c r="I47" s="963">
        <f>+I19</f>
        <v>0</v>
      </c>
      <c r="J47" s="963">
        <f>+J19</f>
        <v>0</v>
      </c>
      <c r="K47" s="963" t="e">
        <f>+K19</f>
        <v>#REF!</v>
      </c>
      <c r="L47" s="963" t="e">
        <f>+L19</f>
        <v>#REF!</v>
      </c>
      <c r="M47" s="963">
        <f>+M19</f>
        <v>3150000000</v>
      </c>
      <c r="N47" s="963" t="e">
        <f>+L47-M47</f>
        <v>#REF!</v>
      </c>
    </row>
    <row r="48" spans="1:18" x14ac:dyDescent="0.25">
      <c r="A48" s="951" t="s">
        <v>796</v>
      </c>
      <c r="B48" s="963">
        <f>+Vit_Mez!G7</f>
        <v>0</v>
      </c>
      <c r="C48" s="963">
        <v>0</v>
      </c>
      <c r="D48" s="963" t="e">
        <f>+Transp!$M$11*C55</f>
        <v>#VALUE!</v>
      </c>
      <c r="E48" s="963" t="e">
        <f>+#REF!*C55</f>
        <v>#REF!</v>
      </c>
      <c r="F48" s="963" t="e">
        <f>+Alquiact!$K$13*C55</f>
        <v>#VALUE!</v>
      </c>
      <c r="G48" s="963" t="e">
        <f>+'Bodeg y Log'!$H$21*C55</f>
        <v>#REF!</v>
      </c>
      <c r="H48" s="963">
        <f>+'Papelería '!$L$60/3</f>
        <v>317921.27999999997</v>
      </c>
      <c r="I48" s="963"/>
      <c r="J48" s="963"/>
      <c r="K48" s="963"/>
      <c r="L48" s="963"/>
      <c r="M48" s="963"/>
      <c r="N48" s="963">
        <v>0</v>
      </c>
    </row>
    <row r="49" spans="1:14" x14ac:dyDescent="0.25">
      <c r="A49" s="951" t="s">
        <v>919</v>
      </c>
      <c r="B49" s="963">
        <f>+Vit_Mez!G8</f>
        <v>0</v>
      </c>
      <c r="C49" s="963">
        <v>0</v>
      </c>
      <c r="D49" s="963" t="e">
        <f>+Transp!$M$11*C56</f>
        <v>#REF!</v>
      </c>
      <c r="E49" s="963" t="e">
        <f>+#REF!*C56</f>
        <v>#REF!</v>
      </c>
      <c r="F49" s="963" t="e">
        <f>+Alquiact!$K$13*C56</f>
        <v>#REF!</v>
      </c>
      <c r="G49" s="963" t="e">
        <f>+'Bodeg y Log'!$H$21*C56</f>
        <v>#REF!</v>
      </c>
      <c r="H49" s="963">
        <f>+'Papelería '!$L$60/3</f>
        <v>317921.27999999997</v>
      </c>
      <c r="I49" s="963"/>
      <c r="J49" s="963"/>
      <c r="K49" s="963" t="e">
        <f>+K47*Transp!P14</f>
        <v>#REF!</v>
      </c>
      <c r="L49" s="963" t="e">
        <f>SUM(B49:K49)</f>
        <v>#REF!</v>
      </c>
      <c r="M49" s="963">
        <v>2000000000</v>
      </c>
      <c r="N49" s="963" t="e">
        <f>+L49-M49</f>
        <v>#REF!</v>
      </c>
    </row>
    <row r="50" spans="1:14" x14ac:dyDescent="0.25">
      <c r="A50" s="951" t="s">
        <v>936</v>
      </c>
      <c r="B50" s="963"/>
      <c r="C50" s="963"/>
      <c r="D50" s="963"/>
      <c r="E50" s="963"/>
      <c r="F50" s="963"/>
      <c r="G50" s="963"/>
      <c r="H50" s="963"/>
      <c r="I50" s="963"/>
      <c r="J50" s="963"/>
      <c r="K50" s="963"/>
      <c r="L50" s="963">
        <f>SUM(B50:K50)</f>
        <v>0</v>
      </c>
      <c r="M50" s="963">
        <v>1500000000</v>
      </c>
      <c r="N50" s="963">
        <f>+L50-M50</f>
        <v>-1500000000</v>
      </c>
    </row>
    <row r="51" spans="1:14" x14ac:dyDescent="0.25">
      <c r="A51" s="964" t="s">
        <v>913</v>
      </c>
      <c r="B51" s="965" t="e">
        <f>SUM(B47:B50)</f>
        <v>#REF!</v>
      </c>
      <c r="C51" s="965" t="e">
        <f t="shared" ref="C51:K51" si="6">SUM(C47:C50)</f>
        <v>#REF!</v>
      </c>
      <c r="D51" s="965" t="e">
        <f t="shared" si="6"/>
        <v>#REF!</v>
      </c>
      <c r="E51" s="965" t="e">
        <f t="shared" si="6"/>
        <v>#REF!</v>
      </c>
      <c r="F51" s="965" t="e">
        <f t="shared" si="6"/>
        <v>#REF!</v>
      </c>
      <c r="G51" s="965" t="e">
        <f t="shared" si="6"/>
        <v>#REF!</v>
      </c>
      <c r="H51" s="965">
        <f t="shared" si="6"/>
        <v>953763.83999999985</v>
      </c>
      <c r="I51" s="965">
        <f t="shared" si="6"/>
        <v>0</v>
      </c>
      <c r="J51" s="965">
        <f t="shared" si="6"/>
        <v>0</v>
      </c>
      <c r="K51" s="965" t="e">
        <f t="shared" si="6"/>
        <v>#REF!</v>
      </c>
      <c r="L51" s="965" t="e">
        <f>+L47-L49-L50</f>
        <v>#REF!</v>
      </c>
      <c r="M51" s="965">
        <f>+M47-M49-M50</f>
        <v>-350000000</v>
      </c>
      <c r="N51" s="965">
        <v>-307497126.96321058</v>
      </c>
    </row>
    <row r="54" spans="1:14" x14ac:dyDescent="0.25">
      <c r="A54" s="739" t="s">
        <v>863</v>
      </c>
      <c r="B54" s="1033" t="e">
        <f>+#REF!</f>
        <v>#REF!</v>
      </c>
      <c r="C54" s="1034" t="e">
        <f>+B54/$B$57</f>
        <v>#REF!</v>
      </c>
      <c r="D54" s="961" t="e">
        <f>+D22-D20-D21</f>
        <v>#REF!</v>
      </c>
      <c r="E54" s="961" t="e">
        <f>+E22-E20-E21</f>
        <v>#REF!</v>
      </c>
      <c r="F54" s="961" t="e">
        <f t="shared" ref="F54:L54" si="7">+F22-F20-F21</f>
        <v>#REF!</v>
      </c>
      <c r="G54" s="961" t="e">
        <f t="shared" si="7"/>
        <v>#REF!</v>
      </c>
      <c r="H54" s="961"/>
      <c r="I54" s="961">
        <f t="shared" si="7"/>
        <v>0</v>
      </c>
      <c r="J54" s="961">
        <f t="shared" si="7"/>
        <v>0</v>
      </c>
      <c r="K54" s="961" t="e">
        <f t="shared" si="7"/>
        <v>#REF!</v>
      </c>
      <c r="L54" s="961" t="e">
        <f t="shared" si="7"/>
        <v>#REF!</v>
      </c>
    </row>
    <row r="55" spans="1:14" x14ac:dyDescent="0.25">
      <c r="A55" s="739" t="s">
        <v>796</v>
      </c>
      <c r="B55" s="1033" t="str">
        <f>+Vit_Mez!I7</f>
        <v xml:space="preserve"> </v>
      </c>
      <c r="C55" s="1034" t="e">
        <f>+B55/$B$57</f>
        <v>#VALUE!</v>
      </c>
    </row>
    <row r="56" spans="1:14" x14ac:dyDescent="0.25">
      <c r="A56" s="739" t="s">
        <v>919</v>
      </c>
      <c r="B56" s="1033">
        <f>+Vit_Mez!I8</f>
        <v>0</v>
      </c>
      <c r="C56" s="1034" t="e">
        <f>+B56/$B$57</f>
        <v>#REF!</v>
      </c>
      <c r="L56" s="982"/>
    </row>
    <row r="57" spans="1:14" x14ac:dyDescent="0.25">
      <c r="B57" s="1033" t="e">
        <f>SUM(B54:B56)</f>
        <v>#REF!</v>
      </c>
      <c r="L57" s="982" t="e">
        <f>+L49/L54</f>
        <v>#REF!</v>
      </c>
    </row>
    <row r="58" spans="1:14" x14ac:dyDescent="0.25">
      <c r="C58" s="739" t="s">
        <v>937</v>
      </c>
      <c r="D58" s="739" t="s">
        <v>916</v>
      </c>
      <c r="L58" s="982" t="e">
        <f>+L50/L54</f>
        <v>#REF!</v>
      </c>
    </row>
    <row r="59" spans="1:14" x14ac:dyDescent="0.25">
      <c r="C59" s="990">
        <f>+L27</f>
        <v>10000</v>
      </c>
      <c r="D59" s="960" t="e">
        <f>+L49/C59</f>
        <v>#REF!</v>
      </c>
    </row>
    <row r="60" spans="1:14" x14ac:dyDescent="0.25">
      <c r="C60" s="990">
        <f>+H26</f>
        <v>3200</v>
      </c>
      <c r="D60" s="960" t="e">
        <f>+(L50-(#REF!*#REF!))/'Hoja1 (3)'!C60</f>
        <v>#REF!</v>
      </c>
      <c r="E60" s="986"/>
    </row>
    <row r="61" spans="1:14" x14ac:dyDescent="0.25">
      <c r="E61" s="986"/>
    </row>
    <row r="62" spans="1:14" x14ac:dyDescent="0.25">
      <c r="E62" s="986"/>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6"/>
  <sheetViews>
    <sheetView showGridLines="0" workbookViewId="0">
      <selection activeCell="I13" sqref="I13"/>
    </sheetView>
  </sheetViews>
  <sheetFormatPr baseColWidth="10" defaultRowHeight="15" x14ac:dyDescent="0.25"/>
  <cols>
    <col min="1" max="1" width="15.75" customWidth="1"/>
    <col min="2" max="2" width="15.125" bestFit="1" customWidth="1"/>
    <col min="4" max="4" width="15.875" customWidth="1"/>
    <col min="5" max="5" width="14.75" customWidth="1"/>
    <col min="6" max="6" width="16.25" customWidth="1"/>
    <col min="7" max="7" width="14.375" customWidth="1"/>
    <col min="8" max="8" width="2" hidden="1" customWidth="1"/>
  </cols>
  <sheetData>
    <row r="2" spans="1:9" x14ac:dyDescent="0.25">
      <c r="B2" t="s">
        <v>945</v>
      </c>
    </row>
    <row r="3" spans="1:9" x14ac:dyDescent="0.25">
      <c r="A3" t="s">
        <v>943</v>
      </c>
      <c r="B3" s="1077">
        <f>+[1]Paq_FV!$J$28</f>
        <v>9420</v>
      </c>
      <c r="C3" s="1078" t="e">
        <f>+#REF!</f>
        <v>#REF!</v>
      </c>
      <c r="D3" s="1078" t="e">
        <f>+B3*C3</f>
        <v>#REF!</v>
      </c>
    </row>
    <row r="4" spans="1:9" x14ac:dyDescent="0.25">
      <c r="A4" t="s">
        <v>944</v>
      </c>
      <c r="B4" s="1077">
        <f>+'[1]Paq_Vic '!$H$31</f>
        <v>25255</v>
      </c>
      <c r="C4" s="1078" t="e">
        <f>+#REF!</f>
        <v>#REF!</v>
      </c>
      <c r="D4" s="1078" t="e">
        <f>+B4*C4</f>
        <v>#REF!</v>
      </c>
    </row>
    <row r="5" spans="1:9" x14ac:dyDescent="0.25">
      <c r="A5" t="s">
        <v>796</v>
      </c>
      <c r="B5">
        <f>+Vit_Mez!H7</f>
        <v>0</v>
      </c>
      <c r="C5" s="1078">
        <v>7</v>
      </c>
      <c r="D5" s="1078">
        <f>+B5*C5</f>
        <v>0</v>
      </c>
    </row>
    <row r="6" spans="1:9" x14ac:dyDescent="0.25">
      <c r="A6" t="s">
        <v>919</v>
      </c>
      <c r="B6">
        <f>+Vit_Mez!H8</f>
        <v>0</v>
      </c>
      <c r="C6" s="1078">
        <v>7</v>
      </c>
      <c r="D6" s="1078">
        <f>+B6*C6</f>
        <v>0</v>
      </c>
    </row>
    <row r="9" spans="1:9" ht="24.95" customHeight="1" x14ac:dyDescent="0.25">
      <c r="A9" s="1080" t="s">
        <v>795</v>
      </c>
      <c r="B9" s="1081" t="s">
        <v>352</v>
      </c>
      <c r="C9" s="1081" t="s">
        <v>870</v>
      </c>
      <c r="D9" s="1081" t="s">
        <v>946</v>
      </c>
      <c r="E9" s="1081" t="s">
        <v>912</v>
      </c>
      <c r="F9" s="1081" t="s">
        <v>701</v>
      </c>
      <c r="G9" s="1080" t="s">
        <v>916</v>
      </c>
      <c r="H9" s="1086"/>
    </row>
    <row r="10" spans="1:9" ht="24.95" customHeight="1" x14ac:dyDescent="0.25">
      <c r="A10" s="1080" t="s">
        <v>943</v>
      </c>
      <c r="B10" s="1082" t="e">
        <f>+#REF!</f>
        <v>#REF!</v>
      </c>
      <c r="C10" s="1082" t="e">
        <f>+#REF!+(#REF!*#REF!)</f>
        <v>#REF!</v>
      </c>
      <c r="D10" s="1082" t="e">
        <f>SUM(B10:C10)</f>
        <v>#REF!</v>
      </c>
      <c r="E10" s="1082" t="e">
        <f>+#REF!*H10</f>
        <v>#REF!</v>
      </c>
      <c r="F10" s="1083" t="e">
        <f>+D10+E10</f>
        <v>#REF!</v>
      </c>
      <c r="G10" s="1084" t="e">
        <f>+F10/C3</f>
        <v>#REF!</v>
      </c>
      <c r="H10" s="1085" t="e">
        <f>+D10/$D$14</f>
        <v>#REF!</v>
      </c>
      <c r="I10" s="1087" t="e">
        <f>+G10+(G11*5)</f>
        <v>#REF!</v>
      </c>
    </row>
    <row r="11" spans="1:9" ht="24.95" customHeight="1" x14ac:dyDescent="0.25">
      <c r="A11" s="1080" t="s">
        <v>919</v>
      </c>
      <c r="B11" s="1082">
        <f>+Vit_Mez!G8</f>
        <v>0</v>
      </c>
      <c r="C11" s="1082" t="e">
        <f>+#REF!/2</f>
        <v>#REF!</v>
      </c>
      <c r="D11" s="1082" t="e">
        <f>SUM(B11:C11)</f>
        <v>#REF!</v>
      </c>
      <c r="E11" s="1082" t="e">
        <f>+#REF!*H11</f>
        <v>#REF!</v>
      </c>
      <c r="F11" s="1083" t="e">
        <f>+D11+E11</f>
        <v>#REF!</v>
      </c>
      <c r="G11" s="1084" t="e">
        <f>+F11/D6</f>
        <v>#REF!</v>
      </c>
      <c r="H11" s="1085" t="e">
        <f>+D11/$D$14</f>
        <v>#REF!</v>
      </c>
    </row>
    <row r="12" spans="1:9" ht="24.95" customHeight="1" x14ac:dyDescent="0.25">
      <c r="A12" s="1080" t="s">
        <v>944</v>
      </c>
      <c r="B12" s="1082" t="e">
        <f>+#REF!</f>
        <v>#REF!</v>
      </c>
      <c r="C12" s="1082" t="e">
        <f>+#REF!+(#REF!*#REF!)</f>
        <v>#REF!</v>
      </c>
      <c r="D12" s="1082" t="e">
        <f>SUM(B12:C12)</f>
        <v>#REF!</v>
      </c>
      <c r="E12" s="1082" t="e">
        <f>+#REF!*H12</f>
        <v>#REF!</v>
      </c>
      <c r="F12" s="1083" t="e">
        <f>+D12+E12</f>
        <v>#REF!</v>
      </c>
      <c r="G12" s="1084" t="e">
        <f>+F12/C4</f>
        <v>#REF!</v>
      </c>
      <c r="H12" s="1085" t="e">
        <f>+D12/$D$14</f>
        <v>#REF!</v>
      </c>
      <c r="I12" s="1087" t="e">
        <f>+G12</f>
        <v>#REF!</v>
      </c>
    </row>
    <row r="13" spans="1:9" ht="24.95" customHeight="1" x14ac:dyDescent="0.25">
      <c r="A13" s="1080" t="s">
        <v>796</v>
      </c>
      <c r="B13" s="1082">
        <f>+Vit_Mez!G7</f>
        <v>0</v>
      </c>
      <c r="C13" s="1082" t="e">
        <f>+C11</f>
        <v>#REF!</v>
      </c>
      <c r="D13" s="1082" t="e">
        <f>SUM(B13:C13)</f>
        <v>#REF!</v>
      </c>
      <c r="E13" s="1082" t="e">
        <f>+#REF!*H13</f>
        <v>#REF!</v>
      </c>
      <c r="F13" s="1083" t="e">
        <f>+D13+E13</f>
        <v>#REF!</v>
      </c>
      <c r="G13" s="1084" t="e">
        <f>+F13/D5</f>
        <v>#REF!</v>
      </c>
      <c r="H13" s="1085" t="e">
        <f>+D13/$D$14</f>
        <v>#REF!</v>
      </c>
      <c r="I13" s="1087" t="e">
        <f>+G13*20</f>
        <v>#REF!</v>
      </c>
    </row>
    <row r="14" spans="1:9" ht="24.95" customHeight="1" x14ac:dyDescent="0.25">
      <c r="A14" s="1080"/>
      <c r="B14" s="1083" t="e">
        <f>SUM(B10:B13)</f>
        <v>#REF!</v>
      </c>
      <c r="C14" s="1082" t="e">
        <f>SUM(C10:C13)</f>
        <v>#REF!</v>
      </c>
      <c r="D14" s="1082" t="e">
        <f>SUM(D10:D13)</f>
        <v>#REF!</v>
      </c>
      <c r="E14" s="1082" t="e">
        <f>SUM(E10:E13)</f>
        <v>#REF!</v>
      </c>
      <c r="F14" s="1082" t="e">
        <f>SUM(F10:F13)</f>
        <v>#REF!</v>
      </c>
      <c r="G14" s="1080"/>
      <c r="H14" s="1082" t="e">
        <f>SUM(H10:H13)</f>
        <v>#REF!</v>
      </c>
    </row>
    <row r="16" spans="1:9" x14ac:dyDescent="0.25">
      <c r="F16" s="1079" t="e">
        <f>+F14-#REF!</f>
        <v>#REF!</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showGridLines="0" zoomScaleNormal="100" workbookViewId="0">
      <selection activeCell="J10" sqref="J10"/>
    </sheetView>
  </sheetViews>
  <sheetFormatPr baseColWidth="10" defaultRowHeight="15" x14ac:dyDescent="0.25"/>
  <cols>
    <col min="1" max="1" width="63.875" customWidth="1"/>
    <col min="2" max="2" width="0" hidden="1" customWidth="1"/>
    <col min="3" max="3" width="11.375" hidden="1" customWidth="1"/>
    <col min="4" max="4" width="14.125" customWidth="1"/>
    <col min="6" max="6" width="11.375" style="1229"/>
    <col min="7" max="7" width="17.25" customWidth="1"/>
    <col min="9" max="9" width="14.875" bestFit="1" customWidth="1"/>
    <col min="10" max="10" width="22.125" customWidth="1"/>
  </cols>
  <sheetData>
    <row r="1" spans="1:10" s="1226" customFormat="1" x14ac:dyDescent="0.25">
      <c r="A1" s="1449" t="s">
        <v>1109</v>
      </c>
      <c r="B1" s="1449"/>
      <c r="C1" s="1449"/>
      <c r="E1" s="1230"/>
    </row>
    <row r="2" spans="1:10" s="1226" customFormat="1" x14ac:dyDescent="0.25">
      <c r="A2" s="1449" t="s">
        <v>1076</v>
      </c>
      <c r="B2" s="1449"/>
      <c r="C2" s="1449"/>
      <c r="E2" s="1230"/>
    </row>
    <row r="3" spans="1:10" s="1226" customFormat="1" x14ac:dyDescent="0.25">
      <c r="A3" s="1449" t="s">
        <v>1122</v>
      </c>
      <c r="B3" s="1449"/>
      <c r="C3" s="1449"/>
      <c r="E3" s="1230"/>
    </row>
    <row r="4" spans="1:10" s="1226" customFormat="1" x14ac:dyDescent="0.25">
      <c r="A4" s="1449" t="s">
        <v>1075</v>
      </c>
      <c r="B4" s="1449"/>
      <c r="C4" s="1449"/>
      <c r="E4" s="1230"/>
    </row>
    <row r="5" spans="1:10" s="1226" customFormat="1" x14ac:dyDescent="0.25">
      <c r="A5" s="1227"/>
      <c r="B5" s="1227"/>
      <c r="C5" s="1227"/>
      <c r="D5" s="1227"/>
      <c r="E5" s="1231"/>
      <c r="F5" s="674"/>
      <c r="G5" s="674"/>
      <c r="H5" s="674"/>
      <c r="I5" s="674"/>
      <c r="J5" s="675"/>
    </row>
    <row r="6" spans="1:10" x14ac:dyDescent="0.25">
      <c r="A6" s="1452" t="s">
        <v>207</v>
      </c>
      <c r="B6" s="1453"/>
      <c r="C6" s="1453"/>
      <c r="D6" s="1453"/>
      <c r="E6" s="1453"/>
      <c r="F6" s="1453"/>
      <c r="G6" s="1454"/>
    </row>
    <row r="7" spans="1:10" ht="15.75" x14ac:dyDescent="0.25">
      <c r="A7" s="1050"/>
      <c r="B7" s="1051"/>
      <c r="C7" s="1051"/>
      <c r="D7" s="1051"/>
      <c r="E7" s="1052"/>
      <c r="F7" s="759"/>
      <c r="G7" s="1049"/>
    </row>
    <row r="8" spans="1:10" ht="25.5" x14ac:dyDescent="0.25">
      <c r="A8" s="1242" t="s">
        <v>207</v>
      </c>
      <c r="B8" s="1042" t="s">
        <v>292</v>
      </c>
      <c r="C8" s="1043" t="s">
        <v>5</v>
      </c>
      <c r="D8" s="1243" t="s">
        <v>656</v>
      </c>
      <c r="E8" s="1244" t="s">
        <v>3</v>
      </c>
      <c r="F8" s="1245" t="s">
        <v>293</v>
      </c>
      <c r="G8" s="1042" t="s">
        <v>623</v>
      </c>
    </row>
    <row r="9" spans="1:10" ht="24.95" customHeight="1" x14ac:dyDescent="0.25">
      <c r="A9" s="1123" t="s">
        <v>1095</v>
      </c>
      <c r="B9" s="1120"/>
      <c r="C9" s="660">
        <v>0</v>
      </c>
      <c r="D9" s="660"/>
      <c r="E9" s="1044">
        <v>1</v>
      </c>
      <c r="F9" s="1239">
        <v>1</v>
      </c>
      <c r="G9" s="1105">
        <f>+D9*F9*E9</f>
        <v>0</v>
      </c>
    </row>
    <row r="10" spans="1:10" ht="24.95" customHeight="1" x14ac:dyDescent="0.25">
      <c r="A10" s="1124" t="s">
        <v>1116</v>
      </c>
      <c r="B10" s="1121"/>
      <c r="C10" s="660"/>
      <c r="D10" s="660"/>
      <c r="E10" s="1044">
        <v>3</v>
      </c>
      <c r="F10" s="1239">
        <v>1</v>
      </c>
      <c r="G10" s="1105">
        <f t="shared" ref="G10:G13" si="0">+D10*F10*E10</f>
        <v>0</v>
      </c>
    </row>
    <row r="11" spans="1:10" ht="24.95" customHeight="1" x14ac:dyDescent="0.25">
      <c r="A11" s="1124" t="s">
        <v>1096</v>
      </c>
      <c r="B11" s="1121"/>
      <c r="C11" s="660"/>
      <c r="D11" s="660"/>
      <c r="E11" s="1044">
        <v>1</v>
      </c>
      <c r="F11" s="1239">
        <v>1</v>
      </c>
      <c r="G11" s="1105">
        <f t="shared" si="0"/>
        <v>0</v>
      </c>
    </row>
    <row r="12" spans="1:10" ht="24.95" customHeight="1" x14ac:dyDescent="0.25">
      <c r="A12" s="1124" t="s">
        <v>1094</v>
      </c>
      <c r="B12" s="1121"/>
      <c r="C12" s="660"/>
      <c r="D12" s="660"/>
      <c r="E12" s="1044">
        <v>12</v>
      </c>
      <c r="F12" s="1239">
        <v>1</v>
      </c>
      <c r="G12" s="1105">
        <f t="shared" si="0"/>
        <v>0</v>
      </c>
    </row>
    <row r="13" spans="1:10" ht="24.95" customHeight="1" x14ac:dyDescent="0.25">
      <c r="A13" s="1124" t="s">
        <v>968</v>
      </c>
      <c r="B13" s="1122"/>
      <c r="C13" s="660"/>
      <c r="D13" s="660"/>
      <c r="E13" s="1044">
        <v>1</v>
      </c>
      <c r="F13" s="1239">
        <v>1</v>
      </c>
      <c r="G13" s="1105">
        <f t="shared" si="0"/>
        <v>0</v>
      </c>
    </row>
    <row r="14" spans="1:10" ht="22.5" customHeight="1" x14ac:dyDescent="0.25">
      <c r="A14" s="1045" t="s">
        <v>295</v>
      </c>
      <c r="B14" s="1046"/>
      <c r="C14" s="1046"/>
      <c r="D14" s="1046"/>
      <c r="E14" s="1047">
        <f>SUM(E9:E13)</f>
        <v>18</v>
      </c>
      <c r="F14" s="1240"/>
      <c r="G14" s="1048">
        <f>SUM(G9:G13)</f>
        <v>0</v>
      </c>
      <c r="J14" s="1182"/>
    </row>
    <row r="15" spans="1:10" x14ac:dyDescent="0.25">
      <c r="A15" s="661"/>
      <c r="B15" s="662"/>
      <c r="C15" s="662"/>
      <c r="D15" s="662"/>
      <c r="E15" s="663"/>
      <c r="F15" s="1241"/>
      <c r="G15" s="662"/>
    </row>
  </sheetData>
  <mergeCells count="5">
    <mergeCell ref="A6:G6"/>
    <mergeCell ref="A1:C1"/>
    <mergeCell ref="A2:C2"/>
    <mergeCell ref="A3:C3"/>
    <mergeCell ref="A4:C4"/>
  </mergeCells>
  <pageMargins left="0.11811023622047245" right="0.11811023622047245" top="0.35433070866141736" bottom="0.74803149606299213" header="0.31496062992125984" footer="0.31496062992125984"/>
  <pageSetup scale="91"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27"/>
  <sheetViews>
    <sheetView showGridLines="0" topLeftCell="A12" workbookViewId="0">
      <selection activeCell="L21" sqref="L21"/>
    </sheetView>
  </sheetViews>
  <sheetFormatPr baseColWidth="10" defaultColWidth="11.625" defaultRowHeight="15" x14ac:dyDescent="0.25"/>
  <cols>
    <col min="1" max="1" width="3.875" style="913" bestFit="1" customWidth="1"/>
    <col min="2" max="2" width="24.25" style="913" customWidth="1"/>
    <col min="3" max="3" width="27.75" style="913" customWidth="1"/>
    <col min="4" max="4" width="28.375" style="913" customWidth="1"/>
    <col min="5" max="5" width="12.125" style="913" hidden="1" customWidth="1"/>
    <col min="6" max="9" width="0" style="913" hidden="1" customWidth="1"/>
    <col min="10" max="11" width="11.625" style="913"/>
    <col min="12" max="12" width="15.625" style="913" customWidth="1"/>
    <col min="13" max="13" width="11.625" style="913" hidden="1" customWidth="1"/>
    <col min="14" max="14" width="16.375" style="913" hidden="1" customWidth="1"/>
    <col min="15" max="15" width="10.625" style="913" customWidth="1"/>
    <col min="16" max="16" width="13.25" style="913" customWidth="1"/>
    <col min="17" max="17" width="10.625" style="913" customWidth="1"/>
    <col min="18" max="18" width="18.25" style="913" bestFit="1" customWidth="1"/>
    <col min="19" max="19" width="15.125" style="913" bestFit="1" customWidth="1"/>
    <col min="20" max="16384" width="11.625" style="913"/>
  </cols>
  <sheetData>
    <row r="1" spans="1:19" ht="15.75" x14ac:dyDescent="0.25">
      <c r="A1" s="1464"/>
      <c r="B1" s="1464"/>
      <c r="C1" s="1464"/>
      <c r="D1" s="1464"/>
    </row>
    <row r="2" spans="1:19" ht="25.5" customHeight="1" x14ac:dyDescent="0.25">
      <c r="A2" s="1465" t="s">
        <v>839</v>
      </c>
      <c r="B2" s="1465" t="s">
        <v>840</v>
      </c>
      <c r="C2" s="1465" t="s">
        <v>841</v>
      </c>
      <c r="D2" s="1466" t="s">
        <v>659</v>
      </c>
      <c r="J2" s="1471" t="s">
        <v>616</v>
      </c>
      <c r="K2" s="1462" t="s">
        <v>933</v>
      </c>
      <c r="L2" s="1463"/>
      <c r="M2" s="1468" t="s">
        <v>934</v>
      </c>
      <c r="N2" s="1469"/>
      <c r="O2" s="1470" t="s">
        <v>935</v>
      </c>
      <c r="P2" s="1471"/>
      <c r="Q2" s="1471"/>
    </row>
    <row r="3" spans="1:19" ht="15.75" x14ac:dyDescent="0.25">
      <c r="A3" s="1465"/>
      <c r="B3" s="1465"/>
      <c r="C3" s="1465"/>
      <c r="D3" s="1467"/>
      <c r="E3" s="1009" t="s">
        <v>826</v>
      </c>
      <c r="F3" s="1009" t="s">
        <v>101</v>
      </c>
      <c r="G3" s="1009" t="s">
        <v>824</v>
      </c>
      <c r="H3" s="1009" t="s">
        <v>827</v>
      </c>
      <c r="I3" s="1011"/>
      <c r="J3" s="1475"/>
      <c r="K3" s="1002" t="s">
        <v>133</v>
      </c>
      <c r="L3" s="1002" t="s">
        <v>279</v>
      </c>
      <c r="M3" s="1002" t="s">
        <v>133</v>
      </c>
      <c r="N3" s="1002" t="s">
        <v>279</v>
      </c>
      <c r="O3" s="1010"/>
      <c r="P3" s="1010"/>
      <c r="Q3" s="1010"/>
    </row>
    <row r="4" spans="1:19" ht="20.25" hidden="1" customHeight="1" x14ac:dyDescent="0.25">
      <c r="A4" s="914">
        <v>1</v>
      </c>
      <c r="B4" s="999" t="s">
        <v>842</v>
      </c>
      <c r="C4" s="912" t="s">
        <v>364</v>
      </c>
      <c r="D4" s="915" t="s">
        <v>843</v>
      </c>
      <c r="E4" s="916">
        <v>970</v>
      </c>
      <c r="F4" s="916">
        <v>950</v>
      </c>
      <c r="G4" s="916">
        <v>920</v>
      </c>
      <c r="H4" s="916">
        <v>1000</v>
      </c>
      <c r="I4" s="916"/>
      <c r="J4" s="916">
        <f>+VLOOKUP(C4,[2]Estudiomdo!$A$9:$I$70,9,0)</f>
        <v>962.79840000000013</v>
      </c>
      <c r="K4" s="916"/>
      <c r="L4" s="916" t="e">
        <f>+#REF!*J4</f>
        <v>#REF!</v>
      </c>
      <c r="N4" s="812">
        <v>500</v>
      </c>
      <c r="O4" s="812"/>
      <c r="P4" s="812"/>
      <c r="Q4" s="812"/>
    </row>
    <row r="5" spans="1:19" ht="19.899999999999999" customHeight="1" x14ac:dyDescent="0.25">
      <c r="A5" s="914">
        <v>2</v>
      </c>
      <c r="B5" s="1014"/>
      <c r="C5" s="1015" t="s">
        <v>361</v>
      </c>
      <c r="D5" s="1016" t="s">
        <v>843</v>
      </c>
      <c r="E5" s="916">
        <v>1100</v>
      </c>
      <c r="F5" s="916">
        <v>1240</v>
      </c>
      <c r="G5" s="916">
        <v>1150</v>
      </c>
      <c r="H5" s="916">
        <v>1370</v>
      </c>
      <c r="I5" s="916"/>
      <c r="J5" s="916" t="e">
        <f>+VLOOKUP(C5,#REF!,9,0)</f>
        <v>#REF!</v>
      </c>
      <c r="K5" s="1000">
        <v>2</v>
      </c>
      <c r="L5" s="916" t="e">
        <f>+K5*J5</f>
        <v>#REF!</v>
      </c>
      <c r="M5" s="1000">
        <v>2</v>
      </c>
      <c r="N5" s="916" t="e">
        <f>+M5*J5</f>
        <v>#REF!</v>
      </c>
      <c r="O5" s="1004">
        <v>500</v>
      </c>
      <c r="P5" s="1004">
        <f>+O5*K5</f>
        <v>1000</v>
      </c>
      <c r="Q5" s="1004">
        <f>+M5*O5</f>
        <v>1000</v>
      </c>
    </row>
    <row r="6" spans="1:19" ht="19.899999999999999" customHeight="1" x14ac:dyDescent="0.25">
      <c r="A6" s="914"/>
      <c r="B6" s="1017"/>
      <c r="C6" s="1015" t="s">
        <v>364</v>
      </c>
      <c r="D6" s="1016" t="s">
        <v>843</v>
      </c>
      <c r="E6" s="916"/>
      <c r="F6" s="916"/>
      <c r="G6" s="916"/>
      <c r="H6" s="916"/>
      <c r="I6" s="916"/>
      <c r="J6" s="916" t="e">
        <f>+VLOOKUP(C6,#REF!,9,0)</f>
        <v>#REF!</v>
      </c>
      <c r="K6" s="1000">
        <v>1</v>
      </c>
      <c r="L6" s="916" t="e">
        <f t="shared" ref="L6:L22" si="0">+K6*J6</f>
        <v>#REF!</v>
      </c>
      <c r="M6" s="1000">
        <v>0</v>
      </c>
      <c r="N6" s="916" t="e">
        <f t="shared" ref="N6:N22" si="1">+M6*J6</f>
        <v>#REF!</v>
      </c>
      <c r="O6" s="1004">
        <v>500</v>
      </c>
      <c r="P6" s="1004">
        <f t="shared" ref="P6:P22" si="2">+O6*K6</f>
        <v>500</v>
      </c>
      <c r="Q6" s="1004">
        <f t="shared" ref="Q6:Q22" si="3">+M6*O6</f>
        <v>0</v>
      </c>
    </row>
    <row r="7" spans="1:19" ht="19.899999999999999" customHeight="1" x14ac:dyDescent="0.25">
      <c r="A7" s="914">
        <v>3</v>
      </c>
      <c r="B7" s="1018" t="s">
        <v>844</v>
      </c>
      <c r="C7" s="1015" t="s">
        <v>830</v>
      </c>
      <c r="D7" s="1016" t="s">
        <v>845</v>
      </c>
      <c r="E7" s="916">
        <v>2700</v>
      </c>
      <c r="F7" s="916">
        <v>2980</v>
      </c>
      <c r="G7" s="916"/>
      <c r="H7" s="916"/>
      <c r="I7" s="916"/>
      <c r="J7" s="916" t="e">
        <f>+VLOOKUP(C7,#REF!,9,0)</f>
        <v>#REF!</v>
      </c>
      <c r="K7" s="1000">
        <v>1</v>
      </c>
      <c r="L7" s="916" t="e">
        <f t="shared" si="0"/>
        <v>#REF!</v>
      </c>
      <c r="M7" s="1000">
        <v>1</v>
      </c>
      <c r="N7" s="916" t="e">
        <f t="shared" si="1"/>
        <v>#REF!</v>
      </c>
      <c r="O7" s="1004">
        <v>200</v>
      </c>
      <c r="P7" s="1004">
        <f t="shared" si="2"/>
        <v>200</v>
      </c>
      <c r="Q7" s="1004">
        <f t="shared" si="3"/>
        <v>200</v>
      </c>
    </row>
    <row r="8" spans="1:19" ht="19.899999999999999" customHeight="1" x14ac:dyDescent="0.25">
      <c r="A8" s="914">
        <v>4</v>
      </c>
      <c r="B8" s="1472" t="s">
        <v>846</v>
      </c>
      <c r="C8" s="1015" t="s">
        <v>828</v>
      </c>
      <c r="D8" s="1016" t="s">
        <v>847</v>
      </c>
      <c r="E8" s="916">
        <v>2800</v>
      </c>
      <c r="F8" s="916">
        <v>3290</v>
      </c>
      <c r="G8" s="916">
        <v>2580</v>
      </c>
      <c r="H8" s="916">
        <v>3140</v>
      </c>
      <c r="I8" s="916"/>
      <c r="J8" s="916" t="e">
        <f>+VLOOKUP(C8,#REF!,9,0)</f>
        <v>#REF!</v>
      </c>
      <c r="K8" s="1000">
        <v>2</v>
      </c>
      <c r="L8" s="916" t="e">
        <f t="shared" si="0"/>
        <v>#REF!</v>
      </c>
      <c r="M8" s="1000">
        <v>2</v>
      </c>
      <c r="N8" s="916" t="e">
        <f t="shared" si="1"/>
        <v>#REF!</v>
      </c>
      <c r="O8" s="1004">
        <v>170</v>
      </c>
      <c r="P8" s="1004">
        <f t="shared" si="2"/>
        <v>340</v>
      </c>
      <c r="Q8" s="1004">
        <f t="shared" si="3"/>
        <v>340</v>
      </c>
    </row>
    <row r="9" spans="1:19" ht="19.899999999999999" customHeight="1" x14ac:dyDescent="0.25">
      <c r="A9" s="914">
        <v>5</v>
      </c>
      <c r="B9" s="1473"/>
      <c r="C9" s="1015" t="s">
        <v>837</v>
      </c>
      <c r="D9" s="1016" t="s">
        <v>848</v>
      </c>
      <c r="E9" s="916">
        <v>3360</v>
      </c>
      <c r="F9" s="916">
        <v>3360</v>
      </c>
      <c r="G9" s="916">
        <v>3680</v>
      </c>
      <c r="H9" s="916">
        <v>3630</v>
      </c>
      <c r="I9" s="916"/>
      <c r="J9" s="916" t="e">
        <f>+VLOOKUP(C9,#REF!,9,0)</f>
        <v>#REF!</v>
      </c>
      <c r="K9" s="1000">
        <v>1</v>
      </c>
      <c r="L9" s="916" t="e">
        <f t="shared" si="0"/>
        <v>#REF!</v>
      </c>
      <c r="M9" s="1000">
        <v>1</v>
      </c>
      <c r="N9" s="916" t="e">
        <f t="shared" si="1"/>
        <v>#REF!</v>
      </c>
      <c r="O9" s="1004">
        <v>425</v>
      </c>
      <c r="P9" s="1004">
        <f t="shared" si="2"/>
        <v>425</v>
      </c>
      <c r="Q9" s="1004">
        <f t="shared" si="3"/>
        <v>425</v>
      </c>
    </row>
    <row r="10" spans="1:19" ht="19.899999999999999" customHeight="1" x14ac:dyDescent="0.25">
      <c r="A10" s="914">
        <v>6</v>
      </c>
      <c r="B10" s="1474"/>
      <c r="C10" s="1015" t="s">
        <v>833</v>
      </c>
      <c r="D10" s="1016" t="s">
        <v>849</v>
      </c>
      <c r="E10" s="916">
        <v>236</v>
      </c>
      <c r="F10" s="916">
        <v>378.33333333333331</v>
      </c>
      <c r="G10" s="916">
        <v>338.33333333333331</v>
      </c>
      <c r="H10" s="916">
        <v>329.16666666666669</v>
      </c>
      <c r="I10" s="916"/>
      <c r="J10" s="916" t="e">
        <f>+VLOOKUP(C10,#REF!,9,0)</f>
        <v>#REF!</v>
      </c>
      <c r="K10" s="1000">
        <v>15</v>
      </c>
      <c r="L10" s="916" t="e">
        <f t="shared" si="0"/>
        <v>#REF!</v>
      </c>
      <c r="M10" s="1000">
        <v>12</v>
      </c>
      <c r="N10" s="916" t="e">
        <f t="shared" si="1"/>
        <v>#REF!</v>
      </c>
      <c r="O10" s="1004">
        <v>58</v>
      </c>
      <c r="P10" s="1004">
        <f t="shared" si="2"/>
        <v>870</v>
      </c>
      <c r="Q10" s="1004">
        <f t="shared" si="3"/>
        <v>696</v>
      </c>
    </row>
    <row r="11" spans="1:19" ht="19.899999999999999" customHeight="1" x14ac:dyDescent="0.25">
      <c r="A11" s="914">
        <v>7</v>
      </c>
      <c r="B11" s="1472" t="s">
        <v>850</v>
      </c>
      <c r="C11" s="1015" t="s">
        <v>445</v>
      </c>
      <c r="D11" s="1016" t="s">
        <v>843</v>
      </c>
      <c r="E11" s="916">
        <v>1200</v>
      </c>
      <c r="F11" s="916">
        <v>1230</v>
      </c>
      <c r="G11" s="916">
        <v>1200</v>
      </c>
      <c r="H11" s="916">
        <v>1250</v>
      </c>
      <c r="I11" s="916"/>
      <c r="J11" s="916" t="e">
        <f>+VLOOKUP(C11,#REF!,9,0)</f>
        <v>#REF!</v>
      </c>
      <c r="K11" s="1000">
        <v>3</v>
      </c>
      <c r="L11" s="916" t="e">
        <f t="shared" si="0"/>
        <v>#REF!</v>
      </c>
      <c r="M11" s="1000">
        <v>3</v>
      </c>
      <c r="N11" s="916" t="e">
        <f t="shared" si="1"/>
        <v>#REF!</v>
      </c>
      <c r="O11" s="1004">
        <v>500</v>
      </c>
      <c r="P11" s="1004">
        <f t="shared" si="2"/>
        <v>1500</v>
      </c>
      <c r="Q11" s="1004">
        <f t="shared" si="3"/>
        <v>1500</v>
      </c>
    </row>
    <row r="12" spans="1:19" ht="19.899999999999999" customHeight="1" x14ac:dyDescent="0.25">
      <c r="A12" s="914">
        <v>8</v>
      </c>
      <c r="B12" s="1473"/>
      <c r="C12" s="1016" t="s">
        <v>851</v>
      </c>
      <c r="D12" s="1016" t="s">
        <v>843</v>
      </c>
      <c r="E12" s="916">
        <v>1250</v>
      </c>
      <c r="F12" s="916">
        <v>1610</v>
      </c>
      <c r="G12" s="916">
        <v>1590</v>
      </c>
      <c r="H12" s="916">
        <v>1430</v>
      </c>
      <c r="I12" s="916"/>
      <c r="J12" s="916" t="e">
        <f>+VLOOKUP(C12,#REF!,9,0)</f>
        <v>#REF!</v>
      </c>
      <c r="K12" s="1000">
        <v>1</v>
      </c>
      <c r="L12" s="916" t="e">
        <f t="shared" si="0"/>
        <v>#REF!</v>
      </c>
      <c r="M12" s="1000">
        <v>1</v>
      </c>
      <c r="N12" s="916" t="e">
        <f t="shared" si="1"/>
        <v>#REF!</v>
      </c>
      <c r="O12" s="1004">
        <v>500</v>
      </c>
      <c r="P12" s="1004">
        <f t="shared" si="2"/>
        <v>500</v>
      </c>
      <c r="Q12" s="1004">
        <f t="shared" si="3"/>
        <v>500</v>
      </c>
    </row>
    <row r="13" spans="1:19" ht="19.899999999999999" customHeight="1" x14ac:dyDescent="0.25">
      <c r="A13" s="914">
        <v>10</v>
      </c>
      <c r="B13" s="1473"/>
      <c r="C13" s="1015" t="s">
        <v>836</v>
      </c>
      <c r="D13" s="1016" t="s">
        <v>852</v>
      </c>
      <c r="E13" s="916">
        <v>1240</v>
      </c>
      <c r="F13" s="916">
        <v>1270</v>
      </c>
      <c r="G13" s="916">
        <v>1330</v>
      </c>
      <c r="H13" s="916">
        <v>1320</v>
      </c>
      <c r="I13" s="916"/>
      <c r="J13" s="916" t="e">
        <f>+VLOOKUP(C13,#REF!,9,0)</f>
        <v>#REF!</v>
      </c>
      <c r="K13" s="1000">
        <v>1</v>
      </c>
      <c r="L13" s="916" t="e">
        <f t="shared" si="0"/>
        <v>#REF!</v>
      </c>
      <c r="M13" s="1000">
        <v>1</v>
      </c>
      <c r="N13" s="916" t="e">
        <f t="shared" si="1"/>
        <v>#REF!</v>
      </c>
      <c r="O13" s="1004">
        <v>500</v>
      </c>
      <c r="P13" s="1004">
        <f t="shared" si="2"/>
        <v>500</v>
      </c>
      <c r="Q13" s="1004">
        <f t="shared" si="3"/>
        <v>500</v>
      </c>
    </row>
    <row r="14" spans="1:19" ht="19.899999999999999" customHeight="1" x14ac:dyDescent="0.25">
      <c r="A14" s="914">
        <v>11</v>
      </c>
      <c r="B14" s="1473"/>
      <c r="C14" s="1015" t="s">
        <v>832</v>
      </c>
      <c r="D14" s="1016" t="s">
        <v>853</v>
      </c>
      <c r="E14" s="916">
        <v>1240</v>
      </c>
      <c r="F14" s="916">
        <v>1400</v>
      </c>
      <c r="G14" s="916">
        <v>1330</v>
      </c>
      <c r="H14" s="916">
        <v>1320</v>
      </c>
      <c r="I14" s="916"/>
      <c r="J14" s="916" t="e">
        <f>+VLOOKUP(C14,#REF!,9,0)</f>
        <v>#REF!</v>
      </c>
      <c r="K14" s="1000">
        <v>1</v>
      </c>
      <c r="L14" s="916" t="e">
        <f t="shared" si="0"/>
        <v>#REF!</v>
      </c>
      <c r="M14" s="1000">
        <v>1</v>
      </c>
      <c r="N14" s="916" t="e">
        <f t="shared" si="1"/>
        <v>#REF!</v>
      </c>
      <c r="O14" s="1004">
        <v>250</v>
      </c>
      <c r="P14" s="1004">
        <f t="shared" si="2"/>
        <v>250</v>
      </c>
      <c r="Q14" s="1004">
        <f t="shared" si="3"/>
        <v>250</v>
      </c>
    </row>
    <row r="15" spans="1:19" ht="19.899999999999999" customHeight="1" x14ac:dyDescent="0.25">
      <c r="A15" s="914">
        <v>14</v>
      </c>
      <c r="B15" s="1474"/>
      <c r="C15" s="1016" t="s">
        <v>829</v>
      </c>
      <c r="D15" s="1016" t="s">
        <v>852</v>
      </c>
      <c r="E15" s="916">
        <v>1300</v>
      </c>
      <c r="F15" s="916"/>
      <c r="G15" s="916">
        <v>1230</v>
      </c>
      <c r="H15" s="916">
        <v>1540</v>
      </c>
      <c r="I15" s="916"/>
      <c r="J15" s="916" t="e">
        <f>+VLOOKUP(C15,#REF!,9,0)</f>
        <v>#REF!</v>
      </c>
      <c r="K15" s="1000">
        <v>1</v>
      </c>
      <c r="L15" s="916" t="e">
        <f t="shared" si="0"/>
        <v>#REF!</v>
      </c>
      <c r="M15" s="1000">
        <v>1</v>
      </c>
      <c r="N15" s="916" t="e">
        <f t="shared" si="1"/>
        <v>#REF!</v>
      </c>
      <c r="O15" s="1004">
        <v>250</v>
      </c>
      <c r="P15" s="1004">
        <f t="shared" si="2"/>
        <v>250</v>
      </c>
      <c r="Q15" s="1004">
        <f t="shared" si="3"/>
        <v>250</v>
      </c>
    </row>
    <row r="16" spans="1:19" ht="19.899999999999999" customHeight="1" x14ac:dyDescent="0.25">
      <c r="A16" s="914">
        <v>15</v>
      </c>
      <c r="B16" s="1019" t="s">
        <v>854</v>
      </c>
      <c r="C16" s="1015" t="s">
        <v>517</v>
      </c>
      <c r="D16" s="1016" t="s">
        <v>855</v>
      </c>
      <c r="E16" s="916">
        <v>4690</v>
      </c>
      <c r="F16" s="916">
        <v>4930</v>
      </c>
      <c r="G16" s="916">
        <v>4750</v>
      </c>
      <c r="H16" s="916">
        <v>4700</v>
      </c>
      <c r="I16" s="916"/>
      <c r="J16" s="916" t="e">
        <f>+VLOOKUP(C16,#REF!,9,0)</f>
        <v>#REF!</v>
      </c>
      <c r="K16" s="1000">
        <v>1</v>
      </c>
      <c r="L16" s="916" t="e">
        <f t="shared" si="0"/>
        <v>#REF!</v>
      </c>
      <c r="M16" s="1000">
        <v>1</v>
      </c>
      <c r="N16" s="916" t="e">
        <f t="shared" si="1"/>
        <v>#REF!</v>
      </c>
      <c r="O16" s="1004">
        <v>1000</v>
      </c>
      <c r="P16" s="1004">
        <f t="shared" si="2"/>
        <v>1000</v>
      </c>
      <c r="Q16" s="1004">
        <f t="shared" si="3"/>
        <v>1000</v>
      </c>
      <c r="S16" s="988"/>
    </row>
    <row r="17" spans="1:19" ht="19.899999999999999" customHeight="1" x14ac:dyDescent="0.25">
      <c r="A17" s="914">
        <v>17</v>
      </c>
      <c r="B17" s="1020" t="s">
        <v>856</v>
      </c>
      <c r="C17" s="1015" t="s">
        <v>834</v>
      </c>
      <c r="D17" s="1016" t="s">
        <v>857</v>
      </c>
      <c r="E17" s="916">
        <v>6130</v>
      </c>
      <c r="F17" s="916">
        <v>6010</v>
      </c>
      <c r="G17" s="916">
        <v>6130</v>
      </c>
      <c r="H17" s="916">
        <v>6660</v>
      </c>
      <c r="I17" s="916"/>
      <c r="J17" s="916" t="e">
        <f>+VLOOKUP(C17,#REF!,9,0)</f>
        <v>#REF!</v>
      </c>
      <c r="K17" s="1000">
        <v>1</v>
      </c>
      <c r="L17" s="916" t="e">
        <f t="shared" si="0"/>
        <v>#REF!</v>
      </c>
      <c r="M17" s="1000">
        <v>1</v>
      </c>
      <c r="N17" s="916" t="e">
        <f t="shared" si="1"/>
        <v>#REF!</v>
      </c>
      <c r="O17" s="1004">
        <v>500</v>
      </c>
      <c r="P17" s="1004">
        <f t="shared" si="2"/>
        <v>500</v>
      </c>
      <c r="Q17" s="1004">
        <f t="shared" si="3"/>
        <v>500</v>
      </c>
      <c r="S17" s="988"/>
    </row>
    <row r="18" spans="1:19" ht="19.899999999999999" customHeight="1" x14ac:dyDescent="0.25">
      <c r="A18" s="914">
        <v>18</v>
      </c>
      <c r="B18" s="1472" t="s">
        <v>858</v>
      </c>
      <c r="C18" s="1015" t="s">
        <v>831</v>
      </c>
      <c r="D18" s="1016" t="s">
        <v>843</v>
      </c>
      <c r="E18" s="916">
        <v>1860</v>
      </c>
      <c r="F18" s="916"/>
      <c r="G18" s="916">
        <v>2170</v>
      </c>
      <c r="H18" s="916"/>
      <c r="I18" s="916"/>
      <c r="J18" s="916" t="e">
        <f>+VLOOKUP(C18,#REF!,9,0)</f>
        <v>#REF!</v>
      </c>
      <c r="K18" s="1000">
        <v>1</v>
      </c>
      <c r="L18" s="916" t="e">
        <f t="shared" si="0"/>
        <v>#REF!</v>
      </c>
      <c r="M18" s="1000">
        <v>1</v>
      </c>
      <c r="N18" s="916" t="e">
        <f t="shared" si="1"/>
        <v>#REF!</v>
      </c>
      <c r="O18" s="1004">
        <v>500</v>
      </c>
      <c r="P18" s="1004">
        <f t="shared" si="2"/>
        <v>500</v>
      </c>
      <c r="Q18" s="1004">
        <f t="shared" si="3"/>
        <v>500</v>
      </c>
    </row>
    <row r="19" spans="1:19" ht="19.899999999999999" customHeight="1" x14ac:dyDescent="0.25">
      <c r="A19" s="914">
        <v>19</v>
      </c>
      <c r="B19" s="1473"/>
      <c r="C19" s="1016" t="s">
        <v>835</v>
      </c>
      <c r="D19" s="1016" t="s">
        <v>843</v>
      </c>
      <c r="E19" s="916">
        <v>1150</v>
      </c>
      <c r="F19" s="916">
        <v>1290</v>
      </c>
      <c r="G19" s="916">
        <v>1150</v>
      </c>
      <c r="H19" s="916"/>
      <c r="I19" s="916"/>
      <c r="J19" s="916" t="e">
        <f>+VLOOKUP(C19,#REF!,9,0)</f>
        <v>#REF!</v>
      </c>
      <c r="K19" s="1000">
        <v>1</v>
      </c>
      <c r="L19" s="916" t="e">
        <f t="shared" si="0"/>
        <v>#REF!</v>
      </c>
      <c r="M19" s="1000">
        <v>1</v>
      </c>
      <c r="N19" s="916" t="e">
        <f t="shared" si="1"/>
        <v>#REF!</v>
      </c>
      <c r="O19" s="1004">
        <v>500</v>
      </c>
      <c r="P19" s="1004">
        <f t="shared" si="2"/>
        <v>500</v>
      </c>
      <c r="Q19" s="1004">
        <f t="shared" si="3"/>
        <v>500</v>
      </c>
      <c r="S19" s="989"/>
    </row>
    <row r="20" spans="1:19" ht="19.899999999999999" customHeight="1" x14ac:dyDescent="0.25">
      <c r="A20" s="914">
        <v>21</v>
      </c>
      <c r="B20" s="1455" t="s">
        <v>859</v>
      </c>
      <c r="C20" s="1015" t="s">
        <v>920</v>
      </c>
      <c r="D20" s="1021" t="s">
        <v>921</v>
      </c>
      <c r="E20" s="916">
        <v>430</v>
      </c>
      <c r="F20" s="916">
        <v>440</v>
      </c>
      <c r="G20" s="916">
        <v>440</v>
      </c>
      <c r="H20" s="916"/>
      <c r="I20" s="916"/>
      <c r="J20" s="916" t="e">
        <f>+VLOOKUP(C20,#REF!,9,0)</f>
        <v>#REF!</v>
      </c>
      <c r="K20" s="1000">
        <v>0</v>
      </c>
      <c r="L20" s="916" t="e">
        <f t="shared" si="0"/>
        <v>#REF!</v>
      </c>
      <c r="M20" s="1000">
        <v>1</v>
      </c>
      <c r="N20" s="916" t="e">
        <f t="shared" si="1"/>
        <v>#REF!</v>
      </c>
      <c r="O20" s="1004">
        <v>400</v>
      </c>
      <c r="P20" s="1004">
        <f t="shared" si="2"/>
        <v>0</v>
      </c>
      <c r="Q20" s="1004">
        <f t="shared" si="3"/>
        <v>400</v>
      </c>
      <c r="S20" s="988"/>
    </row>
    <row r="21" spans="1:19" ht="19.899999999999999" customHeight="1" x14ac:dyDescent="0.25">
      <c r="A21" s="914"/>
      <c r="B21" s="1455"/>
      <c r="C21" s="1015" t="s">
        <v>838</v>
      </c>
      <c r="D21" s="1021" t="s">
        <v>860</v>
      </c>
      <c r="E21" s="916">
        <v>2000</v>
      </c>
      <c r="F21" s="916">
        <v>2040</v>
      </c>
      <c r="G21" s="916">
        <v>2000</v>
      </c>
      <c r="H21" s="916"/>
      <c r="I21" s="916"/>
      <c r="J21" s="916" t="e">
        <f>+VLOOKUP(C21,#REF!,9,0)</f>
        <v>#REF!</v>
      </c>
      <c r="K21" s="1001">
        <v>1</v>
      </c>
      <c r="L21" s="916" t="e">
        <f t="shared" si="0"/>
        <v>#REF!</v>
      </c>
      <c r="M21" s="1000">
        <v>0</v>
      </c>
      <c r="N21" s="916" t="e">
        <f t="shared" si="1"/>
        <v>#REF!</v>
      </c>
      <c r="O21" s="1004">
        <v>300</v>
      </c>
      <c r="P21" s="1004">
        <f t="shared" si="2"/>
        <v>300</v>
      </c>
      <c r="Q21" s="1004">
        <f t="shared" si="3"/>
        <v>0</v>
      </c>
      <c r="S21" s="988"/>
    </row>
    <row r="22" spans="1:19" ht="18.75" customHeight="1" x14ac:dyDescent="0.25">
      <c r="A22" s="914">
        <v>22</v>
      </c>
      <c r="B22" s="1455"/>
      <c r="C22" s="1015" t="s">
        <v>932</v>
      </c>
      <c r="D22" s="1021" t="s">
        <v>843</v>
      </c>
      <c r="E22" s="916">
        <v>2000</v>
      </c>
      <c r="F22" s="916">
        <v>2040</v>
      </c>
      <c r="G22" s="916">
        <v>2000</v>
      </c>
      <c r="H22" s="916"/>
      <c r="I22" s="916"/>
      <c r="J22" s="916" t="e">
        <f>+VLOOKUP(C22,#REF!,9,0)</f>
        <v>#REF!</v>
      </c>
      <c r="K22" s="1001">
        <v>1</v>
      </c>
      <c r="L22" s="916" t="e">
        <f t="shared" si="0"/>
        <v>#REF!</v>
      </c>
      <c r="M22" s="1000">
        <v>0</v>
      </c>
      <c r="N22" s="916" t="e">
        <f t="shared" si="1"/>
        <v>#REF!</v>
      </c>
      <c r="O22" s="1004">
        <v>500</v>
      </c>
      <c r="P22" s="1004">
        <f t="shared" si="2"/>
        <v>500</v>
      </c>
      <c r="Q22" s="1004">
        <f t="shared" si="3"/>
        <v>0</v>
      </c>
      <c r="S22" s="988"/>
    </row>
    <row r="23" spans="1:19" ht="20.45" customHeight="1" x14ac:dyDescent="0.25">
      <c r="C23" s="917" t="s">
        <v>861</v>
      </c>
      <c r="D23" s="918"/>
      <c r="E23" s="918"/>
      <c r="F23" s="918"/>
      <c r="G23" s="918"/>
      <c r="H23" s="918"/>
      <c r="I23" s="918"/>
      <c r="J23" s="919"/>
      <c r="K23" s="919"/>
      <c r="L23" s="920" t="e">
        <f>SUM(L5:L22)</f>
        <v>#REF!</v>
      </c>
      <c r="M23" s="919"/>
      <c r="N23" s="920" t="e">
        <f>SUM(N5:N22)</f>
        <v>#REF!</v>
      </c>
      <c r="O23" s="1004">
        <f>SUM(O5:O22)</f>
        <v>7553</v>
      </c>
      <c r="P23" s="1004">
        <f>SUM(P5:P22)</f>
        <v>9635</v>
      </c>
      <c r="Q23" s="1004">
        <f>SUM(Q5:Q22)</f>
        <v>8561</v>
      </c>
      <c r="R23" s="995">
        <f>+[3]Paquete!$L$25</f>
        <v>53330.954999999994</v>
      </c>
    </row>
    <row r="24" spans="1:19" x14ac:dyDescent="0.25">
      <c r="O24" s="1003"/>
      <c r="P24" s="1003"/>
      <c r="Q24" s="1003"/>
    </row>
    <row r="25" spans="1:19" ht="21.75" customHeight="1" x14ac:dyDescent="0.25">
      <c r="C25" s="1456" t="s">
        <v>862</v>
      </c>
      <c r="D25" s="1457"/>
      <c r="E25" s="1457"/>
      <c r="F25" s="1457"/>
      <c r="G25" s="1457"/>
      <c r="H25" s="1457"/>
      <c r="I25" s="1457"/>
      <c r="J25" s="1458"/>
      <c r="K25" s="1012"/>
      <c r="L25" s="921" t="e">
        <f>+#REF!</f>
        <v>#REF!</v>
      </c>
      <c r="M25" s="1012"/>
      <c r="N25" s="921" t="e">
        <f>+#REF!</f>
        <v>#REF!</v>
      </c>
      <c r="O25" s="1003"/>
      <c r="P25" s="1008" t="e">
        <f>+L25*P23</f>
        <v>#REF!</v>
      </c>
      <c r="Q25" s="1003" t="e">
        <f>+N25*Q23</f>
        <v>#REF!</v>
      </c>
      <c r="R25" s="984" t="e">
        <f>+L25</f>
        <v>#REF!</v>
      </c>
    </row>
    <row r="26" spans="1:19" x14ac:dyDescent="0.25">
      <c r="O26" s="1003"/>
      <c r="P26" s="1003"/>
      <c r="Q26" s="1003"/>
    </row>
    <row r="27" spans="1:19" ht="21.75" customHeight="1" x14ac:dyDescent="0.25">
      <c r="C27" s="1459" t="s">
        <v>279</v>
      </c>
      <c r="D27" s="1460"/>
      <c r="E27" s="1460"/>
      <c r="F27" s="1460"/>
      <c r="G27" s="1460"/>
      <c r="H27" s="1460"/>
      <c r="I27" s="1460"/>
      <c r="J27" s="1461"/>
      <c r="K27" s="1013"/>
      <c r="L27" s="925" t="e">
        <f>+L23*L25</f>
        <v>#REF!</v>
      </c>
      <c r="M27" s="925"/>
      <c r="N27" s="925" t="e">
        <f>+N23*N25</f>
        <v>#REF!</v>
      </c>
      <c r="O27" s="1003"/>
      <c r="P27" s="1003"/>
      <c r="Q27" s="1003"/>
      <c r="R27" s="995" t="e">
        <f>+R23*R25</f>
        <v>#REF!</v>
      </c>
      <c r="S27" s="988" t="e">
        <f>+R27-L27</f>
        <v>#REF!</v>
      </c>
    </row>
  </sheetData>
  <mergeCells count="15">
    <mergeCell ref="M2:N2"/>
    <mergeCell ref="O2:Q2"/>
    <mergeCell ref="B8:B10"/>
    <mergeCell ref="B11:B15"/>
    <mergeCell ref="B18:B19"/>
    <mergeCell ref="J2:J3"/>
    <mergeCell ref="B20:B22"/>
    <mergeCell ref="C25:J25"/>
    <mergeCell ref="C27:J27"/>
    <mergeCell ref="K2:L2"/>
    <mergeCell ref="A1:D1"/>
    <mergeCell ref="A2:A3"/>
    <mergeCell ref="B2:B3"/>
    <mergeCell ref="C2:C3"/>
    <mergeCell ref="D2:D3"/>
  </mergeCells>
  <pageMargins left="0.7" right="0.7" top="0.75" bottom="0.75" header="0.3" footer="0.3"/>
  <pageSetup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showGridLines="0" topLeftCell="A7" workbookViewId="0">
      <selection activeCell="C11" sqref="C11"/>
    </sheetView>
  </sheetViews>
  <sheetFormatPr baseColWidth="10" defaultColWidth="11.375" defaultRowHeight="12.75" x14ac:dyDescent="0.2"/>
  <cols>
    <col min="1" max="1" width="29.25" style="1092" customWidth="1"/>
    <col min="2" max="2" width="12.75" style="1092" customWidth="1"/>
    <col min="3" max="6" width="10.75" style="1092" customWidth="1"/>
    <col min="7" max="7" width="12.125" style="1092" customWidth="1"/>
    <col min="8" max="8" width="14.75" style="1092" customWidth="1"/>
    <col min="9" max="9" width="19.125" style="1092" customWidth="1"/>
    <col min="10" max="16384" width="11.375" style="1092"/>
  </cols>
  <sheetData>
    <row r="1" spans="1:16" x14ac:dyDescent="0.2">
      <c r="A1" s="1480" t="str">
        <f>+[4]Web!A1</f>
        <v>Municipio de Medellin</v>
      </c>
      <c r="B1" s="1480"/>
      <c r="C1" s="1480"/>
      <c r="D1" s="1480"/>
      <c r="E1" s="1480"/>
      <c r="F1" s="1480"/>
      <c r="G1" s="1480"/>
      <c r="H1" s="1480"/>
      <c r="I1" s="1091"/>
      <c r="J1" s="1091"/>
      <c r="K1" s="1091"/>
      <c r="L1" s="1091"/>
      <c r="M1" s="1091"/>
      <c r="N1" s="1091"/>
      <c r="O1" s="1091"/>
      <c r="P1" s="1091"/>
    </row>
    <row r="2" spans="1:16" x14ac:dyDescent="0.2">
      <c r="A2" s="1480" t="str">
        <f>+[4]RHno!A2</f>
        <v>Secretaria de Inclusion Social y Familia</v>
      </c>
      <c r="B2" s="1480"/>
      <c r="C2" s="1480"/>
      <c r="D2" s="1480"/>
      <c r="E2" s="1480"/>
      <c r="F2" s="1480"/>
      <c r="G2" s="1480"/>
      <c r="H2" s="1480"/>
      <c r="I2" s="1091"/>
      <c r="J2" s="1091"/>
      <c r="K2" s="1091"/>
      <c r="L2" s="1091"/>
      <c r="M2" s="1091"/>
      <c r="N2" s="1091"/>
      <c r="O2" s="1091"/>
      <c r="P2" s="1091"/>
    </row>
    <row r="3" spans="1:16" x14ac:dyDescent="0.2">
      <c r="A3" s="1480" t="s">
        <v>658</v>
      </c>
      <c r="B3" s="1480"/>
      <c r="C3" s="1480"/>
      <c r="D3" s="1480"/>
      <c r="E3" s="1480"/>
      <c r="F3" s="1480"/>
      <c r="G3" s="1480"/>
      <c r="H3" s="1480"/>
      <c r="I3" s="1091"/>
      <c r="J3" s="1091"/>
      <c r="K3" s="1091"/>
      <c r="L3" s="1091"/>
      <c r="M3" s="1091"/>
      <c r="N3" s="1091"/>
      <c r="O3" s="1091"/>
      <c r="P3" s="1091"/>
    </row>
    <row r="4" spans="1:16" x14ac:dyDescent="0.2">
      <c r="A4" s="1480" t="str">
        <f>+[4]Web!A5</f>
        <v>Estudio de Costos</v>
      </c>
      <c r="B4" s="1480"/>
      <c r="C4" s="1480"/>
      <c r="D4" s="1480"/>
      <c r="E4" s="1480"/>
      <c r="F4" s="1480"/>
      <c r="G4" s="1480"/>
      <c r="H4" s="1480"/>
      <c r="I4" s="1091"/>
      <c r="J4" s="1091"/>
      <c r="K4" s="1091"/>
      <c r="L4" s="1091"/>
      <c r="M4" s="1091"/>
      <c r="N4" s="1091"/>
      <c r="O4" s="1091"/>
      <c r="P4" s="1091"/>
    </row>
    <row r="6" spans="1:16" ht="25.5" customHeight="1" x14ac:dyDescent="0.2">
      <c r="A6" s="1481" t="s">
        <v>910</v>
      </c>
      <c r="B6" s="1481"/>
      <c r="C6" s="1481"/>
      <c r="D6" s="1481"/>
      <c r="E6" s="1481"/>
      <c r="F6" s="1481"/>
      <c r="G6" s="1481"/>
      <c r="H6" s="1481"/>
    </row>
    <row r="8" spans="1:16" ht="45" x14ac:dyDescent="0.2">
      <c r="A8" s="1093" t="s">
        <v>947</v>
      </c>
      <c r="B8" s="1093" t="s">
        <v>4</v>
      </c>
      <c r="C8" s="1093" t="s">
        <v>133</v>
      </c>
      <c r="D8" s="1106" t="s">
        <v>953</v>
      </c>
      <c r="E8" s="1106" t="s">
        <v>948</v>
      </c>
      <c r="F8" s="1089"/>
      <c r="G8" s="1093" t="s">
        <v>949</v>
      </c>
      <c r="H8" s="1093" t="s">
        <v>262</v>
      </c>
    </row>
    <row r="9" spans="1:16" ht="23.25" customHeight="1" x14ac:dyDescent="0.2">
      <c r="A9" s="1094" t="s">
        <v>950</v>
      </c>
      <c r="B9" s="1095" t="s">
        <v>4</v>
      </c>
      <c r="C9" s="1096">
        <v>0</v>
      </c>
      <c r="D9" s="1107">
        <f>52000*1.19</f>
        <v>61880</v>
      </c>
      <c r="E9" s="1107">
        <f>75000*1.19</f>
        <v>89250</v>
      </c>
      <c r="F9" s="1090"/>
      <c r="G9" s="1097">
        <f>+AVERAGE(D9:E9)</f>
        <v>75565</v>
      </c>
      <c r="H9" s="1098">
        <f>C9*G9</f>
        <v>0</v>
      </c>
    </row>
    <row r="10" spans="1:16" ht="24" customHeight="1" x14ac:dyDescent="0.2">
      <c r="A10" s="1094" t="s">
        <v>951</v>
      </c>
      <c r="B10" s="1095" t="s">
        <v>4</v>
      </c>
      <c r="C10" s="1096">
        <v>0</v>
      </c>
      <c r="D10" s="1107">
        <f>19000*1.19</f>
        <v>22610</v>
      </c>
      <c r="E10" s="1107"/>
      <c r="F10" s="1090"/>
      <c r="G10" s="1097">
        <f>+D10</f>
        <v>22610</v>
      </c>
      <c r="H10" s="1098">
        <f>C10*G10</f>
        <v>0</v>
      </c>
    </row>
    <row r="11" spans="1:16" ht="24" customHeight="1" x14ac:dyDescent="0.2">
      <c r="A11" s="1099" t="s">
        <v>952</v>
      </c>
      <c r="B11" s="1095" t="s">
        <v>4</v>
      </c>
      <c r="C11" s="1096">
        <v>0</v>
      </c>
      <c r="D11" s="1088">
        <f>10000*1.19</f>
        <v>11900</v>
      </c>
      <c r="E11" s="1088"/>
      <c r="F11" s="1090"/>
      <c r="G11" s="1097">
        <f>+D11</f>
        <v>11900</v>
      </c>
      <c r="H11" s="1098">
        <f>C11*G11</f>
        <v>0</v>
      </c>
    </row>
    <row r="12" spans="1:16" ht="21.75" customHeight="1" x14ac:dyDescent="0.2">
      <c r="A12" s="1476" t="s">
        <v>279</v>
      </c>
      <c r="B12" s="1477"/>
      <c r="C12" s="1477"/>
      <c r="D12" s="1477"/>
      <c r="E12" s="1477"/>
      <c r="F12" s="1477"/>
      <c r="G12" s="1478"/>
      <c r="H12" s="1100">
        <f>SUM(H9:H11)</f>
        <v>0</v>
      </c>
    </row>
    <row r="14" spans="1:16" x14ac:dyDescent="0.2">
      <c r="B14" s="1101"/>
    </row>
    <row r="15" spans="1:16" ht="15" x14ac:dyDescent="0.25">
      <c r="A15" s="1102"/>
      <c r="B15" s="1479"/>
      <c r="C15" s="1479"/>
      <c r="D15" s="1103"/>
      <c r="E15" s="1103"/>
      <c r="F15" s="1103"/>
    </row>
    <row r="16" spans="1:16" x14ac:dyDescent="0.2">
      <c r="H16" s="1104"/>
    </row>
  </sheetData>
  <mergeCells count="7">
    <mergeCell ref="A12:G12"/>
    <mergeCell ref="B15:C15"/>
    <mergeCell ref="A1:H1"/>
    <mergeCell ref="A2:H2"/>
    <mergeCell ref="A3:H3"/>
    <mergeCell ref="A4:H4"/>
    <mergeCell ref="A6:H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5"/>
  <sheetViews>
    <sheetView workbookViewId="0">
      <selection activeCell="F9" sqref="F9"/>
    </sheetView>
  </sheetViews>
  <sheetFormatPr baseColWidth="10" defaultRowHeight="15" x14ac:dyDescent="0.25"/>
  <cols>
    <col min="2" max="2" width="41.125" customWidth="1"/>
    <col min="3" max="3" width="48" customWidth="1"/>
    <col min="4" max="4" width="27" style="1260" customWidth="1"/>
    <col min="5" max="5" width="25.375" customWidth="1"/>
  </cols>
  <sheetData>
    <row r="1" spans="1:5" s="1226" customFormat="1" x14ac:dyDescent="0.25">
      <c r="A1" s="1449" t="s">
        <v>1109</v>
      </c>
      <c r="B1" s="1449"/>
      <c r="C1" s="1449"/>
      <c r="E1" s="1230"/>
    </row>
    <row r="2" spans="1:5" s="1226" customFormat="1" x14ac:dyDescent="0.25">
      <c r="A2" s="1449" t="s">
        <v>1076</v>
      </c>
      <c r="B2" s="1449"/>
      <c r="C2" s="1449"/>
      <c r="E2" s="1230"/>
    </row>
    <row r="3" spans="1:5" s="1226" customFormat="1" x14ac:dyDescent="0.25">
      <c r="A3" s="1449" t="s">
        <v>1122</v>
      </c>
      <c r="B3" s="1449"/>
      <c r="C3" s="1449"/>
      <c r="E3" s="1230"/>
    </row>
    <row r="4" spans="1:5" s="1226" customFormat="1" x14ac:dyDescent="0.25">
      <c r="A4" s="1449" t="s">
        <v>1075</v>
      </c>
      <c r="B4" s="1449"/>
      <c r="C4" s="1449"/>
      <c r="E4" s="1230"/>
    </row>
    <row r="5" spans="1:5" ht="21" x14ac:dyDescent="0.35">
      <c r="D5" s="1295" t="s">
        <v>1121</v>
      </c>
      <c r="E5" s="1296">
        <v>63</v>
      </c>
    </row>
    <row r="6" spans="1:5" ht="19.5" thickBot="1" x14ac:dyDescent="0.35">
      <c r="C6" s="1261" t="s">
        <v>1091</v>
      </c>
      <c r="D6" s="1289"/>
      <c r="E6" s="1289">
        <f>SUM(E8:E15)</f>
        <v>0</v>
      </c>
    </row>
    <row r="7" spans="1:5" ht="19.5" thickBot="1" x14ac:dyDescent="0.3">
      <c r="A7" s="1290" t="s">
        <v>1112</v>
      </c>
      <c r="B7" s="1291" t="s">
        <v>1090</v>
      </c>
      <c r="C7" s="1259" t="s">
        <v>1111</v>
      </c>
      <c r="D7" s="1292" t="s">
        <v>1113</v>
      </c>
      <c r="E7" s="1293" t="s">
        <v>1114</v>
      </c>
    </row>
    <row r="8" spans="1:5" ht="45.75" thickBot="1" x14ac:dyDescent="0.3">
      <c r="A8" s="1294">
        <v>15</v>
      </c>
      <c r="B8" s="1287" t="s">
        <v>1119</v>
      </c>
      <c r="C8" s="1288" t="s">
        <v>1129</v>
      </c>
      <c r="D8" s="1264"/>
      <c r="E8" s="1264">
        <f t="shared" ref="E8:E14" si="0">A8*D8</f>
        <v>0</v>
      </c>
    </row>
    <row r="9" spans="1:5" ht="69" customHeight="1" thickBot="1" x14ac:dyDescent="0.3">
      <c r="A9" s="1294">
        <v>15</v>
      </c>
      <c r="B9" s="1287" t="s">
        <v>1119</v>
      </c>
      <c r="C9" s="1288" t="s">
        <v>1130</v>
      </c>
      <c r="D9" s="1264"/>
      <c r="E9" s="1264">
        <f t="shared" si="0"/>
        <v>0</v>
      </c>
    </row>
    <row r="10" spans="1:5" ht="45.75" thickBot="1" x14ac:dyDescent="0.3">
      <c r="A10" s="1294">
        <v>15</v>
      </c>
      <c r="B10" s="1287" t="s">
        <v>1119</v>
      </c>
      <c r="C10" s="1288" t="s">
        <v>1120</v>
      </c>
      <c r="D10" s="1264"/>
      <c r="E10" s="1264">
        <f t="shared" si="0"/>
        <v>0</v>
      </c>
    </row>
    <row r="11" spans="1:5" ht="69" customHeight="1" thickBot="1" x14ac:dyDescent="0.3">
      <c r="A11" s="1294">
        <v>15</v>
      </c>
      <c r="B11" s="1287" t="s">
        <v>1119</v>
      </c>
      <c r="C11" s="1288" t="s">
        <v>1131</v>
      </c>
      <c r="D11" s="1264"/>
      <c r="E11" s="1264">
        <f t="shared" si="0"/>
        <v>0</v>
      </c>
    </row>
    <row r="12" spans="1:5" ht="30.75" thickBot="1" x14ac:dyDescent="0.3">
      <c r="A12" s="1294">
        <v>30</v>
      </c>
      <c r="B12" s="1287" t="s">
        <v>1119</v>
      </c>
      <c r="C12" s="1288" t="s">
        <v>1132</v>
      </c>
      <c r="D12" s="1264"/>
      <c r="E12" s="1264">
        <f t="shared" si="0"/>
        <v>0</v>
      </c>
    </row>
    <row r="13" spans="1:5" ht="45.75" thickBot="1" x14ac:dyDescent="0.3">
      <c r="A13" s="1294">
        <v>200</v>
      </c>
      <c r="B13" s="1287" t="s">
        <v>1119</v>
      </c>
      <c r="C13" s="1288" t="s">
        <v>1133</v>
      </c>
      <c r="D13" s="1264"/>
      <c r="E13" s="1264"/>
    </row>
    <row r="14" spans="1:5" ht="153.75" customHeight="1" thickBot="1" x14ac:dyDescent="0.3">
      <c r="A14" s="1294">
        <v>200</v>
      </c>
      <c r="B14" s="1287" t="s">
        <v>1119</v>
      </c>
      <c r="C14" s="1288" t="s">
        <v>1134</v>
      </c>
      <c r="D14" s="1264"/>
      <c r="E14" s="1264">
        <f t="shared" si="0"/>
        <v>0</v>
      </c>
    </row>
    <row r="15" spans="1:5" ht="136.5" customHeight="1" thickBot="1" x14ac:dyDescent="0.3">
      <c r="A15" s="1294">
        <v>200</v>
      </c>
      <c r="B15" s="1287" t="s">
        <v>1119</v>
      </c>
      <c r="C15" s="1288" t="s">
        <v>1135</v>
      </c>
      <c r="D15" s="1264"/>
      <c r="E15" s="1264">
        <f t="shared" ref="E15" si="1">A15*D15</f>
        <v>0</v>
      </c>
    </row>
  </sheetData>
  <mergeCells count="4">
    <mergeCell ref="A1:C1"/>
    <mergeCell ref="A2:C2"/>
    <mergeCell ref="A3:C3"/>
    <mergeCell ref="A4:C4"/>
  </mergeCells>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showGridLines="0" topLeftCell="C1" workbookViewId="0">
      <selection activeCell="N10" sqref="N10"/>
    </sheetView>
  </sheetViews>
  <sheetFormatPr baseColWidth="10" defaultColWidth="11.375" defaultRowHeight="12.75" x14ac:dyDescent="0.2"/>
  <cols>
    <col min="1" max="1" width="24.75" style="652" customWidth="1"/>
    <col min="2" max="2" width="12" style="1194" customWidth="1"/>
    <col min="3" max="3" width="10.625" style="652" customWidth="1"/>
    <col min="4" max="4" width="13.25" style="652" customWidth="1"/>
    <col min="5" max="5" width="11.375" style="652" customWidth="1"/>
    <col min="6" max="6" width="11.125" style="652" customWidth="1"/>
    <col min="7" max="7" width="11" style="652" customWidth="1"/>
    <col min="8" max="8" width="12.125" style="652" customWidth="1"/>
    <col min="9" max="9" width="10.25" style="652" customWidth="1"/>
    <col min="10" max="10" width="11.25" style="652" customWidth="1"/>
    <col min="11" max="11" width="11" style="652" customWidth="1"/>
    <col min="12" max="12" width="8.125" style="652" customWidth="1"/>
    <col min="13" max="13" width="11.75" style="652" customWidth="1"/>
    <col min="14" max="14" width="14.125" style="652" customWidth="1"/>
    <col min="15" max="15" width="11.375" style="828"/>
    <col min="16" max="16" width="26.25" style="652" customWidth="1"/>
    <col min="17" max="16384" width="11.375" style="652"/>
  </cols>
  <sheetData>
    <row r="1" spans="1:15" s="1226" customFormat="1" ht="15" x14ac:dyDescent="0.25">
      <c r="A1" s="1449" t="s">
        <v>1109</v>
      </c>
      <c r="B1" s="1449"/>
      <c r="C1" s="1449"/>
      <c r="E1" s="1230"/>
    </row>
    <row r="2" spans="1:15" s="1226" customFormat="1" ht="15" x14ac:dyDescent="0.25">
      <c r="A2" s="1449" t="s">
        <v>1076</v>
      </c>
      <c r="B2" s="1449"/>
      <c r="C2" s="1449"/>
      <c r="E2" s="1230"/>
    </row>
    <row r="3" spans="1:15" s="1226" customFormat="1" ht="15" x14ac:dyDescent="0.25">
      <c r="A3" s="1449" t="s">
        <v>1122</v>
      </c>
      <c r="B3" s="1449"/>
      <c r="C3" s="1449"/>
      <c r="E3" s="1230"/>
    </row>
    <row r="4" spans="1:15" s="1226" customFormat="1" ht="15.75" thickBot="1" x14ac:dyDescent="0.3">
      <c r="A4" s="1449" t="s">
        <v>1075</v>
      </c>
      <c r="B4" s="1449"/>
      <c r="C4" s="1449"/>
      <c r="E4" s="1230"/>
    </row>
    <row r="5" spans="1:15" ht="27" thickBot="1" x14ac:dyDescent="0.45">
      <c r="F5" s="1265" t="s">
        <v>1080</v>
      </c>
      <c r="G5" s="1266"/>
      <c r="H5" s="1267"/>
      <c r="I5" s="1267"/>
      <c r="J5" s="1268"/>
      <c r="K5" s="1269"/>
    </row>
    <row r="6" spans="1:15" s="1198" customFormat="1" ht="22.5" customHeight="1" x14ac:dyDescent="0.2">
      <c r="A6" s="1488" t="s">
        <v>954</v>
      </c>
      <c r="B6" s="1490" t="s">
        <v>1048</v>
      </c>
      <c r="C6" s="1196" t="s">
        <v>1049</v>
      </c>
      <c r="D6" s="1196" t="s">
        <v>958</v>
      </c>
      <c r="E6" s="1196" t="s">
        <v>959</v>
      </c>
      <c r="F6" s="1256" t="s">
        <v>1050</v>
      </c>
      <c r="G6" s="1256" t="s">
        <v>1051</v>
      </c>
      <c r="H6" s="1487" t="s">
        <v>1052</v>
      </c>
      <c r="I6" s="1491" t="s">
        <v>1081</v>
      </c>
      <c r="J6" s="1486" t="s">
        <v>1079</v>
      </c>
      <c r="K6" s="1487" t="s">
        <v>1082</v>
      </c>
      <c r="L6" s="1485" t="s">
        <v>1053</v>
      </c>
      <c r="M6" s="1485" t="s">
        <v>189</v>
      </c>
      <c r="N6" s="1482" t="s">
        <v>1098</v>
      </c>
      <c r="O6" s="1199"/>
    </row>
    <row r="7" spans="1:15" s="856" customFormat="1" ht="25.5" x14ac:dyDescent="0.2">
      <c r="A7" s="1489"/>
      <c r="B7" s="1485"/>
      <c r="C7" s="1197" t="s">
        <v>1079</v>
      </c>
      <c r="D7" s="1228" t="s">
        <v>1079</v>
      </c>
      <c r="E7" s="1228" t="s">
        <v>1079</v>
      </c>
      <c r="F7" s="1228" t="s">
        <v>1079</v>
      </c>
      <c r="G7" s="1228" t="s">
        <v>1079</v>
      </c>
      <c r="H7" s="1487"/>
      <c r="I7" s="1492"/>
      <c r="J7" s="1490"/>
      <c r="K7" s="1486"/>
      <c r="L7" s="1486"/>
      <c r="M7" s="1486"/>
      <c r="N7" s="1483"/>
    </row>
    <row r="8" spans="1:15" s="1194" customFormat="1" ht="61.5" customHeight="1" x14ac:dyDescent="0.25">
      <c r="A8" s="654" t="s">
        <v>1110</v>
      </c>
      <c r="B8" s="1200">
        <v>2</v>
      </c>
      <c r="C8" s="1201">
        <v>3600000</v>
      </c>
      <c r="D8" s="1201">
        <v>3400000</v>
      </c>
      <c r="E8" s="1202">
        <v>3500000</v>
      </c>
      <c r="F8" s="1201">
        <v>3900000</v>
      </c>
      <c r="G8" s="1201">
        <v>3500000</v>
      </c>
      <c r="H8" s="1201">
        <f>+(C8+D8+E8+F8+G8)/5</f>
        <v>3580000</v>
      </c>
      <c r="I8" s="1203">
        <v>1</v>
      </c>
      <c r="J8" s="1201">
        <f>+H8*I8</f>
        <v>3580000</v>
      </c>
      <c r="K8" s="1201">
        <f>+J8</f>
        <v>3580000</v>
      </c>
      <c r="L8" s="852">
        <f>+'Consolidado '!B8</f>
        <v>1</v>
      </c>
      <c r="M8" s="1201">
        <f>K8</f>
        <v>3580000</v>
      </c>
      <c r="N8" s="1201"/>
    </row>
    <row r="9" spans="1:15" s="1194" customFormat="1" ht="61.5" customHeight="1" x14ac:dyDescent="0.25">
      <c r="A9" s="654" t="s">
        <v>1136</v>
      </c>
      <c r="B9" s="1200">
        <v>3</v>
      </c>
      <c r="C9" s="1201">
        <v>6000000</v>
      </c>
      <c r="D9" s="1201">
        <v>5800000</v>
      </c>
      <c r="E9" s="1202">
        <v>6500000</v>
      </c>
      <c r="F9" s="1201">
        <v>5700000</v>
      </c>
      <c r="G9" s="1201">
        <v>6500000</v>
      </c>
      <c r="H9" s="1201">
        <f>+(C9+D9+E9+F9+G9)/5</f>
        <v>6100000</v>
      </c>
      <c r="I9" s="1203">
        <v>1</v>
      </c>
      <c r="J9" s="1201">
        <f>+H9*I9</f>
        <v>6100000</v>
      </c>
      <c r="K9" s="1201">
        <f>+J9</f>
        <v>6100000</v>
      </c>
      <c r="L9" s="852">
        <f>+'Consolidado '!B9</f>
        <v>110</v>
      </c>
      <c r="M9" s="1201">
        <f>K9</f>
        <v>6100000</v>
      </c>
      <c r="N9" s="1201"/>
    </row>
    <row r="10" spans="1:15" ht="22.5" customHeight="1" x14ac:dyDescent="0.2">
      <c r="A10" s="1484" t="s">
        <v>701</v>
      </c>
      <c r="B10" s="1484"/>
      <c r="C10" s="1484"/>
      <c r="D10" s="1484"/>
      <c r="E10" s="1484"/>
      <c r="F10" s="1484"/>
      <c r="G10" s="1484"/>
      <c r="H10" s="1484"/>
      <c r="I10" s="1484"/>
      <c r="J10" s="1484"/>
      <c r="K10" s="1484"/>
      <c r="L10" s="1484"/>
      <c r="M10" s="1217">
        <f>+M8</f>
        <v>3580000</v>
      </c>
      <c r="N10" s="1217">
        <f>SUM(N8:N9)</f>
        <v>0</v>
      </c>
    </row>
    <row r="11" spans="1:15" x14ac:dyDescent="0.2">
      <c r="J11" s="1205"/>
    </row>
    <row r="12" spans="1:15" x14ac:dyDescent="0.2">
      <c r="J12" s="1205"/>
    </row>
    <row r="14" spans="1:15" hidden="1" x14ac:dyDescent="0.2">
      <c r="A14" s="1206"/>
      <c r="B14" s="1207" t="s">
        <v>1054</v>
      </c>
      <c r="C14" s="1206"/>
      <c r="D14" s="652" t="s">
        <v>1055</v>
      </c>
    </row>
    <row r="15" spans="1:15" hidden="1" x14ac:dyDescent="0.2"/>
    <row r="16" spans="1:15" hidden="1" x14ac:dyDescent="0.2"/>
    <row r="17" spans="1:6" hidden="1" x14ac:dyDescent="0.2">
      <c r="A17" s="1208" t="s">
        <v>1056</v>
      </c>
      <c r="B17" s="1208" t="s">
        <v>1057</v>
      </c>
      <c r="C17" s="1208" t="s">
        <v>1058</v>
      </c>
    </row>
    <row r="18" spans="1:6" hidden="1" x14ac:dyDescent="0.2">
      <c r="A18" s="1204" t="s">
        <v>1059</v>
      </c>
      <c r="B18" s="1209">
        <v>160000</v>
      </c>
      <c r="C18" s="1209">
        <v>220000</v>
      </c>
      <c r="D18" s="1210"/>
      <c r="E18" s="1211"/>
      <c r="F18" s="1211"/>
    </row>
    <row r="19" spans="1:6" hidden="1" x14ac:dyDescent="0.2">
      <c r="A19" s="1204" t="s">
        <v>1060</v>
      </c>
      <c r="B19" s="1209">
        <v>280000</v>
      </c>
      <c r="C19" s="1209">
        <v>380000</v>
      </c>
      <c r="D19" s="1210"/>
      <c r="E19" s="1211"/>
      <c r="F19" s="1211"/>
    </row>
    <row r="20" spans="1:6" hidden="1" x14ac:dyDescent="0.2">
      <c r="A20" s="1204" t="s">
        <v>1061</v>
      </c>
      <c r="B20" s="1209">
        <v>280000</v>
      </c>
      <c r="C20" s="1209">
        <v>380000</v>
      </c>
      <c r="D20" s="1210"/>
      <c r="E20" s="1211"/>
      <c r="F20" s="1211"/>
    </row>
    <row r="21" spans="1:6" hidden="1" x14ac:dyDescent="0.2">
      <c r="A21" s="1204" t="s">
        <v>1062</v>
      </c>
      <c r="B21" s="1209">
        <v>200000</v>
      </c>
      <c r="C21" s="1209">
        <v>300000</v>
      </c>
      <c r="D21" s="1210"/>
      <c r="E21" s="1211"/>
      <c r="F21" s="1211"/>
    </row>
    <row r="22" spans="1:6" hidden="1" x14ac:dyDescent="0.2">
      <c r="A22" s="1204" t="s">
        <v>1063</v>
      </c>
      <c r="B22" s="1209">
        <v>200000</v>
      </c>
      <c r="C22" s="1209">
        <v>300000</v>
      </c>
      <c r="D22" s="1210"/>
      <c r="E22" s="1211"/>
      <c r="F22" s="1211"/>
    </row>
    <row r="23" spans="1:6" hidden="1" x14ac:dyDescent="0.2">
      <c r="A23" s="1195" t="s">
        <v>1064</v>
      </c>
      <c r="B23" s="1209">
        <v>200000</v>
      </c>
      <c r="C23" s="1209">
        <v>300000</v>
      </c>
      <c r="D23" s="1210"/>
      <c r="E23" s="1211"/>
      <c r="F23" s="1211"/>
    </row>
    <row r="24" spans="1:6" hidden="1" x14ac:dyDescent="0.2">
      <c r="D24" s="1212"/>
    </row>
    <row r="25" spans="1:6" hidden="1" x14ac:dyDescent="0.2"/>
  </sheetData>
  <mergeCells count="14">
    <mergeCell ref="A10:L10"/>
    <mergeCell ref="L6:L7"/>
    <mergeCell ref="M6:M7"/>
    <mergeCell ref="K6:K7"/>
    <mergeCell ref="A6:A7"/>
    <mergeCell ref="B6:B7"/>
    <mergeCell ref="H6:H7"/>
    <mergeCell ref="I6:I7"/>
    <mergeCell ref="J6:J7"/>
    <mergeCell ref="N6:N7"/>
    <mergeCell ref="A1:C1"/>
    <mergeCell ref="A2:C2"/>
    <mergeCell ref="A3:C3"/>
    <mergeCell ref="A4:C4"/>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8"/>
  <sheetViews>
    <sheetView showGridLines="0" topLeftCell="A7" workbookViewId="0">
      <selection activeCell="H19" sqref="H19"/>
    </sheetView>
  </sheetViews>
  <sheetFormatPr baseColWidth="10" defaultRowHeight="15" x14ac:dyDescent="0.25"/>
  <cols>
    <col min="1" max="1" width="31.375" customWidth="1"/>
    <col min="2" max="2" width="15.75" style="1189" customWidth="1"/>
    <col min="3" max="3" width="13.125" style="1189" customWidth="1"/>
    <col min="4" max="4" width="12.375" style="1189" customWidth="1"/>
    <col min="5" max="5" width="14.375" style="1189" customWidth="1"/>
    <col min="6" max="6" width="14" customWidth="1"/>
    <col min="7" max="7" width="17.875" customWidth="1"/>
    <col min="8" max="8" width="15.75" customWidth="1"/>
  </cols>
  <sheetData>
    <row r="1" spans="1:13" s="1226" customFormat="1" x14ac:dyDescent="0.25">
      <c r="A1" s="1449" t="s">
        <v>1109</v>
      </c>
      <c r="B1" s="1449"/>
      <c r="C1" s="1449"/>
      <c r="E1" s="1230"/>
    </row>
    <row r="2" spans="1:13" s="1226" customFormat="1" x14ac:dyDescent="0.25">
      <c r="A2" s="1449" t="s">
        <v>1076</v>
      </c>
      <c r="B2" s="1449"/>
      <c r="C2" s="1449"/>
      <c r="E2" s="1230"/>
    </row>
    <row r="3" spans="1:13" s="1226" customFormat="1" x14ac:dyDescent="0.25">
      <c r="A3" s="1449" t="s">
        <v>1122</v>
      </c>
      <c r="B3" s="1449"/>
      <c r="C3" s="1449"/>
      <c r="E3" s="1230"/>
    </row>
    <row r="4" spans="1:13" s="1226" customFormat="1" x14ac:dyDescent="0.25">
      <c r="A4" s="1449" t="s">
        <v>1075</v>
      </c>
      <c r="B4" s="1449"/>
      <c r="C4" s="1449"/>
      <c r="E4" s="1230"/>
    </row>
    <row r="5" spans="1:13" x14ac:dyDescent="0.25">
      <c r="A5" s="1181"/>
      <c r="B5" s="1181"/>
      <c r="C5" s="1181"/>
      <c r="D5" s="1181"/>
      <c r="E5" s="1181"/>
      <c r="F5" s="1181"/>
      <c r="G5" s="1181"/>
    </row>
    <row r="6" spans="1:13" ht="23.25" customHeight="1" x14ac:dyDescent="0.25">
      <c r="A6" s="1496" t="s">
        <v>1083</v>
      </c>
      <c r="B6" s="1497"/>
      <c r="C6" s="1497"/>
      <c r="D6" s="1497"/>
      <c r="E6" s="1497"/>
      <c r="F6" s="1498"/>
    </row>
    <row r="7" spans="1:13" x14ac:dyDescent="0.25">
      <c r="A7" s="1190"/>
      <c r="B7" s="1190"/>
      <c r="C7" s="1190"/>
      <c r="D7" s="1190"/>
      <c r="E7" s="1190"/>
      <c r="F7" s="1190"/>
    </row>
    <row r="8" spans="1:13" s="1183" customFormat="1" ht="38.25" customHeight="1" x14ac:dyDescent="0.25">
      <c r="A8" s="1108" t="s">
        <v>954</v>
      </c>
      <c r="B8" s="1106" t="s">
        <v>1044</v>
      </c>
      <c r="C8" s="1106" t="s">
        <v>1084</v>
      </c>
      <c r="D8" s="1106" t="s">
        <v>1085</v>
      </c>
      <c r="E8" s="1106" t="s">
        <v>209</v>
      </c>
      <c r="F8" s="1106" t="s">
        <v>262</v>
      </c>
      <c r="G8" s="1262" t="s">
        <v>1103</v>
      </c>
      <c r="H8" s="1262" t="s">
        <v>262</v>
      </c>
    </row>
    <row r="9" spans="1:13" s="551" customFormat="1" ht="24.95" customHeight="1" x14ac:dyDescent="0.25">
      <c r="A9" s="1184" t="s">
        <v>1045</v>
      </c>
      <c r="B9" s="1185">
        <v>100</v>
      </c>
      <c r="C9" s="1186">
        <f>52000*1.19</f>
        <v>61880</v>
      </c>
      <c r="D9" s="1186">
        <v>70000</v>
      </c>
      <c r="E9" s="1221">
        <f>+AVERAGE(C9:D9)</f>
        <v>65940</v>
      </c>
      <c r="F9" s="1187">
        <f t="shared" ref="F9:F17" si="0">+B9*E9</f>
        <v>6594000</v>
      </c>
      <c r="G9" s="1187"/>
      <c r="H9" s="1187">
        <f>B9*G9</f>
        <v>0</v>
      </c>
      <c r="I9" s="1183"/>
      <c r="J9" s="1183"/>
      <c r="K9" s="1183"/>
      <c r="L9" s="1183"/>
      <c r="M9" s="1183"/>
    </row>
    <row r="10" spans="1:13" s="551" customFormat="1" ht="24.95" customHeight="1" x14ac:dyDescent="0.25">
      <c r="A10" s="1184" t="s">
        <v>1046</v>
      </c>
      <c r="B10" s="1185">
        <v>100</v>
      </c>
      <c r="C10" s="1186">
        <f>10000*1.19</f>
        <v>11900</v>
      </c>
      <c r="D10" s="1186">
        <v>10000</v>
      </c>
      <c r="E10" s="1186">
        <f>+C10</f>
        <v>11900</v>
      </c>
      <c r="F10" s="1187">
        <f t="shared" si="0"/>
        <v>1190000</v>
      </c>
      <c r="G10" s="1187"/>
      <c r="H10" s="1187">
        <f t="shared" ref="H10:H11" si="1">B10*G10</f>
        <v>0</v>
      </c>
      <c r="I10" s="1183"/>
      <c r="J10" s="1183"/>
      <c r="K10" s="1183"/>
    </row>
    <row r="11" spans="1:13" s="1226" customFormat="1" ht="24.95" customHeight="1" x14ac:dyDescent="0.25">
      <c r="A11" s="1184" t="s">
        <v>950</v>
      </c>
      <c r="B11" s="1185">
        <v>100</v>
      </c>
      <c r="C11" s="1186">
        <f>9000*1.19</f>
        <v>10710</v>
      </c>
      <c r="D11" s="1186">
        <v>10900</v>
      </c>
      <c r="E11" s="1186">
        <f>+C11</f>
        <v>10710</v>
      </c>
      <c r="F11" s="1187">
        <f t="shared" si="0"/>
        <v>1071000</v>
      </c>
      <c r="G11" s="1187"/>
      <c r="H11" s="1187">
        <f t="shared" si="1"/>
        <v>0</v>
      </c>
      <c r="I11" s="1183"/>
      <c r="J11" s="1183"/>
      <c r="K11" s="1183"/>
    </row>
    <row r="12" spans="1:13" s="1226" customFormat="1" ht="24.95" customHeight="1" x14ac:dyDescent="0.25">
      <c r="A12" s="1184" t="s">
        <v>1124</v>
      </c>
      <c r="B12" s="1185">
        <v>500</v>
      </c>
      <c r="C12" s="1186">
        <v>5000</v>
      </c>
      <c r="D12" s="1186">
        <v>4500</v>
      </c>
      <c r="E12" s="1221">
        <f>+AVERAGE(C12:D12)</f>
        <v>4750</v>
      </c>
      <c r="F12" s="1187">
        <f t="shared" si="0"/>
        <v>2375000</v>
      </c>
      <c r="G12" s="1187"/>
      <c r="H12" s="1187">
        <f>B12*G12</f>
        <v>0</v>
      </c>
      <c r="I12" s="1183"/>
      <c r="J12" s="1183"/>
      <c r="K12" s="1183"/>
      <c r="L12" s="1183"/>
      <c r="M12" s="1183"/>
    </row>
    <row r="13" spans="1:13" s="1226" customFormat="1" ht="24.95" customHeight="1" x14ac:dyDescent="0.25">
      <c r="A13" s="1184" t="s">
        <v>1010</v>
      </c>
      <c r="B13" s="1185">
        <v>1000</v>
      </c>
      <c r="C13" s="1186">
        <v>600</v>
      </c>
      <c r="D13" s="1186">
        <v>800</v>
      </c>
      <c r="E13" s="1221">
        <f t="shared" ref="E13:E17" si="2">+AVERAGE(C13:D13)</f>
        <v>700</v>
      </c>
      <c r="F13" s="1187">
        <f t="shared" si="0"/>
        <v>700000</v>
      </c>
      <c r="G13" s="1187"/>
      <c r="H13" s="1187">
        <f t="shared" ref="H13:H15" si="3">B13*G13</f>
        <v>0</v>
      </c>
      <c r="I13" s="1183"/>
      <c r="J13" s="1183"/>
      <c r="K13" s="1183"/>
    </row>
    <row r="14" spans="1:13" s="1226" customFormat="1" ht="24.95" customHeight="1" x14ac:dyDescent="0.25">
      <c r="A14" s="1184" t="s">
        <v>1125</v>
      </c>
      <c r="B14" s="1185">
        <v>5000</v>
      </c>
      <c r="C14" s="1186">
        <v>200</v>
      </c>
      <c r="D14" s="1186">
        <v>250</v>
      </c>
      <c r="E14" s="1221">
        <f t="shared" si="2"/>
        <v>225</v>
      </c>
      <c r="F14" s="1187">
        <f t="shared" si="0"/>
        <v>1125000</v>
      </c>
      <c r="G14" s="1187"/>
      <c r="H14" s="1187">
        <f t="shared" si="3"/>
        <v>0</v>
      </c>
      <c r="I14" s="1183"/>
      <c r="J14" s="1183"/>
      <c r="K14" s="1183"/>
    </row>
    <row r="15" spans="1:13" s="1226" customFormat="1" ht="24.95" customHeight="1" x14ac:dyDescent="0.25">
      <c r="A15" s="1184" t="s">
        <v>1126</v>
      </c>
      <c r="B15" s="1185">
        <v>12</v>
      </c>
      <c r="C15" s="1186">
        <v>25000</v>
      </c>
      <c r="D15" s="1186">
        <v>24000</v>
      </c>
      <c r="E15" s="1221">
        <f t="shared" si="2"/>
        <v>24500</v>
      </c>
      <c r="F15" s="1187">
        <f t="shared" si="0"/>
        <v>294000</v>
      </c>
      <c r="G15" s="1187"/>
      <c r="H15" s="1187">
        <f t="shared" si="3"/>
        <v>0</v>
      </c>
      <c r="I15" s="1183"/>
      <c r="J15" s="1183"/>
      <c r="K15" s="1183"/>
    </row>
    <row r="16" spans="1:13" s="1226" customFormat="1" ht="24.95" customHeight="1" x14ac:dyDescent="0.25">
      <c r="A16" s="1184" t="s">
        <v>1127</v>
      </c>
      <c r="B16" s="1185">
        <v>12</v>
      </c>
      <c r="C16" s="1186">
        <v>20000</v>
      </c>
      <c r="D16" s="1186">
        <v>18000</v>
      </c>
      <c r="E16" s="1221">
        <f t="shared" si="2"/>
        <v>19000</v>
      </c>
      <c r="F16" s="1187">
        <f t="shared" si="0"/>
        <v>228000</v>
      </c>
      <c r="G16" s="1187"/>
      <c r="H16" s="1187">
        <f>B16*G16</f>
        <v>0</v>
      </c>
      <c r="I16" s="1183"/>
      <c r="J16" s="1183"/>
      <c r="K16" s="1183"/>
      <c r="L16" s="1183"/>
      <c r="M16" s="1183"/>
    </row>
    <row r="17" spans="1:11" s="1226" customFormat="1" ht="24.95" customHeight="1" x14ac:dyDescent="0.25">
      <c r="A17" s="1184" t="s">
        <v>1128</v>
      </c>
      <c r="B17" s="1185">
        <v>5</v>
      </c>
      <c r="C17" s="1186">
        <v>140000</v>
      </c>
      <c r="D17" s="1186">
        <v>130000</v>
      </c>
      <c r="E17" s="1221">
        <f t="shared" si="2"/>
        <v>135000</v>
      </c>
      <c r="F17" s="1187">
        <f t="shared" si="0"/>
        <v>675000</v>
      </c>
      <c r="G17" s="1187"/>
      <c r="H17" s="1187">
        <f t="shared" ref="H17" si="4">B17*G17</f>
        <v>0</v>
      </c>
      <c r="I17" s="1183"/>
      <c r="J17" s="1183"/>
      <c r="K17" s="1183"/>
    </row>
    <row r="18" spans="1:11" ht="24.95" customHeight="1" x14ac:dyDescent="0.25">
      <c r="A18" s="1493" t="s">
        <v>1047</v>
      </c>
      <c r="B18" s="1494"/>
      <c r="C18" s="1494"/>
      <c r="D18" s="1494"/>
      <c r="E18" s="1495"/>
      <c r="F18" s="1188">
        <f>SUM(F9:F10)</f>
        <v>7784000</v>
      </c>
      <c r="H18" s="1263">
        <f>SUM(H9:H17)</f>
        <v>0</v>
      </c>
      <c r="I18" s="1183"/>
      <c r="J18" s="1183"/>
      <c r="K18" s="1183"/>
    </row>
  </sheetData>
  <mergeCells count="6">
    <mergeCell ref="A18:E18"/>
    <mergeCell ref="A6:F6"/>
    <mergeCell ref="A1:C1"/>
    <mergeCell ref="A2:C2"/>
    <mergeCell ref="A3:C3"/>
    <mergeCell ref="A4:C4"/>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topLeftCell="A7" workbookViewId="0">
      <selection activeCell="J7" sqref="J7"/>
    </sheetView>
  </sheetViews>
  <sheetFormatPr baseColWidth="10" defaultRowHeight="15" x14ac:dyDescent="0.25"/>
  <cols>
    <col min="1" max="1" width="51.375" customWidth="1"/>
    <col min="3" max="3" width="12.875" customWidth="1"/>
    <col min="8" max="9" width="14" customWidth="1"/>
    <col min="10" max="10" width="19.125" customWidth="1"/>
  </cols>
  <sheetData>
    <row r="1" spans="1:12" s="1226" customFormat="1" x14ac:dyDescent="0.25">
      <c r="A1" s="1449" t="s">
        <v>1109</v>
      </c>
      <c r="B1" s="1449"/>
      <c r="C1" s="1449"/>
      <c r="E1" s="1230"/>
    </row>
    <row r="2" spans="1:12" s="1226" customFormat="1" x14ac:dyDescent="0.25">
      <c r="A2" s="1449" t="s">
        <v>1076</v>
      </c>
      <c r="B2" s="1449"/>
      <c r="C2" s="1449"/>
      <c r="E2" s="1230"/>
    </row>
    <row r="3" spans="1:12" s="1226" customFormat="1" x14ac:dyDescent="0.25">
      <c r="A3" s="1449" t="s">
        <v>1122</v>
      </c>
      <c r="B3" s="1449"/>
      <c r="C3" s="1449"/>
      <c r="E3" s="1230"/>
    </row>
    <row r="4" spans="1:12" s="1226" customFormat="1" x14ac:dyDescent="0.25">
      <c r="A4" s="1449" t="s">
        <v>1075</v>
      </c>
      <c r="B4" s="1449"/>
      <c r="C4" s="1449"/>
      <c r="E4" s="1230"/>
    </row>
    <row r="5" spans="1:12" ht="24.95" customHeight="1" x14ac:dyDescent="0.25">
      <c r="A5" s="1502" t="s">
        <v>1117</v>
      </c>
      <c r="B5" s="1503"/>
      <c r="C5" s="1503"/>
      <c r="D5" s="1503"/>
      <c r="E5" s="1503"/>
      <c r="F5" s="1503"/>
      <c r="G5" s="1503"/>
      <c r="H5" s="1504"/>
      <c r="I5" s="1281"/>
    </row>
    <row r="6" spans="1:12" ht="64.5" customHeight="1" x14ac:dyDescent="0.25">
      <c r="A6" s="1252" t="s">
        <v>954</v>
      </c>
      <c r="B6" s="1253" t="s">
        <v>1086</v>
      </c>
      <c r="C6" s="1253" t="s">
        <v>1087</v>
      </c>
      <c r="D6" s="1252"/>
      <c r="E6" s="1252" t="s">
        <v>616</v>
      </c>
      <c r="F6" s="1252" t="s">
        <v>133</v>
      </c>
      <c r="G6" s="1252" t="s">
        <v>955</v>
      </c>
      <c r="H6" s="1252" t="s">
        <v>956</v>
      </c>
      <c r="I6" s="1282" t="s">
        <v>1108</v>
      </c>
      <c r="J6" s="1282" t="s">
        <v>1101</v>
      </c>
    </row>
    <row r="7" spans="1:12" ht="90" customHeight="1" x14ac:dyDescent="0.25">
      <c r="A7" s="1218" t="s">
        <v>1097</v>
      </c>
      <c r="B7" s="1109">
        <v>126140</v>
      </c>
      <c r="C7" s="1109">
        <v>129900</v>
      </c>
      <c r="D7" s="1110"/>
      <c r="E7" s="1220">
        <f>+C7</f>
        <v>129900</v>
      </c>
      <c r="F7" s="1111">
        <v>1</v>
      </c>
      <c r="G7" s="1112">
        <v>1</v>
      </c>
      <c r="H7" s="1109">
        <f>+E7*G7*F7</f>
        <v>129900</v>
      </c>
      <c r="I7" s="1215"/>
      <c r="J7" s="1215">
        <f>F7*I7</f>
        <v>0</v>
      </c>
      <c r="L7" s="1180"/>
    </row>
    <row r="8" spans="1:12" ht="59.25" customHeight="1" x14ac:dyDescent="0.25">
      <c r="A8" s="1218" t="s">
        <v>1065</v>
      </c>
      <c r="B8" s="1193"/>
      <c r="C8" s="1193">
        <v>119000</v>
      </c>
      <c r="D8" s="1110"/>
      <c r="E8" s="1125">
        <f>+C8</f>
        <v>119000</v>
      </c>
      <c r="F8" s="1191">
        <v>1</v>
      </c>
      <c r="G8" s="1192">
        <f>+G7</f>
        <v>1</v>
      </c>
      <c r="H8" s="1193">
        <f>+E8*G8*F8</f>
        <v>119000</v>
      </c>
      <c r="I8" s="1215"/>
      <c r="J8" s="1215">
        <f t="shared" ref="J8:J9" si="0">F8*I8</f>
        <v>0</v>
      </c>
    </row>
    <row r="9" spans="1:12" ht="32.25" customHeight="1" x14ac:dyDescent="0.25">
      <c r="A9" s="1505" t="s">
        <v>1071</v>
      </c>
      <c r="B9" s="1215"/>
      <c r="C9" s="1106" t="s">
        <v>1078</v>
      </c>
      <c r="D9" s="1110"/>
      <c r="E9" s="1507">
        <f>+C10</f>
        <v>83300</v>
      </c>
      <c r="F9" s="1509">
        <v>1</v>
      </c>
      <c r="G9" s="1511">
        <v>1</v>
      </c>
      <c r="H9" s="1507">
        <f>+E9*G9*F9</f>
        <v>83300</v>
      </c>
      <c r="I9" s="1257"/>
      <c r="J9" s="1215">
        <f t="shared" si="0"/>
        <v>0</v>
      </c>
    </row>
    <row r="10" spans="1:12" ht="27" customHeight="1" x14ac:dyDescent="0.25">
      <c r="A10" s="1506"/>
      <c r="B10" s="1114"/>
      <c r="C10" s="1114">
        <v>83300</v>
      </c>
      <c r="D10" s="1110"/>
      <c r="E10" s="1508"/>
      <c r="F10" s="1510"/>
      <c r="G10" s="1512"/>
      <c r="H10" s="1508"/>
      <c r="I10" s="1258"/>
      <c r="J10" s="1215"/>
    </row>
    <row r="11" spans="1:12" ht="24.95" customHeight="1" x14ac:dyDescent="0.25">
      <c r="A11" s="1499" t="s">
        <v>957</v>
      </c>
      <c r="B11" s="1500"/>
      <c r="C11" s="1500"/>
      <c r="D11" s="1500"/>
      <c r="E11" s="1500"/>
      <c r="F11" s="1500"/>
      <c r="G11" s="1501"/>
      <c r="H11" s="1113">
        <f>SUM(H7:H10)</f>
        <v>332200</v>
      </c>
      <c r="I11" s="1113"/>
      <c r="J11" s="1283">
        <f>SUM(J7:J10)</f>
        <v>0</v>
      </c>
    </row>
  </sheetData>
  <mergeCells count="11">
    <mergeCell ref="A1:C1"/>
    <mergeCell ref="A2:C2"/>
    <mergeCell ref="A3:C3"/>
    <mergeCell ref="A4:C4"/>
    <mergeCell ref="A11:G11"/>
    <mergeCell ref="A5:H5"/>
    <mergeCell ref="A9:A10"/>
    <mergeCell ref="E9:E10"/>
    <mergeCell ref="F9:F10"/>
    <mergeCell ref="G9:G10"/>
    <mergeCell ref="H9:H10"/>
  </mergeCells>
  <pageMargins left="0.7" right="0.7" top="0.75" bottom="0.75" header="0.3" footer="0.3"/>
  <pageSetup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19"/>
  <sheetViews>
    <sheetView showGridLines="0" topLeftCell="A6" zoomScaleNormal="100" workbookViewId="0">
      <selection activeCell="H9" sqref="H9"/>
    </sheetView>
  </sheetViews>
  <sheetFormatPr baseColWidth="10" defaultColWidth="11.375" defaultRowHeight="12.75" x14ac:dyDescent="0.2"/>
  <cols>
    <col min="1" max="1" width="16.75" style="652" customWidth="1"/>
    <col min="2" max="2" width="36.375" style="652" customWidth="1"/>
    <col min="3" max="3" width="13.75" style="652" customWidth="1"/>
    <col min="4" max="4" width="12.375" style="652" customWidth="1"/>
    <col min="5" max="5" width="10.75" style="652" customWidth="1"/>
    <col min="6" max="6" width="12.375" style="652" customWidth="1"/>
    <col min="7" max="7" width="15.75" style="652" customWidth="1"/>
    <col min="8" max="8" width="14" style="652" customWidth="1"/>
    <col min="9" max="9" width="21.25" style="652" customWidth="1"/>
    <col min="10" max="10" width="16.375" style="652" bestFit="1" customWidth="1"/>
    <col min="11" max="11" width="16.375" style="652" customWidth="1"/>
    <col min="12" max="12" width="21.625" style="652" bestFit="1" customWidth="1"/>
    <col min="13" max="13" width="18.625" style="652" customWidth="1"/>
    <col min="14" max="16384" width="11.375" style="652"/>
  </cols>
  <sheetData>
    <row r="1" spans="1:10" x14ac:dyDescent="0.2">
      <c r="A1" s="1514" t="s">
        <v>617</v>
      </c>
      <c r="B1" s="1514"/>
      <c r="C1" s="1514"/>
      <c r="D1" s="1514"/>
      <c r="E1" s="1514"/>
      <c r="F1" s="1514"/>
      <c r="G1" s="1514"/>
    </row>
    <row r="2" spans="1:10" ht="12.75" customHeight="1" x14ac:dyDescent="0.2">
      <c r="A2" s="1515" t="s">
        <v>673</v>
      </c>
      <c r="B2" s="1515"/>
      <c r="C2" s="1515"/>
      <c r="D2" s="1515"/>
      <c r="E2" s="1515"/>
      <c r="F2" s="1515"/>
      <c r="G2" s="1515"/>
    </row>
    <row r="3" spans="1:10" ht="12.75" customHeight="1" x14ac:dyDescent="0.2">
      <c r="A3" s="1516" t="s">
        <v>658</v>
      </c>
      <c r="B3" s="1516"/>
      <c r="C3" s="1516"/>
      <c r="D3" s="1516"/>
      <c r="E3" s="1516"/>
      <c r="F3" s="1516"/>
      <c r="G3" s="1516"/>
    </row>
    <row r="4" spans="1:10" x14ac:dyDescent="0.2">
      <c r="A4" s="1517"/>
      <c r="B4" s="1517"/>
      <c r="C4" s="1517"/>
      <c r="D4" s="1517"/>
      <c r="E4" s="1517"/>
      <c r="F4" s="825"/>
    </row>
    <row r="5" spans="1:10" ht="29.25" customHeight="1" x14ac:dyDescent="0.2">
      <c r="A5" s="1518" t="s">
        <v>942</v>
      </c>
      <c r="B5" s="1519"/>
      <c r="C5" s="1519"/>
      <c r="D5" s="1519"/>
      <c r="E5" s="1519"/>
      <c r="F5" s="1519"/>
      <c r="G5" s="1520"/>
    </row>
    <row r="6" spans="1:10" ht="33" customHeight="1" x14ac:dyDescent="0.2">
      <c r="A6" s="829" t="s">
        <v>795</v>
      </c>
      <c r="B6" s="1053" t="s">
        <v>794</v>
      </c>
      <c r="C6" s="1053" t="s">
        <v>790</v>
      </c>
      <c r="D6" s="1053" t="s">
        <v>674</v>
      </c>
      <c r="E6" s="1053" t="s">
        <v>797</v>
      </c>
      <c r="F6" s="1053" t="s">
        <v>798</v>
      </c>
      <c r="G6" s="1053" t="s">
        <v>623</v>
      </c>
    </row>
    <row r="7" spans="1:10" ht="68.25" customHeight="1" x14ac:dyDescent="0.2">
      <c r="A7" s="892" t="s">
        <v>796</v>
      </c>
      <c r="B7" s="892" t="s">
        <v>793</v>
      </c>
      <c r="C7" s="891" t="s">
        <v>792</v>
      </c>
      <c r="D7" s="1072">
        <f>+H7*'Consolidado '!$B$8</f>
        <v>0</v>
      </c>
      <c r="E7" s="1073">
        <v>2470</v>
      </c>
      <c r="F7" s="802">
        <f>+E7</f>
        <v>2470</v>
      </c>
      <c r="G7" s="803">
        <f>+D7*F7</f>
        <v>0</v>
      </c>
      <c r="H7" s="1076">
        <v>0</v>
      </c>
      <c r="I7" s="1075" t="s">
        <v>2</v>
      </c>
      <c r="J7" s="1036"/>
    </row>
    <row r="8" spans="1:10" ht="69.75" customHeight="1" x14ac:dyDescent="0.2">
      <c r="A8" s="947" t="s">
        <v>894</v>
      </c>
      <c r="B8" s="892" t="s">
        <v>895</v>
      </c>
      <c r="C8" s="948" t="s">
        <v>900</v>
      </c>
      <c r="D8" s="1072">
        <f>+H8*'Consolidado '!$B$8</f>
        <v>0</v>
      </c>
      <c r="E8" s="1073">
        <v>14106</v>
      </c>
      <c r="F8" s="802">
        <f>+E8</f>
        <v>14106</v>
      </c>
      <c r="G8" s="803">
        <f>+D8*F8</f>
        <v>0</v>
      </c>
      <c r="H8" s="1076">
        <v>0</v>
      </c>
      <c r="I8" s="1039"/>
      <c r="J8" s="1036"/>
    </row>
    <row r="9" spans="1:10" ht="30" customHeight="1" x14ac:dyDescent="0.2">
      <c r="A9" s="1521" t="s">
        <v>701</v>
      </c>
      <c r="B9" s="1522"/>
      <c r="C9" s="1522"/>
      <c r="D9" s="1522"/>
      <c r="E9" s="1522"/>
      <c r="F9" s="1523"/>
      <c r="G9" s="1054">
        <f>SUM(G7:G8)</f>
        <v>0</v>
      </c>
      <c r="J9" s="881"/>
    </row>
    <row r="11" spans="1:10" ht="16.5" hidden="1" customHeight="1" x14ac:dyDescent="0.2">
      <c r="C11" s="949"/>
      <c r="D11" s="1513"/>
      <c r="E11" s="1513"/>
    </row>
    <row r="12" spans="1:10" hidden="1" x14ac:dyDescent="0.2">
      <c r="F12" s="903"/>
      <c r="H12" s="667"/>
    </row>
    <row r="13" spans="1:10" hidden="1" x14ac:dyDescent="0.2">
      <c r="D13" s="652">
        <f>+D8/5</f>
        <v>0</v>
      </c>
    </row>
    <row r="14" spans="1:10" hidden="1" x14ac:dyDescent="0.2">
      <c r="G14" s="1041"/>
    </row>
    <row r="15" spans="1:10" x14ac:dyDescent="0.2">
      <c r="D15" s="652" t="s">
        <v>2</v>
      </c>
      <c r="G15" s="1074"/>
    </row>
    <row r="16" spans="1:10" x14ac:dyDescent="0.2">
      <c r="G16" s="903"/>
      <c r="H16" s="652">
        <f>+G9*1.01</f>
        <v>0</v>
      </c>
    </row>
    <row r="17" spans="4:8" x14ac:dyDescent="0.2">
      <c r="D17" s="652">
        <f>+D8/100</f>
        <v>0</v>
      </c>
      <c r="F17" s="652">
        <f>+H8/100</f>
        <v>0</v>
      </c>
      <c r="G17" s="881"/>
      <c r="H17" s="667">
        <f>+H16-G9</f>
        <v>0</v>
      </c>
    </row>
    <row r="19" spans="4:8" x14ac:dyDescent="0.2">
      <c r="F19" s="1076">
        <f>10000*5</f>
        <v>50000</v>
      </c>
    </row>
  </sheetData>
  <mergeCells count="7">
    <mergeCell ref="D11:E11"/>
    <mergeCell ref="A1:G1"/>
    <mergeCell ref="A2:G2"/>
    <mergeCell ref="A3:G3"/>
    <mergeCell ref="A4:E4"/>
    <mergeCell ref="A5:G5"/>
    <mergeCell ref="A9:F9"/>
  </mergeCells>
  <printOptions horizontalCentered="1"/>
  <pageMargins left="0.70866141732283472" right="0.70866141732283472" top="0.74803149606299213" bottom="0.74803149606299213" header="0.31496062992125984" footer="0.31496062992125984"/>
  <pageSetup scale="92"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62"/>
  <sheetViews>
    <sheetView showGridLines="0" zoomScaleNormal="100" workbookViewId="0">
      <selection activeCell="M12" sqref="M12"/>
    </sheetView>
  </sheetViews>
  <sheetFormatPr baseColWidth="10" defaultColWidth="11.375" defaultRowHeight="12.75" x14ac:dyDescent="0.2"/>
  <cols>
    <col min="1" max="1" width="10.375" style="774" customWidth="1"/>
    <col min="2" max="2" width="10.625" style="774" customWidth="1"/>
    <col min="3" max="3" width="11.375" style="774"/>
    <col min="4" max="4" width="14.375" style="774" customWidth="1"/>
    <col min="5" max="6" width="11.625" style="774" bestFit="1" customWidth="1"/>
    <col min="7" max="8" width="11.625" style="774" customWidth="1"/>
    <col min="9" max="10" width="11.625" style="774" bestFit="1" customWidth="1"/>
    <col min="11" max="11" width="12.625" style="774" bestFit="1" customWidth="1"/>
    <col min="12" max="12" width="10.375" style="774" customWidth="1"/>
    <col min="13" max="13" width="14.125" style="774" customWidth="1"/>
    <col min="14" max="14" width="4.125" style="774" hidden="1" customWidth="1"/>
    <col min="15" max="15" width="2.875" style="774" hidden="1" customWidth="1"/>
    <col min="16" max="16" width="0" style="774" hidden="1" customWidth="1"/>
    <col min="17" max="16384" width="11.375" style="774"/>
  </cols>
  <sheetData>
    <row r="1" spans="1:16" x14ac:dyDescent="0.2">
      <c r="A1" s="1527" t="s">
        <v>617</v>
      </c>
      <c r="B1" s="1527"/>
      <c r="C1" s="1527"/>
      <c r="D1" s="1527"/>
      <c r="E1" s="1527"/>
      <c r="F1" s="1527"/>
      <c r="G1" s="1527"/>
      <c r="H1" s="1527"/>
      <c r="I1" s="1527"/>
      <c r="J1" s="1527"/>
      <c r="K1" s="1527"/>
      <c r="L1" s="1527"/>
      <c r="M1" s="1527"/>
    </row>
    <row r="2" spans="1:16" x14ac:dyDescent="0.2">
      <c r="A2" s="1527" t="s">
        <v>657</v>
      </c>
      <c r="B2" s="1527"/>
      <c r="C2" s="1527"/>
      <c r="D2" s="1527"/>
      <c r="E2" s="1527"/>
      <c r="F2" s="1527"/>
      <c r="G2" s="1527"/>
      <c r="H2" s="1527"/>
      <c r="I2" s="1527"/>
      <c r="J2" s="1527"/>
      <c r="K2" s="1527"/>
      <c r="L2" s="1527"/>
      <c r="M2" s="1527"/>
    </row>
    <row r="3" spans="1:16" x14ac:dyDescent="0.2">
      <c r="A3" s="1527" t="s">
        <v>658</v>
      </c>
      <c r="B3" s="1527"/>
      <c r="C3" s="1527"/>
      <c r="D3" s="1527"/>
      <c r="E3" s="1527"/>
      <c r="F3" s="1527"/>
      <c r="G3" s="1527"/>
      <c r="H3" s="1527"/>
      <c r="I3" s="1527"/>
      <c r="J3" s="1527"/>
      <c r="K3" s="1527"/>
      <c r="L3" s="1527"/>
      <c r="M3" s="1527"/>
    </row>
    <row r="4" spans="1:16" x14ac:dyDescent="0.2">
      <c r="A4" s="1528" t="s">
        <v>291</v>
      </c>
      <c r="B4" s="1528"/>
      <c r="C4" s="1528"/>
      <c r="D4" s="1528"/>
      <c r="E4" s="1528"/>
      <c r="F4" s="1528"/>
      <c r="G4" s="1528"/>
      <c r="H4" s="1528"/>
      <c r="I4" s="1528"/>
      <c r="J4" s="1528"/>
      <c r="K4" s="1528"/>
      <c r="L4" s="1528"/>
      <c r="M4" s="1528"/>
    </row>
    <row r="5" spans="1:16" x14ac:dyDescent="0.2">
      <c r="A5" s="775"/>
      <c r="B5" s="775"/>
      <c r="C5" s="775"/>
      <c r="D5" s="775"/>
      <c r="E5" s="775"/>
      <c r="F5" s="775"/>
      <c r="G5" s="775"/>
      <c r="H5" s="775"/>
      <c r="I5" s="775"/>
      <c r="J5" s="775"/>
      <c r="K5" s="775"/>
      <c r="L5" s="775"/>
    </row>
    <row r="6" spans="1:16" ht="18.75" customHeight="1" x14ac:dyDescent="0.2">
      <c r="A6" s="1529" t="s">
        <v>660</v>
      </c>
      <c r="B6" s="1530"/>
      <c r="C6" s="1530"/>
      <c r="D6" s="1530"/>
      <c r="E6" s="1530"/>
      <c r="F6" s="1530"/>
      <c r="G6" s="1530"/>
      <c r="H6" s="1530"/>
      <c r="I6" s="1530"/>
      <c r="J6" s="1530"/>
      <c r="K6" s="1530"/>
      <c r="L6" s="1530"/>
      <c r="M6" s="1531"/>
      <c r="N6" s="926">
        <v>4.33</v>
      </c>
      <c r="O6" s="774" t="s">
        <v>661</v>
      </c>
    </row>
    <row r="7" spans="1:16" x14ac:dyDescent="0.2">
      <c r="A7" s="777"/>
      <c r="B7" s="777"/>
      <c r="C7" s="778"/>
      <c r="D7" s="778"/>
      <c r="E7" s="778"/>
      <c r="F7" s="778"/>
      <c r="G7" s="778"/>
      <c r="H7" s="778"/>
      <c r="I7" s="778"/>
      <c r="J7" s="779"/>
      <c r="N7" s="780">
        <f>+'Consolidado '!B8</f>
        <v>1</v>
      </c>
      <c r="O7" s="774" t="s">
        <v>662</v>
      </c>
    </row>
    <row r="8" spans="1:16" ht="38.25" x14ac:dyDescent="0.2">
      <c r="A8" s="1532" t="s">
        <v>663</v>
      </c>
      <c r="B8" s="1533"/>
      <c r="C8" s="1534"/>
      <c r="D8" s="781" t="s">
        <v>664</v>
      </c>
      <c r="E8" s="782" t="s">
        <v>867</v>
      </c>
      <c r="F8" s="782" t="s">
        <v>868</v>
      </c>
      <c r="G8" s="782" t="s">
        <v>929</v>
      </c>
      <c r="H8" s="782" t="s">
        <v>869</v>
      </c>
      <c r="I8" s="782" t="s">
        <v>930</v>
      </c>
      <c r="J8" s="782" t="s">
        <v>665</v>
      </c>
      <c r="K8" s="783" t="s">
        <v>666</v>
      </c>
      <c r="L8" s="783" t="s">
        <v>688</v>
      </c>
      <c r="M8" s="782" t="s">
        <v>100</v>
      </c>
      <c r="N8" s="774">
        <v>24</v>
      </c>
      <c r="O8" s="784" t="s">
        <v>810</v>
      </c>
      <c r="P8" s="784"/>
    </row>
    <row r="9" spans="1:16" ht="63.75" x14ac:dyDescent="0.2">
      <c r="A9" s="785" t="s">
        <v>667</v>
      </c>
      <c r="B9" s="786">
        <v>2</v>
      </c>
      <c r="C9" s="785" t="s">
        <v>668</v>
      </c>
      <c r="D9" s="994" t="s">
        <v>926</v>
      </c>
      <c r="E9" s="932">
        <f>230000*1.05</f>
        <v>241500</v>
      </c>
      <c r="F9" s="932">
        <v>240000</v>
      </c>
      <c r="G9" s="932">
        <v>241500</v>
      </c>
      <c r="H9" s="932">
        <v>250000</v>
      </c>
      <c r="I9" s="932">
        <v>241500</v>
      </c>
      <c r="J9" s="932">
        <f>+AVERAGE(E9:G9)</f>
        <v>241000</v>
      </c>
      <c r="K9" s="826">
        <f>B9*J9*N6</f>
        <v>2087060</v>
      </c>
      <c r="L9" s="991">
        <f>+N7</f>
        <v>1</v>
      </c>
      <c r="M9" s="827">
        <f>+K9*L9</f>
        <v>2087060</v>
      </c>
      <c r="O9" s="784"/>
      <c r="P9" s="784"/>
    </row>
    <row r="10" spans="1:16" x14ac:dyDescent="0.2">
      <c r="A10" s="787"/>
      <c r="B10" s="788"/>
      <c r="C10" s="789"/>
      <c r="D10" s="788"/>
      <c r="E10" s="788"/>
      <c r="F10" s="788"/>
      <c r="G10" s="788"/>
      <c r="H10" s="788"/>
      <c r="I10" s="788"/>
      <c r="J10" s="788"/>
      <c r="K10" s="790"/>
      <c r="L10" s="790"/>
      <c r="M10" s="790"/>
    </row>
    <row r="11" spans="1:16" ht="17.25" customHeight="1" x14ac:dyDescent="0.2">
      <c r="A11" s="1524" t="s">
        <v>297</v>
      </c>
      <c r="B11" s="1525"/>
      <c r="C11" s="1525"/>
      <c r="D11" s="1525"/>
      <c r="E11" s="1525"/>
      <c r="F11" s="1525"/>
      <c r="G11" s="1525"/>
      <c r="H11" s="1525"/>
      <c r="I11" s="1525"/>
      <c r="J11" s="1525"/>
      <c r="K11" s="1526"/>
      <c r="L11" s="816"/>
      <c r="M11" s="791">
        <v>0</v>
      </c>
    </row>
    <row r="13" spans="1:16" x14ac:dyDescent="0.2">
      <c r="J13" s="792"/>
      <c r="K13" s="793"/>
      <c r="L13" s="793"/>
      <c r="M13" s="794"/>
    </row>
    <row r="14" spans="1:16" x14ac:dyDescent="0.2">
      <c r="D14" s="796"/>
      <c r="E14" s="796"/>
      <c r="F14" s="796"/>
      <c r="G14" s="796"/>
      <c r="H14" s="796"/>
      <c r="I14" s="796"/>
      <c r="J14" s="797"/>
      <c r="M14" s="903"/>
      <c r="P14" s="1006"/>
    </row>
    <row r="15" spans="1:16" x14ac:dyDescent="0.2">
      <c r="D15" s="795"/>
      <c r="E15" s="795"/>
      <c r="F15" s="795"/>
      <c r="G15" s="795"/>
      <c r="H15" s="795"/>
      <c r="I15" s="795"/>
      <c r="M15" s="903"/>
      <c r="P15" s="1007"/>
    </row>
    <row r="16" spans="1:16" x14ac:dyDescent="0.2">
      <c r="D16" s="795"/>
      <c r="E16" s="795"/>
      <c r="F16" s="795"/>
      <c r="G16" s="795"/>
      <c r="H16" s="795"/>
      <c r="I16" s="795"/>
      <c r="M16" s="784"/>
    </row>
    <row r="17" spans="4:9" x14ac:dyDescent="0.2">
      <c r="D17" s="795"/>
      <c r="E17" s="795"/>
      <c r="F17" s="795"/>
      <c r="G17" s="795"/>
      <c r="H17" s="795"/>
      <c r="I17" s="795"/>
    </row>
    <row r="18" spans="4:9" x14ac:dyDescent="0.2">
      <c r="D18" s="795"/>
      <c r="E18" s="795"/>
      <c r="F18" s="795"/>
      <c r="G18" s="795"/>
      <c r="H18" s="795"/>
      <c r="I18" s="795"/>
    </row>
    <row r="19" spans="4:9" x14ac:dyDescent="0.2">
      <c r="D19" s="795"/>
      <c r="E19" s="795"/>
      <c r="F19" s="795"/>
      <c r="G19" s="795"/>
      <c r="H19" s="795"/>
      <c r="I19" s="795"/>
    </row>
    <row r="20" spans="4:9" x14ac:dyDescent="0.2">
      <c r="D20" s="795"/>
      <c r="E20" s="795"/>
      <c r="F20" s="795"/>
      <c r="G20" s="795"/>
      <c r="H20" s="795"/>
      <c r="I20" s="795"/>
    </row>
    <row r="21" spans="4:9" x14ac:dyDescent="0.2">
      <c r="D21" s="795"/>
      <c r="E21" s="795"/>
      <c r="F21" s="795"/>
      <c r="G21" s="795"/>
      <c r="H21" s="795"/>
      <c r="I21" s="795"/>
    </row>
    <row r="22" spans="4:9" x14ac:dyDescent="0.2">
      <c r="D22" s="795"/>
      <c r="E22" s="795"/>
      <c r="F22" s="795"/>
      <c r="G22" s="795"/>
      <c r="H22" s="795"/>
      <c r="I22" s="795"/>
    </row>
    <row r="23" spans="4:9" x14ac:dyDescent="0.2">
      <c r="D23" s="795"/>
      <c r="E23" s="795"/>
      <c r="F23" s="795"/>
      <c r="G23" s="795"/>
      <c r="H23" s="795"/>
      <c r="I23" s="795"/>
    </row>
    <row r="24" spans="4:9" x14ac:dyDescent="0.2">
      <c r="D24" s="795"/>
      <c r="E24" s="795"/>
      <c r="F24" s="795"/>
      <c r="G24" s="795"/>
      <c r="H24" s="795"/>
      <c r="I24" s="795"/>
    </row>
    <row r="25" spans="4:9" x14ac:dyDescent="0.2">
      <c r="D25" s="795"/>
      <c r="E25" s="795"/>
      <c r="F25" s="795"/>
      <c r="G25" s="795"/>
      <c r="H25" s="795"/>
      <c r="I25" s="795"/>
    </row>
    <row r="26" spans="4:9" x14ac:dyDescent="0.2">
      <c r="D26" s="795"/>
      <c r="E26" s="795"/>
      <c r="F26" s="795"/>
      <c r="G26" s="795"/>
      <c r="H26" s="795"/>
      <c r="I26" s="795"/>
    </row>
    <row r="27" spans="4:9" x14ac:dyDescent="0.2">
      <c r="D27" s="795"/>
      <c r="E27" s="795"/>
      <c r="F27" s="795"/>
      <c r="G27" s="795"/>
      <c r="H27" s="795"/>
      <c r="I27" s="795"/>
    </row>
    <row r="28" spans="4:9" x14ac:dyDescent="0.2">
      <c r="D28" s="795"/>
      <c r="E28" s="795"/>
      <c r="F28" s="795"/>
      <c r="G28" s="795"/>
      <c r="H28" s="795"/>
      <c r="I28" s="795"/>
    </row>
    <row r="29" spans="4:9" x14ac:dyDescent="0.2">
      <c r="D29" s="795"/>
      <c r="E29" s="795"/>
      <c r="F29" s="795"/>
      <c r="G29" s="795"/>
      <c r="H29" s="795"/>
      <c r="I29" s="795"/>
    </row>
    <row r="30" spans="4:9" x14ac:dyDescent="0.2">
      <c r="D30" s="795"/>
      <c r="E30" s="795"/>
      <c r="F30" s="795"/>
      <c r="G30" s="795"/>
      <c r="H30" s="795"/>
      <c r="I30" s="795"/>
    </row>
    <row r="31" spans="4:9" x14ac:dyDescent="0.2">
      <c r="D31" s="795"/>
      <c r="E31" s="795"/>
      <c r="F31" s="795"/>
      <c r="G31" s="795"/>
      <c r="H31" s="795"/>
      <c r="I31" s="795"/>
    </row>
    <row r="32" spans="4:9" x14ac:dyDescent="0.2">
      <c r="D32" s="795"/>
      <c r="E32" s="795"/>
      <c r="F32" s="795"/>
      <c r="G32" s="795"/>
      <c r="H32" s="795"/>
      <c r="I32" s="795"/>
    </row>
    <row r="33" spans="4:9" x14ac:dyDescent="0.2">
      <c r="D33" s="795"/>
      <c r="E33" s="795"/>
      <c r="F33" s="795"/>
      <c r="G33" s="795"/>
      <c r="H33" s="795"/>
      <c r="I33" s="795"/>
    </row>
    <row r="34" spans="4:9" x14ac:dyDescent="0.2">
      <c r="D34" s="795"/>
      <c r="E34" s="795"/>
      <c r="F34" s="795"/>
      <c r="G34" s="795"/>
      <c r="H34" s="795"/>
      <c r="I34" s="795"/>
    </row>
    <row r="35" spans="4:9" x14ac:dyDescent="0.2">
      <c r="D35" s="795"/>
      <c r="E35" s="795"/>
      <c r="F35" s="795"/>
      <c r="G35" s="795"/>
      <c r="H35" s="795"/>
      <c r="I35" s="795"/>
    </row>
    <row r="36" spans="4:9" x14ac:dyDescent="0.2">
      <c r="D36" s="795"/>
      <c r="E36" s="795"/>
      <c r="F36" s="795"/>
      <c r="G36" s="795"/>
      <c r="H36" s="795"/>
      <c r="I36" s="795"/>
    </row>
    <row r="37" spans="4:9" x14ac:dyDescent="0.2">
      <c r="D37" s="795"/>
      <c r="E37" s="795"/>
      <c r="F37" s="795"/>
      <c r="G37" s="795"/>
      <c r="H37" s="795"/>
      <c r="I37" s="795"/>
    </row>
    <row r="38" spans="4:9" x14ac:dyDescent="0.2">
      <c r="D38" s="795"/>
      <c r="E38" s="795"/>
      <c r="F38" s="795"/>
      <c r="G38" s="795"/>
      <c r="H38" s="795"/>
      <c r="I38" s="795"/>
    </row>
    <row r="39" spans="4:9" x14ac:dyDescent="0.2">
      <c r="D39" s="795"/>
      <c r="E39" s="795"/>
      <c r="F39" s="795"/>
      <c r="G39" s="795"/>
      <c r="H39" s="795"/>
      <c r="I39" s="795"/>
    </row>
    <row r="40" spans="4:9" x14ac:dyDescent="0.2">
      <c r="D40" s="795"/>
      <c r="E40" s="795"/>
      <c r="F40" s="795"/>
      <c r="G40" s="795"/>
      <c r="H40" s="795"/>
      <c r="I40" s="795"/>
    </row>
    <row r="41" spans="4:9" x14ac:dyDescent="0.2">
      <c r="D41" s="795"/>
      <c r="E41" s="795"/>
      <c r="F41" s="795"/>
      <c r="G41" s="795"/>
      <c r="H41" s="795"/>
      <c r="I41" s="795"/>
    </row>
    <row r="42" spans="4:9" x14ac:dyDescent="0.2">
      <c r="D42" s="795"/>
      <c r="E42" s="795"/>
      <c r="F42" s="795"/>
      <c r="G42" s="795"/>
      <c r="H42" s="795"/>
      <c r="I42" s="795"/>
    </row>
    <row r="43" spans="4:9" x14ac:dyDescent="0.2">
      <c r="D43" s="795"/>
      <c r="E43" s="795"/>
      <c r="F43" s="795"/>
      <c r="G43" s="795"/>
      <c r="H43" s="795"/>
      <c r="I43" s="795"/>
    </row>
    <row r="44" spans="4:9" x14ac:dyDescent="0.2">
      <c r="D44" s="795"/>
      <c r="E44" s="795"/>
      <c r="F44" s="795"/>
      <c r="G44" s="795"/>
      <c r="H44" s="795"/>
      <c r="I44" s="795"/>
    </row>
    <row r="45" spans="4:9" x14ac:dyDescent="0.2">
      <c r="D45" s="795"/>
      <c r="E45" s="795"/>
      <c r="F45" s="795"/>
      <c r="G45" s="795"/>
      <c r="H45" s="795"/>
      <c r="I45" s="795"/>
    </row>
    <row r="46" spans="4:9" x14ac:dyDescent="0.2">
      <c r="D46" s="795"/>
      <c r="E46" s="795"/>
      <c r="F46" s="795"/>
      <c r="G46" s="795"/>
      <c r="H46" s="795"/>
      <c r="I46" s="795"/>
    </row>
    <row r="47" spans="4:9" x14ac:dyDescent="0.2">
      <c r="D47" s="795"/>
      <c r="E47" s="795"/>
      <c r="F47" s="795"/>
      <c r="G47" s="795"/>
      <c r="H47" s="795"/>
      <c r="I47" s="795"/>
    </row>
    <row r="48" spans="4:9" x14ac:dyDescent="0.2">
      <c r="D48" s="795"/>
      <c r="E48" s="795"/>
      <c r="F48" s="795"/>
      <c r="G48" s="795"/>
      <c r="H48" s="795"/>
      <c r="I48" s="795"/>
    </row>
    <row r="49" spans="4:9" x14ac:dyDescent="0.2">
      <c r="D49" s="795"/>
      <c r="E49" s="795"/>
      <c r="F49" s="795"/>
      <c r="G49" s="795"/>
      <c r="H49" s="795"/>
      <c r="I49" s="795"/>
    </row>
    <row r="50" spans="4:9" x14ac:dyDescent="0.2">
      <c r="D50" s="795"/>
      <c r="E50" s="795"/>
      <c r="F50" s="795"/>
      <c r="G50" s="795"/>
      <c r="H50" s="795"/>
      <c r="I50" s="795"/>
    </row>
    <row r="51" spans="4:9" x14ac:dyDescent="0.2">
      <c r="D51" s="795"/>
      <c r="E51" s="795"/>
      <c r="F51" s="795"/>
      <c r="G51" s="795"/>
      <c r="H51" s="795"/>
      <c r="I51" s="795"/>
    </row>
    <row r="52" spans="4:9" x14ac:dyDescent="0.2">
      <c r="D52" s="795"/>
      <c r="E52" s="795"/>
      <c r="F52" s="795"/>
      <c r="G52" s="795"/>
      <c r="H52" s="795"/>
      <c r="I52" s="795"/>
    </row>
    <row r="53" spans="4:9" x14ac:dyDescent="0.2">
      <c r="D53" s="795"/>
      <c r="E53" s="795"/>
      <c r="F53" s="795"/>
      <c r="G53" s="795"/>
      <c r="H53" s="795"/>
      <c r="I53" s="795"/>
    </row>
    <row r="54" spans="4:9" x14ac:dyDescent="0.2">
      <c r="D54" s="795"/>
      <c r="E54" s="795"/>
      <c r="F54" s="795"/>
      <c r="G54" s="795"/>
      <c r="H54" s="795"/>
      <c r="I54" s="795"/>
    </row>
    <row r="55" spans="4:9" x14ac:dyDescent="0.2">
      <c r="D55" s="795"/>
      <c r="E55" s="795"/>
      <c r="F55" s="795"/>
      <c r="G55" s="795"/>
      <c r="H55" s="795"/>
      <c r="I55" s="795"/>
    </row>
    <row r="56" spans="4:9" x14ac:dyDescent="0.2">
      <c r="D56" s="795"/>
      <c r="E56" s="795"/>
      <c r="F56" s="795"/>
      <c r="G56" s="795"/>
      <c r="H56" s="795"/>
      <c r="I56" s="795"/>
    </row>
    <row r="57" spans="4:9" x14ac:dyDescent="0.2">
      <c r="D57" s="795"/>
      <c r="E57" s="795"/>
      <c r="F57" s="795"/>
      <c r="G57" s="795"/>
      <c r="H57" s="795"/>
      <c r="I57" s="795"/>
    </row>
    <row r="58" spans="4:9" x14ac:dyDescent="0.2">
      <c r="D58" s="795"/>
      <c r="E58" s="795"/>
      <c r="F58" s="795"/>
      <c r="G58" s="795"/>
      <c r="H58" s="795"/>
      <c r="I58" s="795"/>
    </row>
    <row r="59" spans="4:9" x14ac:dyDescent="0.2">
      <c r="D59" s="795"/>
      <c r="E59" s="795"/>
      <c r="F59" s="795"/>
      <c r="G59" s="795"/>
      <c r="H59" s="795"/>
      <c r="I59" s="795"/>
    </row>
    <row r="60" spans="4:9" x14ac:dyDescent="0.2">
      <c r="D60" s="795"/>
      <c r="E60" s="795"/>
      <c r="F60" s="795"/>
      <c r="G60" s="795"/>
      <c r="H60" s="795"/>
      <c r="I60" s="795"/>
    </row>
    <row r="61" spans="4:9" x14ac:dyDescent="0.2">
      <c r="D61" s="795"/>
      <c r="E61" s="795"/>
      <c r="F61" s="795"/>
      <c r="G61" s="795"/>
      <c r="H61" s="795"/>
      <c r="I61" s="795"/>
    </row>
    <row r="62" spans="4:9" x14ac:dyDescent="0.2">
      <c r="D62" s="795"/>
      <c r="E62" s="795"/>
      <c r="F62" s="795"/>
      <c r="G62" s="795"/>
      <c r="H62" s="795"/>
      <c r="I62" s="795"/>
    </row>
  </sheetData>
  <mergeCells count="7">
    <mergeCell ref="A11:K11"/>
    <mergeCell ref="A1:M1"/>
    <mergeCell ref="A2:M2"/>
    <mergeCell ref="A3:M3"/>
    <mergeCell ref="A4:M4"/>
    <mergeCell ref="A6:M6"/>
    <mergeCell ref="A8:C8"/>
  </mergeCells>
  <pageMargins left="0.7" right="0.7" top="0.75" bottom="0.75" header="0.3" footer="0.3"/>
  <pageSetup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39997558519241921"/>
  </sheetPr>
  <dimension ref="A1:L53"/>
  <sheetViews>
    <sheetView showGridLines="0" topLeftCell="A5" zoomScale="80" zoomScaleNormal="80" workbookViewId="0">
      <selection activeCell="K11" sqref="K11"/>
    </sheetView>
  </sheetViews>
  <sheetFormatPr baseColWidth="10" defaultColWidth="11.375" defaultRowHeight="12.75" x14ac:dyDescent="0.2"/>
  <cols>
    <col min="1" max="1" width="22.375" style="652" customWidth="1"/>
    <col min="2" max="2" width="11.375" style="652" customWidth="1"/>
    <col min="3" max="3" width="35.375" style="652" customWidth="1"/>
    <col min="4" max="4" width="12.125" style="652" customWidth="1"/>
    <col min="5" max="5" width="12.875" style="652" customWidth="1"/>
    <col min="6" max="6" width="11.75" style="652" customWidth="1"/>
    <col min="7" max="7" width="12.375" style="652" customWidth="1"/>
    <col min="8" max="8" width="14.875" style="652" hidden="1" customWidth="1"/>
    <col min="9" max="9" width="14.125" style="652" customWidth="1"/>
    <col min="10" max="10" width="12.75" style="652" customWidth="1"/>
    <col min="11" max="11" width="16" style="652" customWidth="1"/>
    <col min="12" max="12" width="11.375" style="652" customWidth="1"/>
    <col min="13" max="13" width="11.625" style="652" bestFit="1" customWidth="1"/>
    <col min="14" max="16384" width="11.375" style="652"/>
  </cols>
  <sheetData>
    <row r="1" spans="1:12" x14ac:dyDescent="0.2">
      <c r="A1" s="1537" t="s">
        <v>617</v>
      </c>
      <c r="B1" s="1537"/>
      <c r="C1" s="1537"/>
      <c r="D1" s="1537"/>
      <c r="E1" s="1537"/>
      <c r="F1" s="1537"/>
      <c r="G1" s="1537"/>
      <c r="H1" s="1537"/>
      <c r="I1" s="1537"/>
      <c r="J1" s="1537"/>
      <c r="K1" s="1537"/>
    </row>
    <row r="2" spans="1:12" x14ac:dyDescent="0.2">
      <c r="A2" s="1537" t="s">
        <v>689</v>
      </c>
      <c r="B2" s="1537"/>
      <c r="C2" s="1537"/>
      <c r="D2" s="1537"/>
      <c r="E2" s="1537"/>
      <c r="F2" s="1537"/>
      <c r="G2" s="1537"/>
      <c r="H2" s="1537"/>
      <c r="I2" s="1537"/>
      <c r="J2" s="1537"/>
      <c r="K2" s="1537"/>
    </row>
    <row r="3" spans="1:12" x14ac:dyDescent="0.2">
      <c r="A3" s="1537" t="s">
        <v>658</v>
      </c>
      <c r="B3" s="1537"/>
      <c r="C3" s="1537"/>
      <c r="D3" s="1537"/>
      <c r="E3" s="1537"/>
      <c r="F3" s="1537"/>
      <c r="G3" s="1537"/>
      <c r="H3" s="1537"/>
      <c r="I3" s="1537"/>
      <c r="J3" s="1537"/>
      <c r="K3" s="1537"/>
    </row>
    <row r="4" spans="1:12" x14ac:dyDescent="0.2">
      <c r="A4" s="1538" t="s">
        <v>690</v>
      </c>
      <c r="B4" s="1538"/>
      <c r="C4" s="1538"/>
      <c r="D4" s="1538"/>
      <c r="E4" s="1538"/>
      <c r="F4" s="1538"/>
      <c r="G4" s="1538"/>
      <c r="H4" s="1538"/>
      <c r="I4" s="1538"/>
      <c r="J4" s="1538"/>
      <c r="K4" s="1538"/>
    </row>
    <row r="5" spans="1:12" x14ac:dyDescent="0.2">
      <c r="A5" s="1538" t="s">
        <v>291</v>
      </c>
      <c r="B5" s="1538"/>
      <c r="C5" s="1538"/>
      <c r="D5" s="1538"/>
      <c r="E5" s="1538"/>
      <c r="F5" s="1538"/>
      <c r="G5" s="1538"/>
      <c r="H5" s="1538"/>
      <c r="I5" s="1538"/>
      <c r="J5" s="1538"/>
      <c r="K5" s="1538"/>
    </row>
    <row r="6" spans="1:12" x14ac:dyDescent="0.2">
      <c r="A6" s="828"/>
      <c r="B6" s="773"/>
      <c r="C6" s="773"/>
      <c r="D6" s="773"/>
      <c r="E6" s="773"/>
    </row>
    <row r="7" spans="1:12" ht="27" customHeight="1" x14ac:dyDescent="0.2">
      <c r="A7" s="1539" t="s">
        <v>691</v>
      </c>
      <c r="B7" s="1539"/>
      <c r="C7" s="1539"/>
      <c r="D7" s="1539"/>
      <c r="E7" s="1539"/>
      <c r="F7" s="1539"/>
      <c r="G7" s="1539"/>
      <c r="H7" s="1539"/>
      <c r="I7" s="1539"/>
      <c r="J7" s="1539"/>
      <c r="K7" s="1539"/>
    </row>
    <row r="8" spans="1:12" x14ac:dyDescent="0.2">
      <c r="A8" s="1535"/>
      <c r="B8" s="1535"/>
      <c r="C8" s="664"/>
      <c r="D8" s="664"/>
      <c r="E8" s="664"/>
      <c r="J8" s="670"/>
    </row>
    <row r="9" spans="1:12" s="831" customFormat="1" ht="49.5" customHeight="1" x14ac:dyDescent="0.2">
      <c r="A9" s="653" t="s">
        <v>692</v>
      </c>
      <c r="B9" s="653" t="s">
        <v>3</v>
      </c>
      <c r="C9" s="653" t="s">
        <v>693</v>
      </c>
      <c r="D9" s="653" t="s">
        <v>688</v>
      </c>
      <c r="E9" s="653" t="s">
        <v>888</v>
      </c>
      <c r="F9" s="653" t="s">
        <v>883</v>
      </c>
      <c r="G9" s="653" t="s">
        <v>882</v>
      </c>
      <c r="H9" s="653" t="s">
        <v>694</v>
      </c>
      <c r="I9" s="815" t="s">
        <v>209</v>
      </c>
      <c r="J9" s="653" t="s">
        <v>695</v>
      </c>
      <c r="K9" s="653" t="s">
        <v>696</v>
      </c>
      <c r="L9" s="830"/>
    </row>
    <row r="10" spans="1:12" s="831" customFormat="1" ht="95.45" customHeight="1" x14ac:dyDescent="0.25">
      <c r="A10" s="832" t="s">
        <v>697</v>
      </c>
      <c r="B10" s="833">
        <v>4</v>
      </c>
      <c r="C10" s="834" t="s">
        <v>698</v>
      </c>
      <c r="D10" s="835">
        <f>+'Consolidado '!B8</f>
        <v>1</v>
      </c>
      <c r="E10" s="848">
        <v>130000</v>
      </c>
      <c r="F10" s="820">
        <v>100000</v>
      </c>
      <c r="G10" s="820">
        <v>100000</v>
      </c>
      <c r="H10" s="820"/>
      <c r="I10" s="657">
        <f>+F10</f>
        <v>100000</v>
      </c>
      <c r="J10" s="657">
        <f>+I10*B10*1.05</f>
        <v>420000</v>
      </c>
      <c r="K10" s="657">
        <f>+D10*J10</f>
        <v>420000</v>
      </c>
    </row>
    <row r="11" spans="1:12" s="831" customFormat="1" ht="48.75" customHeight="1" x14ac:dyDescent="0.25">
      <c r="A11" s="832" t="s">
        <v>864</v>
      </c>
      <c r="B11" s="833">
        <v>1</v>
      </c>
      <c r="C11" s="922" t="s">
        <v>865</v>
      </c>
      <c r="D11" s="835">
        <f>+D10</f>
        <v>1</v>
      </c>
      <c r="E11" s="848"/>
      <c r="F11" s="820">
        <v>325000</v>
      </c>
      <c r="G11" s="820">
        <v>325000</v>
      </c>
      <c r="H11" s="820"/>
      <c r="I11" s="657">
        <f>+F11</f>
        <v>325000</v>
      </c>
      <c r="J11" s="657">
        <f>+I11*B11*1.05</f>
        <v>341250</v>
      </c>
      <c r="K11" s="1032">
        <f>+D11*J11</f>
        <v>341250</v>
      </c>
    </row>
    <row r="12" spans="1:12" s="831" customFormat="1" ht="72" customHeight="1" x14ac:dyDescent="0.25">
      <c r="A12" s="834" t="s">
        <v>699</v>
      </c>
      <c r="B12" s="833">
        <v>1</v>
      </c>
      <c r="C12" s="834" t="s">
        <v>700</v>
      </c>
      <c r="D12" s="835">
        <f>+D10</f>
        <v>1</v>
      </c>
      <c r="E12" s="849">
        <v>100000</v>
      </c>
      <c r="F12" s="820">
        <v>100000</v>
      </c>
      <c r="G12" s="820">
        <v>100000</v>
      </c>
      <c r="H12" s="820">
        <v>250000</v>
      </c>
      <c r="I12" s="657">
        <f>+AVERAGE(E12:F12)</f>
        <v>100000</v>
      </c>
      <c r="J12" s="657">
        <f>+I12*B12*1.05</f>
        <v>105000</v>
      </c>
      <c r="K12" s="657">
        <f>+D12*J12</f>
        <v>105000</v>
      </c>
    </row>
    <row r="13" spans="1:12" s="831" customFormat="1" ht="39" customHeight="1" x14ac:dyDescent="0.25">
      <c r="A13" s="1536" t="s">
        <v>701</v>
      </c>
      <c r="B13" s="1536"/>
      <c r="C13" s="1536"/>
      <c r="D13" s="1536"/>
      <c r="E13" s="1536"/>
      <c r="F13" s="1536"/>
      <c r="G13" s="1536"/>
      <c r="H13" s="1536"/>
      <c r="I13" s="1536"/>
      <c r="J13" s="1536"/>
      <c r="K13" s="836">
        <f>SUM(K10:K12)</f>
        <v>866250</v>
      </c>
    </row>
    <row r="14" spans="1:12" s="831" customFormat="1" ht="29.25" customHeight="1" x14ac:dyDescent="0.25">
      <c r="A14" s="837"/>
      <c r="F14" s="838"/>
      <c r="G14" s="838"/>
      <c r="H14" s="838"/>
      <c r="I14" s="839"/>
      <c r="J14" s="840"/>
      <c r="K14" s="841"/>
    </row>
    <row r="15" spans="1:12" s="831" customFormat="1" x14ac:dyDescent="0.25"/>
    <row r="16" spans="1:12" s="831" customFormat="1" hidden="1" x14ac:dyDescent="0.25">
      <c r="B16" s="842" t="s">
        <v>702</v>
      </c>
      <c r="C16" s="843"/>
      <c r="D16" s="843"/>
      <c r="E16" s="843"/>
    </row>
    <row r="17" spans="1:5" s="831" customFormat="1" hidden="1" x14ac:dyDescent="0.25">
      <c r="A17" s="834" t="s">
        <v>703</v>
      </c>
      <c r="B17" s="844">
        <v>1</v>
      </c>
      <c r="C17" s="845"/>
      <c r="D17" s="845"/>
      <c r="E17" s="845"/>
    </row>
    <row r="18" spans="1:5" s="831" customFormat="1" ht="38.25" hidden="1" x14ac:dyDescent="0.25">
      <c r="A18" s="834" t="s">
        <v>704</v>
      </c>
      <c r="B18" s="844">
        <v>1</v>
      </c>
      <c r="C18" s="845"/>
      <c r="D18" s="845"/>
      <c r="E18" s="845"/>
    </row>
    <row r="19" spans="1:5" s="831" customFormat="1" ht="25.5" hidden="1" x14ac:dyDescent="0.25">
      <c r="A19" s="834" t="s">
        <v>705</v>
      </c>
      <c r="B19" s="844">
        <v>2</v>
      </c>
      <c r="C19" s="845"/>
      <c r="D19" s="845"/>
      <c r="E19" s="845"/>
    </row>
    <row r="20" spans="1:5" s="831" customFormat="1" ht="25.5" hidden="1" x14ac:dyDescent="0.25">
      <c r="A20" s="834" t="s">
        <v>706</v>
      </c>
      <c r="B20" s="844">
        <v>1</v>
      </c>
      <c r="C20" s="845"/>
      <c r="D20" s="845"/>
      <c r="E20" s="845"/>
    </row>
    <row r="21" spans="1:5" s="831" customFormat="1" ht="25.5" hidden="1" x14ac:dyDescent="0.25">
      <c r="A21" s="834" t="s">
        <v>707</v>
      </c>
      <c r="B21" s="844">
        <v>1</v>
      </c>
      <c r="C21" s="845"/>
      <c r="D21" s="845"/>
      <c r="E21" s="845"/>
    </row>
    <row r="22" spans="1:5" s="831" customFormat="1" hidden="1" x14ac:dyDescent="0.25">
      <c r="A22" s="834" t="s">
        <v>708</v>
      </c>
      <c r="B22" s="844">
        <v>2</v>
      </c>
      <c r="C22" s="845"/>
      <c r="D22" s="845"/>
      <c r="E22" s="845"/>
    </row>
    <row r="23" spans="1:5" s="831" customFormat="1" ht="51" hidden="1" x14ac:dyDescent="0.25">
      <c r="A23" s="834" t="s">
        <v>709</v>
      </c>
      <c r="B23" s="844">
        <v>0</v>
      </c>
      <c r="C23" s="845"/>
      <c r="D23" s="845"/>
      <c r="E23" s="845"/>
    </row>
    <row r="24" spans="1:5" s="831" customFormat="1" hidden="1" x14ac:dyDescent="0.25">
      <c r="A24" s="834" t="s">
        <v>710</v>
      </c>
      <c r="B24" s="844">
        <v>2</v>
      </c>
      <c r="C24" s="845"/>
      <c r="D24" s="845"/>
      <c r="E24" s="845"/>
    </row>
    <row r="25" spans="1:5" s="831" customFormat="1" ht="25.5" hidden="1" x14ac:dyDescent="0.25">
      <c r="A25" s="834" t="s">
        <v>711</v>
      </c>
      <c r="B25" s="844">
        <v>2</v>
      </c>
      <c r="C25" s="845"/>
      <c r="D25" s="845"/>
      <c r="E25" s="845"/>
    </row>
    <row r="26" spans="1:5" s="831" customFormat="1" hidden="1" x14ac:dyDescent="0.25">
      <c r="A26" s="834" t="s">
        <v>712</v>
      </c>
      <c r="B26" s="844">
        <v>1</v>
      </c>
      <c r="C26" s="845"/>
      <c r="D26" s="845"/>
      <c r="E26" s="845"/>
    </row>
    <row r="27" spans="1:5" s="831" customFormat="1" hidden="1" x14ac:dyDescent="0.25">
      <c r="A27" s="834" t="s">
        <v>713</v>
      </c>
      <c r="B27" s="844">
        <v>14</v>
      </c>
      <c r="C27" s="845"/>
      <c r="D27" s="845"/>
      <c r="E27" s="845"/>
    </row>
    <row r="28" spans="1:5" s="831" customFormat="1" ht="25.5" hidden="1" x14ac:dyDescent="0.25">
      <c r="A28" s="834" t="s">
        <v>714</v>
      </c>
      <c r="B28" s="844">
        <v>18</v>
      </c>
      <c r="C28" s="845"/>
      <c r="D28" s="845"/>
      <c r="E28" s="845"/>
    </row>
    <row r="29" spans="1:5" s="831" customFormat="1" ht="38.25" hidden="1" x14ac:dyDescent="0.25">
      <c r="A29" s="834" t="s">
        <v>715</v>
      </c>
      <c r="B29" s="844">
        <v>9</v>
      </c>
      <c r="C29" s="845"/>
      <c r="D29" s="845"/>
      <c r="E29" s="845"/>
    </row>
    <row r="30" spans="1:5" s="831" customFormat="1" ht="38.25" hidden="1" x14ac:dyDescent="0.25">
      <c r="A30" s="834" t="s">
        <v>716</v>
      </c>
      <c r="B30" s="844">
        <v>11</v>
      </c>
      <c r="C30" s="845"/>
      <c r="D30" s="845"/>
      <c r="E30" s="845"/>
    </row>
    <row r="31" spans="1:5" s="831" customFormat="1" hidden="1" x14ac:dyDescent="0.25">
      <c r="A31" s="834" t="s">
        <v>717</v>
      </c>
      <c r="B31" s="844">
        <v>55</v>
      </c>
      <c r="C31" s="845"/>
      <c r="D31" s="845"/>
      <c r="E31" s="845"/>
    </row>
    <row r="32" spans="1:5" s="831" customFormat="1" hidden="1" x14ac:dyDescent="0.25">
      <c r="A32" s="834" t="s">
        <v>718</v>
      </c>
      <c r="B32" s="844">
        <v>14</v>
      </c>
      <c r="C32" s="845"/>
      <c r="D32" s="845"/>
      <c r="E32" s="845"/>
    </row>
    <row r="33" spans="1:10" s="831" customFormat="1" hidden="1" x14ac:dyDescent="0.25">
      <c r="A33" s="834" t="s">
        <v>719</v>
      </c>
      <c r="B33" s="844">
        <v>1</v>
      </c>
      <c r="C33" s="845"/>
      <c r="D33" s="845"/>
      <c r="E33" s="845"/>
    </row>
    <row r="34" spans="1:10" s="831" customFormat="1" ht="25.5" hidden="1" x14ac:dyDescent="0.25">
      <c r="A34" s="834" t="s">
        <v>720</v>
      </c>
      <c r="B34" s="844">
        <v>14</v>
      </c>
      <c r="C34" s="845"/>
      <c r="D34" s="845"/>
      <c r="E34" s="845"/>
    </row>
    <row r="35" spans="1:10" s="831" customFormat="1" ht="38.25" hidden="1" x14ac:dyDescent="0.25">
      <c r="A35" s="834" t="s">
        <v>721</v>
      </c>
      <c r="B35" s="844">
        <v>1</v>
      </c>
      <c r="C35" s="845"/>
      <c r="D35" s="845"/>
      <c r="E35" s="845"/>
    </row>
    <row r="36" spans="1:10" hidden="1" x14ac:dyDescent="0.2">
      <c r="A36" s="834" t="s">
        <v>722</v>
      </c>
      <c r="B36" s="844">
        <v>0</v>
      </c>
      <c r="C36" s="845"/>
      <c r="D36" s="845"/>
      <c r="E36" s="845"/>
    </row>
    <row r="37" spans="1:10" hidden="1" x14ac:dyDescent="0.2">
      <c r="A37" s="834" t="s">
        <v>41</v>
      </c>
      <c r="B37" s="844">
        <v>0</v>
      </c>
      <c r="C37" s="845"/>
      <c r="D37" s="845"/>
      <c r="E37" s="845"/>
    </row>
    <row r="38" spans="1:10" hidden="1" x14ac:dyDescent="0.2">
      <c r="A38" s="834"/>
      <c r="B38" s="844">
        <f>SUM(B17:B37)</f>
        <v>150</v>
      </c>
      <c r="C38" s="845"/>
      <c r="D38" s="845"/>
      <c r="E38" s="845"/>
    </row>
    <row r="39" spans="1:10" x14ac:dyDescent="0.2">
      <c r="C39" s="846"/>
      <c r="D39" s="846"/>
      <c r="E39" s="846"/>
    </row>
    <row r="43" spans="1:10" x14ac:dyDescent="0.2">
      <c r="H43" s="670"/>
      <c r="J43" s="847"/>
    </row>
    <row r="44" spans="1:10" x14ac:dyDescent="0.2">
      <c r="H44" s="670"/>
      <c r="J44" s="847"/>
    </row>
    <row r="45" spans="1:10" x14ac:dyDescent="0.2">
      <c r="H45" s="670"/>
    </row>
    <row r="46" spans="1:10" x14ac:dyDescent="0.2">
      <c r="H46" s="670"/>
    </row>
    <row r="47" spans="1:10" x14ac:dyDescent="0.2">
      <c r="H47" s="670"/>
    </row>
    <row r="48" spans="1:10" x14ac:dyDescent="0.2">
      <c r="H48" s="670"/>
    </row>
    <row r="49" spans="8:8" x14ac:dyDescent="0.2">
      <c r="H49" s="670"/>
    </row>
    <row r="50" spans="8:8" x14ac:dyDescent="0.2">
      <c r="H50" s="670"/>
    </row>
    <row r="51" spans="8:8" x14ac:dyDescent="0.2">
      <c r="H51" s="670"/>
    </row>
    <row r="52" spans="8:8" x14ac:dyDescent="0.2">
      <c r="H52" s="670"/>
    </row>
    <row r="53" spans="8:8" x14ac:dyDescent="0.2">
      <c r="H53" s="670"/>
    </row>
  </sheetData>
  <mergeCells count="8">
    <mergeCell ref="A8:B8"/>
    <mergeCell ref="A13:J13"/>
    <mergeCell ref="A1:K1"/>
    <mergeCell ref="A2:K2"/>
    <mergeCell ref="A3:K3"/>
    <mergeCell ref="A4:K4"/>
    <mergeCell ref="A5:K5"/>
    <mergeCell ref="A7:K7"/>
  </mergeCells>
  <pageMargins left="0.70866141732283472" right="0.70866141732283472" top="0.74803149606299213" bottom="0.74803149606299213" header="0.31496062992125984" footer="0.31496062992125984"/>
  <pageSetup scale="76" orientation="landscape" horizontalDpi="4294967295" verticalDpi="4294967295" r:id="rId1"/>
  <rowBreaks count="1" manualBreakCount="1">
    <brk id="14" max="16383" man="1"/>
  </rowBreaks>
  <colBreaks count="1" manualBreakCount="1">
    <brk id="11" max="1048575" man="1"/>
  </colBreaks>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L20"/>
  <sheetViews>
    <sheetView showGridLines="0" zoomScaleNormal="100" workbookViewId="0">
      <selection activeCell="H8" sqref="H8"/>
    </sheetView>
  </sheetViews>
  <sheetFormatPr baseColWidth="10" defaultColWidth="11.375" defaultRowHeight="12.75" x14ac:dyDescent="0.2"/>
  <cols>
    <col min="1" max="1" width="27.75" style="652" customWidth="1"/>
    <col min="2" max="2" width="10.125" style="652" customWidth="1"/>
    <col min="3" max="3" width="9.75" style="652" customWidth="1"/>
    <col min="4" max="4" width="9.125" style="652" customWidth="1"/>
    <col min="5" max="5" width="9.625" style="652" customWidth="1"/>
    <col min="6" max="6" width="12.125" style="652" customWidth="1"/>
    <col min="7" max="7" width="10.625" style="652" customWidth="1"/>
    <col min="8" max="8" width="14.25" style="652" customWidth="1"/>
    <col min="9" max="9" width="7.75" style="652" customWidth="1"/>
    <col min="10" max="16384" width="11.375" style="652"/>
  </cols>
  <sheetData>
    <row r="1" spans="1:12" x14ac:dyDescent="0.2">
      <c r="A1" s="1543" t="s">
        <v>298</v>
      </c>
      <c r="B1" s="1543"/>
      <c r="C1" s="1543"/>
      <c r="D1" s="1543"/>
      <c r="E1" s="1543"/>
      <c r="F1" s="1543"/>
      <c r="G1" s="1543"/>
      <c r="H1" s="1543"/>
    </row>
    <row r="2" spans="1:12" x14ac:dyDescent="0.2">
      <c r="A2" s="1543" t="s">
        <v>671</v>
      </c>
      <c r="B2" s="1543"/>
      <c r="C2" s="1543"/>
      <c r="D2" s="1543"/>
      <c r="E2" s="1543"/>
      <c r="F2" s="1543"/>
      <c r="G2" s="1543"/>
      <c r="H2" s="1543"/>
    </row>
    <row r="3" spans="1:12" x14ac:dyDescent="0.2">
      <c r="A3" s="1544" t="s">
        <v>670</v>
      </c>
      <c r="B3" s="1544"/>
      <c r="C3" s="1544"/>
      <c r="D3" s="1544"/>
      <c r="E3" s="1544"/>
      <c r="F3" s="1544"/>
      <c r="G3" s="1544"/>
      <c r="H3" s="1544"/>
    </row>
    <row r="4" spans="1:12" x14ac:dyDescent="0.2">
      <c r="A4" s="1544" t="s">
        <v>291</v>
      </c>
      <c r="B4" s="1544"/>
      <c r="C4" s="1544"/>
      <c r="D4" s="1544"/>
      <c r="E4" s="1544"/>
      <c r="F4" s="1544"/>
      <c r="G4" s="1544"/>
      <c r="H4" s="1544"/>
    </row>
    <row r="5" spans="1:12" x14ac:dyDescent="0.2">
      <c r="A5" s="669"/>
      <c r="B5" s="669"/>
      <c r="C5" s="669"/>
      <c r="D5" s="669"/>
      <c r="E5" s="669"/>
      <c r="F5" s="669"/>
    </row>
    <row r="6" spans="1:12" ht="24" customHeight="1" x14ac:dyDescent="0.2">
      <c r="A6" s="1545" t="s">
        <v>724</v>
      </c>
      <c r="B6" s="1545"/>
      <c r="C6" s="1545"/>
      <c r="D6" s="1545"/>
      <c r="E6" s="1545"/>
      <c r="F6" s="1545"/>
      <c r="G6" s="1545"/>
      <c r="H6" s="1545"/>
    </row>
    <row r="7" spans="1:12" x14ac:dyDescent="0.2">
      <c r="A7" s="655"/>
      <c r="B7" s="655"/>
    </row>
    <row r="8" spans="1:12" ht="33.75" customHeight="1" x14ac:dyDescent="0.2">
      <c r="A8" s="668" t="s">
        <v>278</v>
      </c>
      <c r="B8" s="668" t="s">
        <v>4</v>
      </c>
      <c r="C8" s="668" t="s">
        <v>133</v>
      </c>
      <c r="D8" s="656" t="s">
        <v>101</v>
      </c>
      <c r="E8" s="656" t="s">
        <v>820</v>
      </c>
      <c r="F8" s="656" t="s">
        <v>824</v>
      </c>
      <c r="G8" s="656" t="s">
        <v>607</v>
      </c>
      <c r="H8" s="656" t="s">
        <v>279</v>
      </c>
    </row>
    <row r="9" spans="1:12" ht="24.95" customHeight="1" x14ac:dyDescent="0.2">
      <c r="A9" s="851" t="s">
        <v>823</v>
      </c>
      <c r="B9" s="851" t="s">
        <v>4</v>
      </c>
      <c r="C9" s="852">
        <v>1</v>
      </c>
      <c r="D9" s="657">
        <v>3253</v>
      </c>
      <c r="E9" s="657">
        <v>1870</v>
      </c>
      <c r="F9" s="657"/>
      <c r="G9" s="657">
        <f>+E9*1.0251</f>
        <v>1916.9369999999999</v>
      </c>
      <c r="H9" s="657">
        <f>+C9*G9</f>
        <v>1916.9369999999999</v>
      </c>
      <c r="I9" s="670"/>
    </row>
    <row r="10" spans="1:12" ht="24.95" customHeight="1" x14ac:dyDescent="0.2">
      <c r="A10" s="851" t="s">
        <v>821</v>
      </c>
      <c r="B10" s="851" t="s">
        <v>4</v>
      </c>
      <c r="C10" s="852">
        <v>1</v>
      </c>
      <c r="D10" s="657">
        <v>2979</v>
      </c>
      <c r="E10" s="657">
        <v>2800</v>
      </c>
      <c r="F10" s="657">
        <v>2990</v>
      </c>
      <c r="G10" s="657">
        <f>+E10*1.0251</f>
        <v>2870.2799999999997</v>
      </c>
      <c r="H10" s="657">
        <f>+C10*G10</f>
        <v>2870.2799999999997</v>
      </c>
      <c r="I10" s="670"/>
    </row>
    <row r="11" spans="1:12" ht="24.95" customHeight="1" x14ac:dyDescent="0.2">
      <c r="A11" s="851" t="s">
        <v>822</v>
      </c>
      <c r="B11" s="851" t="s">
        <v>4</v>
      </c>
      <c r="C11" s="852">
        <v>1</v>
      </c>
      <c r="D11" s="657">
        <v>1845</v>
      </c>
      <c r="E11" s="657">
        <v>2200</v>
      </c>
      <c r="F11" s="657">
        <v>1953.3333333333333</v>
      </c>
      <c r="G11" s="657">
        <f>+AVERAGE(D11,F11)*1.0251</f>
        <v>1946.8357499999997</v>
      </c>
      <c r="H11" s="657">
        <f>+C11*G11</f>
        <v>1946.8357499999997</v>
      </c>
      <c r="I11" s="670"/>
    </row>
    <row r="12" spans="1:12" ht="24.95" customHeight="1" x14ac:dyDescent="0.2">
      <c r="A12" s="851" t="s">
        <v>733</v>
      </c>
      <c r="B12" s="851" t="s">
        <v>4</v>
      </c>
      <c r="C12" s="852">
        <v>1</v>
      </c>
      <c r="D12" s="657"/>
      <c r="E12" s="657"/>
      <c r="F12" s="657"/>
      <c r="G12" s="657">
        <f>200*1.0251</f>
        <v>205.01999999999998</v>
      </c>
      <c r="H12" s="657">
        <v>200</v>
      </c>
      <c r="I12" s="670"/>
    </row>
    <row r="13" spans="1:12" ht="21" customHeight="1" x14ac:dyDescent="0.2">
      <c r="A13" s="1546" t="s">
        <v>189</v>
      </c>
      <c r="B13" s="1547"/>
      <c r="C13" s="1547"/>
      <c r="D13" s="1541"/>
      <c r="E13" s="1541"/>
      <c r="F13" s="1541"/>
      <c r="G13" s="1542"/>
      <c r="H13" s="658">
        <f>SUM(H9:H12)</f>
        <v>6934.0527499999989</v>
      </c>
      <c r="I13" s="670"/>
      <c r="L13" s="667"/>
    </row>
    <row r="15" spans="1:12" x14ac:dyDescent="0.2">
      <c r="A15" s="1540" t="s">
        <v>725</v>
      </c>
      <c r="B15" s="1541"/>
      <c r="C15" s="1541"/>
      <c r="D15" s="1541"/>
      <c r="E15" s="1541"/>
      <c r="F15" s="1541"/>
      <c r="G15" s="1542"/>
      <c r="H15" s="850">
        <v>20000</v>
      </c>
    </row>
    <row r="17" spans="1:8" x14ac:dyDescent="0.2">
      <c r="A17" s="1540" t="s">
        <v>189</v>
      </c>
      <c r="B17" s="1541"/>
      <c r="C17" s="1541"/>
      <c r="D17" s="1541"/>
      <c r="E17" s="1541"/>
      <c r="F17" s="1541"/>
      <c r="G17" s="1542"/>
      <c r="H17" s="658">
        <f>+H13*H15</f>
        <v>138681054.99999997</v>
      </c>
    </row>
    <row r="19" spans="1:8" ht="15.75" customHeight="1" thickBot="1" x14ac:dyDescent="0.25">
      <c r="A19" s="659" t="s">
        <v>296</v>
      </c>
      <c r="B19" s="659"/>
      <c r="C19" s="671"/>
    </row>
    <row r="20" spans="1:8" ht="13.5" thickTop="1" x14ac:dyDescent="0.2">
      <c r="H20" s="667"/>
    </row>
  </sheetData>
  <mergeCells count="8">
    <mergeCell ref="A15:G15"/>
    <mergeCell ref="A17:G17"/>
    <mergeCell ref="A1:H1"/>
    <mergeCell ref="A2:H2"/>
    <mergeCell ref="A3:H3"/>
    <mergeCell ref="A4:H4"/>
    <mergeCell ref="A6:H6"/>
    <mergeCell ref="A13:G13"/>
  </mergeCells>
  <pageMargins left="0.7" right="0.7" top="0.75" bottom="0.75" header="0.3" footer="0.3"/>
  <pageSetup scale="74" orientation="portrait" horizontalDpi="4294967295" verticalDpi="4294967295"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M24"/>
  <sheetViews>
    <sheetView showGridLines="0" topLeftCell="B7" zoomScaleNormal="100" workbookViewId="0">
      <selection activeCell="I9" sqref="I9"/>
    </sheetView>
  </sheetViews>
  <sheetFormatPr baseColWidth="10" defaultColWidth="11.375" defaultRowHeight="12.75" x14ac:dyDescent="0.2"/>
  <cols>
    <col min="1" max="1" width="27.75" style="652" customWidth="1"/>
    <col min="2" max="2" width="10.125" style="652" customWidth="1"/>
    <col min="3" max="3" width="9.75" style="652" customWidth="1"/>
    <col min="4" max="4" width="9.125" style="652" customWidth="1"/>
    <col min="5" max="5" width="9.625" style="652" customWidth="1"/>
    <col min="6" max="6" width="12.125" style="652" customWidth="1"/>
    <col min="7" max="7" width="10" style="652" customWidth="1"/>
    <col min="8" max="8" width="10.625" style="652" customWidth="1"/>
    <col min="9" max="9" width="14.25" style="652" customWidth="1"/>
    <col min="10" max="10" width="7.75" style="652" customWidth="1"/>
    <col min="11" max="16384" width="11.375" style="652"/>
  </cols>
  <sheetData>
    <row r="1" spans="1:10" x14ac:dyDescent="0.2">
      <c r="A1" s="1543" t="s">
        <v>298</v>
      </c>
      <c r="B1" s="1543"/>
      <c r="C1" s="1543"/>
      <c r="D1" s="1543"/>
      <c r="E1" s="1543"/>
      <c r="F1" s="1543"/>
      <c r="G1" s="1543"/>
      <c r="H1" s="1543"/>
      <c r="I1" s="1543"/>
    </row>
    <row r="2" spans="1:10" x14ac:dyDescent="0.2">
      <c r="A2" s="1543" t="s">
        <v>671</v>
      </c>
      <c r="B2" s="1543"/>
      <c r="C2" s="1543"/>
      <c r="D2" s="1543"/>
      <c r="E2" s="1543"/>
      <c r="F2" s="1543"/>
      <c r="G2" s="1543"/>
      <c r="H2" s="1543"/>
      <c r="I2" s="1543"/>
    </row>
    <row r="3" spans="1:10" x14ac:dyDescent="0.2">
      <c r="A3" s="1544" t="s">
        <v>670</v>
      </c>
      <c r="B3" s="1544"/>
      <c r="C3" s="1544"/>
      <c r="D3" s="1544"/>
      <c r="E3" s="1544"/>
      <c r="F3" s="1544"/>
      <c r="G3" s="1544"/>
      <c r="H3" s="1544"/>
      <c r="I3" s="1544"/>
    </row>
    <row r="4" spans="1:10" x14ac:dyDescent="0.2">
      <c r="A4" s="1544" t="s">
        <v>291</v>
      </c>
      <c r="B4" s="1544"/>
      <c r="C4" s="1544"/>
      <c r="D4" s="1544"/>
      <c r="E4" s="1544"/>
      <c r="F4" s="1544"/>
      <c r="G4" s="1544"/>
      <c r="H4" s="1544"/>
      <c r="I4" s="1544"/>
    </row>
    <row r="5" spans="1:10" x14ac:dyDescent="0.2">
      <c r="A5" s="669"/>
      <c r="B5" s="669"/>
      <c r="C5" s="669"/>
      <c r="D5" s="669"/>
      <c r="E5" s="669"/>
      <c r="F5" s="669"/>
    </row>
    <row r="6" spans="1:10" ht="24" customHeight="1" x14ac:dyDescent="0.2">
      <c r="A6" s="1545" t="s">
        <v>724</v>
      </c>
      <c r="B6" s="1545"/>
      <c r="C6" s="1545"/>
      <c r="D6" s="1545"/>
      <c r="E6" s="1545"/>
      <c r="F6" s="1545"/>
      <c r="G6" s="1545"/>
      <c r="H6" s="1545"/>
      <c r="I6" s="1545"/>
    </row>
    <row r="7" spans="1:10" x14ac:dyDescent="0.2">
      <c r="A7" s="655"/>
      <c r="B7" s="655"/>
    </row>
    <row r="8" spans="1:10" ht="33.75" customHeight="1" x14ac:dyDescent="0.2">
      <c r="A8" s="668" t="s">
        <v>278</v>
      </c>
      <c r="B8" s="668" t="s">
        <v>4</v>
      </c>
      <c r="C8" s="668" t="s">
        <v>133</v>
      </c>
      <c r="D8" s="656" t="s">
        <v>735</v>
      </c>
      <c r="E8" s="656" t="s">
        <v>736</v>
      </c>
      <c r="F8" s="656" t="s">
        <v>735</v>
      </c>
      <c r="G8" s="656" t="s">
        <v>737</v>
      </c>
      <c r="H8" s="656" t="s">
        <v>607</v>
      </c>
      <c r="I8" s="656" t="s">
        <v>279</v>
      </c>
    </row>
    <row r="9" spans="1:10" ht="24.95" customHeight="1" x14ac:dyDescent="0.2">
      <c r="A9" s="851" t="s">
        <v>726</v>
      </c>
      <c r="B9" s="851" t="s">
        <v>734</v>
      </c>
      <c r="C9" s="852">
        <v>2</v>
      </c>
      <c r="D9" s="657"/>
      <c r="E9" s="657">
        <v>650</v>
      </c>
      <c r="F9" s="657">
        <v>650</v>
      </c>
      <c r="G9" s="657">
        <v>675</v>
      </c>
      <c r="H9" s="657">
        <f>+E9*1.0251</f>
        <v>666.31499999999994</v>
      </c>
      <c r="I9" s="657">
        <f>+C9*H9</f>
        <v>1332.6299999999999</v>
      </c>
      <c r="J9" s="670"/>
    </row>
    <row r="10" spans="1:10" ht="24.95" customHeight="1" x14ac:dyDescent="0.2">
      <c r="A10" s="851" t="s">
        <v>727</v>
      </c>
      <c r="B10" s="851" t="s">
        <v>734</v>
      </c>
      <c r="C10" s="852">
        <v>2</v>
      </c>
      <c r="D10" s="657"/>
      <c r="E10" s="657">
        <v>650</v>
      </c>
      <c r="F10" s="657">
        <v>650</v>
      </c>
      <c r="G10" s="657">
        <v>675</v>
      </c>
      <c r="H10" s="657">
        <f>+AVERAGE(D10:F10)*1.0251</f>
        <v>666.31499999999994</v>
      </c>
      <c r="I10" s="657">
        <f t="shared" ref="I10:I15" si="0">+C10*H10</f>
        <v>1332.6299999999999</v>
      </c>
      <c r="J10" s="670"/>
    </row>
    <row r="11" spans="1:10" ht="24.95" customHeight="1" x14ac:dyDescent="0.2">
      <c r="A11" s="851" t="s">
        <v>728</v>
      </c>
      <c r="B11" s="851" t="s">
        <v>4</v>
      </c>
      <c r="C11" s="852">
        <v>2</v>
      </c>
      <c r="D11" s="657"/>
      <c r="E11" s="657">
        <v>475</v>
      </c>
      <c r="F11" s="657">
        <v>472.72727272727275</v>
      </c>
      <c r="G11" s="657">
        <v>483.33333333333331</v>
      </c>
      <c r="H11" s="657">
        <f>+AVERAGE(D11:F11)*1.0251</f>
        <v>485.7576136363636</v>
      </c>
      <c r="I11" s="657">
        <f t="shared" si="0"/>
        <v>971.5152272727272</v>
      </c>
      <c r="J11" s="670"/>
    </row>
    <row r="12" spans="1:10" ht="24.95" customHeight="1" x14ac:dyDescent="0.2">
      <c r="A12" s="851" t="s">
        <v>729</v>
      </c>
      <c r="B12" s="851" t="s">
        <v>4</v>
      </c>
      <c r="C12" s="852">
        <v>2</v>
      </c>
      <c r="D12" s="657"/>
      <c r="E12" s="657">
        <v>283</v>
      </c>
      <c r="F12" s="657">
        <v>275</v>
      </c>
      <c r="G12" s="657">
        <v>275</v>
      </c>
      <c r="H12" s="657">
        <f>+G12*1.0251</f>
        <v>281.90249999999997</v>
      </c>
      <c r="I12" s="657">
        <f t="shared" si="0"/>
        <v>563.80499999999995</v>
      </c>
      <c r="J12" s="670"/>
    </row>
    <row r="13" spans="1:10" ht="24.95" customHeight="1" x14ac:dyDescent="0.2">
      <c r="A13" s="851" t="s">
        <v>730</v>
      </c>
      <c r="B13" s="851" t="s">
        <v>4</v>
      </c>
      <c r="C13" s="852">
        <v>2</v>
      </c>
      <c r="D13" s="657"/>
      <c r="E13" s="657">
        <v>275</v>
      </c>
      <c r="F13" s="657">
        <v>267.5</v>
      </c>
      <c r="G13" s="657">
        <v>550</v>
      </c>
      <c r="H13" s="657">
        <f>+F13*1.0251</f>
        <v>274.21424999999999</v>
      </c>
      <c r="I13" s="657">
        <f t="shared" si="0"/>
        <v>548.42849999999999</v>
      </c>
      <c r="J13" s="670"/>
    </row>
    <row r="14" spans="1:10" ht="24.95" customHeight="1" x14ac:dyDescent="0.2">
      <c r="A14" s="851" t="s">
        <v>731</v>
      </c>
      <c r="B14" s="851" t="s">
        <v>4</v>
      </c>
      <c r="C14" s="852">
        <v>1</v>
      </c>
      <c r="D14" s="657"/>
      <c r="E14" s="657">
        <v>250</v>
      </c>
      <c r="F14" s="657">
        <v>350</v>
      </c>
      <c r="G14" s="657"/>
      <c r="H14" s="657">
        <f>+E14*1.0251</f>
        <v>256.27499999999998</v>
      </c>
      <c r="I14" s="657">
        <f t="shared" si="0"/>
        <v>256.27499999999998</v>
      </c>
      <c r="J14" s="670"/>
    </row>
    <row r="15" spans="1:10" ht="24.95" customHeight="1" x14ac:dyDescent="0.2">
      <c r="A15" s="851" t="s">
        <v>732</v>
      </c>
      <c r="B15" s="851" t="s">
        <v>4</v>
      </c>
      <c r="C15" s="852">
        <v>1</v>
      </c>
      <c r="D15" s="657"/>
      <c r="E15" s="657">
        <v>900</v>
      </c>
      <c r="F15" s="657">
        <v>750</v>
      </c>
      <c r="G15" s="657">
        <v>1000</v>
      </c>
      <c r="H15" s="657">
        <f>+F15*1.0251</f>
        <v>768.82499999999993</v>
      </c>
      <c r="I15" s="657">
        <f t="shared" si="0"/>
        <v>768.82499999999993</v>
      </c>
      <c r="J15" s="670"/>
    </row>
    <row r="16" spans="1:10" ht="24.95" customHeight="1" x14ac:dyDescent="0.2">
      <c r="A16" s="851" t="s">
        <v>733</v>
      </c>
      <c r="B16" s="851" t="s">
        <v>4</v>
      </c>
      <c r="C16" s="852">
        <v>1</v>
      </c>
      <c r="D16" s="657"/>
      <c r="E16" s="657"/>
      <c r="F16" s="657"/>
      <c r="G16" s="657"/>
      <c r="H16" s="657">
        <f>200*1.0251</f>
        <v>205.01999999999998</v>
      </c>
      <c r="I16" s="657">
        <v>200</v>
      </c>
      <c r="J16" s="670"/>
    </row>
    <row r="17" spans="1:13" ht="21" customHeight="1" x14ac:dyDescent="0.2">
      <c r="A17" s="1546" t="s">
        <v>189</v>
      </c>
      <c r="B17" s="1547"/>
      <c r="C17" s="1547"/>
      <c r="D17" s="1541"/>
      <c r="E17" s="1541"/>
      <c r="F17" s="1541"/>
      <c r="G17" s="1541"/>
      <c r="H17" s="1542"/>
      <c r="I17" s="658">
        <f>SUM(I9:I16)</f>
        <v>5974.1087272727264</v>
      </c>
      <c r="J17" s="670"/>
      <c r="M17" s="667"/>
    </row>
    <row r="19" spans="1:13" x14ac:dyDescent="0.2">
      <c r="A19" s="1540" t="s">
        <v>725</v>
      </c>
      <c r="B19" s="1541"/>
      <c r="C19" s="1541"/>
      <c r="D19" s="1541"/>
      <c r="E19" s="1541"/>
      <c r="F19" s="1541"/>
      <c r="G19" s="1541"/>
      <c r="H19" s="1542"/>
      <c r="I19" s="850">
        <v>20000</v>
      </c>
    </row>
    <row r="21" spans="1:13" x14ac:dyDescent="0.2">
      <c r="A21" s="1540" t="s">
        <v>189</v>
      </c>
      <c r="B21" s="1541"/>
      <c r="C21" s="1541"/>
      <c r="D21" s="1541"/>
      <c r="E21" s="1541"/>
      <c r="F21" s="1541"/>
      <c r="G21" s="1541"/>
      <c r="H21" s="1542"/>
      <c r="I21" s="658">
        <f>+I17*I19</f>
        <v>119482174.54545453</v>
      </c>
    </row>
    <row r="23" spans="1:13" ht="15.75" customHeight="1" thickBot="1" x14ac:dyDescent="0.25">
      <c r="A23" s="659" t="s">
        <v>296</v>
      </c>
      <c r="B23" s="659"/>
      <c r="C23" s="671"/>
    </row>
    <row r="24" spans="1:13" ht="13.5" thickTop="1" x14ac:dyDescent="0.2">
      <c r="I24" s="667"/>
    </row>
  </sheetData>
  <mergeCells count="8">
    <mergeCell ref="A19:H19"/>
    <mergeCell ref="A21:H21"/>
    <mergeCell ref="A1:I1"/>
    <mergeCell ref="A2:I2"/>
    <mergeCell ref="A3:I3"/>
    <mergeCell ref="A4:I4"/>
    <mergeCell ref="A6:I6"/>
    <mergeCell ref="A17:H17"/>
  </mergeCells>
  <pageMargins left="0.7" right="0.7" top="0.75" bottom="0.75" header="0.3" footer="0.3"/>
  <pageSetup scale="74" orientation="portrait" horizontalDpi="4294967295" verticalDpi="4294967295"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G10"/>
  <sheetViews>
    <sheetView showGridLines="0" zoomScaleNormal="100" workbookViewId="0">
      <selection activeCell="A7" sqref="A7"/>
    </sheetView>
  </sheetViews>
  <sheetFormatPr baseColWidth="10" defaultColWidth="11.375" defaultRowHeight="12.75" x14ac:dyDescent="0.2"/>
  <cols>
    <col min="1" max="1" width="22.625" style="652" customWidth="1"/>
    <col min="2" max="3" width="10.75" style="652" customWidth="1"/>
    <col min="4" max="4" width="12.375" style="652" customWidth="1"/>
    <col min="5" max="5" width="13.625" style="652" customWidth="1"/>
    <col min="6" max="6" width="22.125" style="652" bestFit="1" customWidth="1"/>
    <col min="7" max="7" width="21.25" style="652" customWidth="1"/>
    <col min="8" max="8" width="16.375" style="652" bestFit="1" customWidth="1"/>
    <col min="9" max="9" width="16.375" style="652" customWidth="1"/>
    <col min="10" max="10" width="21.625" style="652" bestFit="1" customWidth="1"/>
    <col min="11" max="11" width="18.625" style="652" customWidth="1"/>
    <col min="12" max="16384" width="11.375" style="652"/>
  </cols>
  <sheetData>
    <row r="1" spans="1:7" x14ac:dyDescent="0.2">
      <c r="A1" s="1514" t="s">
        <v>617</v>
      </c>
      <c r="B1" s="1514"/>
      <c r="C1" s="1514"/>
      <c r="D1" s="1514"/>
      <c r="E1" s="1514"/>
    </row>
    <row r="2" spans="1:7" ht="12.75" customHeight="1" x14ac:dyDescent="0.2">
      <c r="A2" s="1515" t="s">
        <v>673</v>
      </c>
      <c r="B2" s="1515"/>
      <c r="C2" s="1515"/>
      <c r="D2" s="1515"/>
      <c r="E2" s="1515"/>
    </row>
    <row r="3" spans="1:7" ht="12.75" customHeight="1" x14ac:dyDescent="0.2">
      <c r="A3" s="1516" t="s">
        <v>658</v>
      </c>
      <c r="B3" s="1516"/>
      <c r="C3" s="1516"/>
      <c r="D3" s="1516"/>
      <c r="E3" s="1516"/>
    </row>
    <row r="4" spans="1:7" x14ac:dyDescent="0.2">
      <c r="A4" s="1517"/>
      <c r="B4" s="1517"/>
      <c r="C4" s="1517"/>
      <c r="D4" s="1517"/>
    </row>
    <row r="5" spans="1:7" ht="18" customHeight="1" x14ac:dyDescent="0.2">
      <c r="A5" s="1550" t="s">
        <v>676</v>
      </c>
      <c r="B5" s="1551"/>
      <c r="C5" s="1551"/>
      <c r="D5" s="1551"/>
      <c r="E5" s="1552"/>
    </row>
    <row r="6" spans="1:7" ht="33" customHeight="1" x14ac:dyDescent="0.2">
      <c r="A6" s="798" t="s">
        <v>71</v>
      </c>
      <c r="B6" s="799" t="s">
        <v>674</v>
      </c>
      <c r="C6" s="799" t="s">
        <v>688</v>
      </c>
      <c r="D6" s="799" t="s">
        <v>616</v>
      </c>
      <c r="E6" s="799" t="s">
        <v>623</v>
      </c>
    </row>
    <row r="7" spans="1:7" ht="39" customHeight="1" x14ac:dyDescent="0.2">
      <c r="A7" s="946" t="s">
        <v>738</v>
      </c>
      <c r="B7" s="800">
        <v>15</v>
      </c>
      <c r="C7" s="800">
        <f>+'Consolidado '!B8</f>
        <v>1</v>
      </c>
      <c r="D7" s="802">
        <v>200000</v>
      </c>
      <c r="E7" s="803">
        <f>+B7*C7*D7</f>
        <v>3000000</v>
      </c>
      <c r="F7" s="804"/>
      <c r="G7" s="805"/>
    </row>
    <row r="8" spans="1:7" ht="20.100000000000001" customHeight="1" x14ac:dyDescent="0.2">
      <c r="A8" s="1548" t="s">
        <v>561</v>
      </c>
      <c r="B8" s="1549"/>
      <c r="C8" s="1549"/>
      <c r="D8" s="806"/>
      <c r="E8" s="807">
        <v>0</v>
      </c>
    </row>
    <row r="10" spans="1:7" ht="16.5" customHeight="1" x14ac:dyDescent="0.2">
      <c r="A10" s="652" t="s">
        <v>296</v>
      </c>
      <c r="B10" s="1513" t="str">
        <f>+'Consolidado '!A13</f>
        <v>SEPTIEMBRE DE 2019</v>
      </c>
      <c r="C10" s="1513"/>
    </row>
  </sheetData>
  <mergeCells count="7">
    <mergeCell ref="A4:D4"/>
    <mergeCell ref="A8:C8"/>
    <mergeCell ref="B10:C10"/>
    <mergeCell ref="A1:E1"/>
    <mergeCell ref="A2:E2"/>
    <mergeCell ref="A3:E3"/>
    <mergeCell ref="A5:E5"/>
  </mergeCells>
  <printOptions horizontalCentered="1"/>
  <pageMargins left="0.70866141732283472" right="0.70866141732283472" top="0.74803149606299213" bottom="0.74803149606299213" header="0.31496062992125984" footer="0.31496062992125984"/>
  <pageSetup paperSize="9" scale="97"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60"/>
  <sheetViews>
    <sheetView showGridLines="0" topLeftCell="A48" zoomScaleNormal="100" workbookViewId="0">
      <selection activeCell="P55" sqref="P55"/>
    </sheetView>
  </sheetViews>
  <sheetFormatPr baseColWidth="10" defaultColWidth="11.375" defaultRowHeight="12.75" x14ac:dyDescent="0.2"/>
  <cols>
    <col min="1" max="1" width="16" style="652" customWidth="1"/>
    <col min="2" max="2" width="9.875" style="888" customWidth="1"/>
    <col min="3" max="3" width="13" style="652" customWidth="1"/>
    <col min="4" max="6" width="10.75" style="652" customWidth="1"/>
    <col min="7" max="7" width="12.125" style="652" customWidth="1"/>
    <col min="8" max="10" width="9.875" style="652" customWidth="1"/>
    <col min="11" max="11" width="11.25" style="652" customWidth="1"/>
    <col min="12" max="12" width="11.625" style="805" customWidth="1"/>
    <col min="13" max="15" width="0" style="652" hidden="1" customWidth="1"/>
    <col min="16" max="16384" width="11.375" style="652"/>
  </cols>
  <sheetData>
    <row r="1" spans="1:12" x14ac:dyDescent="0.2">
      <c r="A1" s="1537" t="s">
        <v>617</v>
      </c>
      <c r="B1" s="1537"/>
      <c r="C1" s="1537"/>
      <c r="D1" s="1537"/>
      <c r="E1" s="1537"/>
      <c r="F1" s="1537"/>
      <c r="G1" s="1537"/>
      <c r="H1" s="1537"/>
      <c r="I1" s="1537"/>
      <c r="J1" s="1537"/>
      <c r="K1" s="1537"/>
      <c r="L1" s="1537"/>
    </row>
    <row r="2" spans="1:12" x14ac:dyDescent="0.2">
      <c r="A2" s="1537" t="s">
        <v>657</v>
      </c>
      <c r="B2" s="1537"/>
      <c r="C2" s="1537"/>
      <c r="D2" s="1537"/>
      <c r="E2" s="1537"/>
      <c r="F2" s="1537"/>
      <c r="G2" s="1537"/>
      <c r="H2" s="1537"/>
      <c r="I2" s="1537"/>
      <c r="J2" s="1537"/>
      <c r="K2" s="1537"/>
      <c r="L2" s="1537"/>
    </row>
    <row r="3" spans="1:12" x14ac:dyDescent="0.2">
      <c r="A3" s="1537" t="s">
        <v>658</v>
      </c>
      <c r="B3" s="1537"/>
      <c r="C3" s="1537"/>
      <c r="D3" s="1537"/>
      <c r="E3" s="1537"/>
      <c r="F3" s="1537"/>
      <c r="G3" s="1537"/>
      <c r="H3" s="1537"/>
      <c r="I3" s="1537"/>
      <c r="J3" s="1537"/>
      <c r="K3" s="1537"/>
      <c r="L3" s="1537"/>
    </row>
    <row r="4" spans="1:12" x14ac:dyDescent="0.2">
      <c r="A4" s="1538" t="s">
        <v>690</v>
      </c>
      <c r="B4" s="1538"/>
      <c r="C4" s="1538"/>
      <c r="D4" s="1538"/>
      <c r="E4" s="1538"/>
      <c r="F4" s="1538"/>
      <c r="G4" s="1538"/>
      <c r="H4" s="1538"/>
      <c r="I4" s="1538"/>
      <c r="J4" s="1538"/>
      <c r="K4" s="1538"/>
      <c r="L4" s="1538"/>
    </row>
    <row r="5" spans="1:12" ht="15.75" customHeight="1" x14ac:dyDescent="0.2">
      <c r="A5" s="1538" t="s">
        <v>291</v>
      </c>
      <c r="B5" s="1538"/>
      <c r="C5" s="1538"/>
      <c r="D5" s="1538"/>
      <c r="E5" s="1538"/>
      <c r="F5" s="1538"/>
      <c r="G5" s="1538"/>
      <c r="H5" s="1538"/>
      <c r="I5" s="1538"/>
      <c r="J5" s="1538"/>
      <c r="K5" s="1538"/>
      <c r="L5" s="1538"/>
    </row>
    <row r="6" spans="1:12" x14ac:dyDescent="0.2">
      <c r="A6" s="669"/>
      <c r="B6" s="669"/>
      <c r="C6" s="669"/>
      <c r="D6" s="669"/>
      <c r="E6" s="669"/>
      <c r="F6" s="669"/>
      <c r="G6" s="669"/>
      <c r="H6" s="669"/>
      <c r="I6" s="669"/>
      <c r="J6" s="669"/>
      <c r="K6" s="669"/>
    </row>
    <row r="7" spans="1:12" ht="26.25" customHeight="1" x14ac:dyDescent="0.2">
      <c r="A7" s="1560" t="s">
        <v>739</v>
      </c>
      <c r="B7" s="1561"/>
      <c r="C7" s="1561"/>
      <c r="D7" s="1561"/>
      <c r="E7" s="1561"/>
      <c r="F7" s="1561"/>
      <c r="G7" s="1561"/>
      <c r="H7" s="1561"/>
      <c r="I7" s="1561"/>
      <c r="J7" s="1561"/>
      <c r="K7" s="1561"/>
      <c r="L7" s="1561"/>
    </row>
    <row r="8" spans="1:12" s="856" customFormat="1" ht="12" hidden="1" customHeight="1" x14ac:dyDescent="0.2">
      <c r="A8" s="853"/>
      <c r="B8" s="854"/>
      <c r="C8" s="853"/>
      <c r="D8" s="853"/>
      <c r="E8" s="853"/>
      <c r="F8" s="853"/>
      <c r="G8" s="853"/>
      <c r="H8" s="853"/>
      <c r="I8" s="853"/>
      <c r="J8" s="853"/>
      <c r="K8" s="853"/>
      <c r="L8" s="855"/>
    </row>
    <row r="9" spans="1:12" s="858" customFormat="1" ht="37.5" hidden="1" customHeight="1" x14ac:dyDescent="0.25">
      <c r="A9" s="857" t="s">
        <v>740</v>
      </c>
      <c r="B9" s="857" t="s">
        <v>133</v>
      </c>
      <c r="C9" s="857" t="s">
        <v>659</v>
      </c>
      <c r="D9" s="857" t="s">
        <v>334</v>
      </c>
      <c r="E9" s="857"/>
      <c r="F9" s="857"/>
      <c r="G9" s="857"/>
      <c r="H9" s="857" t="s">
        <v>741</v>
      </c>
      <c r="I9" s="857" t="s">
        <v>737</v>
      </c>
      <c r="J9" s="857"/>
      <c r="K9" s="857" t="s">
        <v>607</v>
      </c>
      <c r="L9" s="857" t="s">
        <v>100</v>
      </c>
    </row>
    <row r="10" spans="1:12" ht="18" hidden="1" customHeight="1" x14ac:dyDescent="0.2">
      <c r="A10" s="859" t="s">
        <v>742</v>
      </c>
      <c r="B10" s="860">
        <v>20</v>
      </c>
      <c r="C10" s="860" t="s">
        <v>743</v>
      </c>
      <c r="D10" s="861"/>
      <c r="E10" s="861"/>
      <c r="F10" s="861"/>
      <c r="G10" s="861"/>
      <c r="H10" s="862">
        <v>3750</v>
      </c>
      <c r="I10" s="863"/>
      <c r="J10" s="863"/>
      <c r="K10" s="820" t="e">
        <f>+IF(AND(#REF!=0,#REF!=0,#REF!=0,H10=0,I10=0),O,AVERAGEIF(D10:I10,"&lt;&gt;"))</f>
        <v>#REF!</v>
      </c>
      <c r="L10" s="820" t="e">
        <f t="shared" ref="L10:L41" si="0">+K10*B10</f>
        <v>#REF!</v>
      </c>
    </row>
    <row r="11" spans="1:12" ht="26.25" hidden="1" customHeight="1" x14ac:dyDescent="0.2">
      <c r="A11" s="859" t="s">
        <v>744</v>
      </c>
      <c r="B11" s="860">
        <v>2</v>
      </c>
      <c r="C11" s="860" t="s">
        <v>745</v>
      </c>
      <c r="D11" s="861"/>
      <c r="E11" s="861"/>
      <c r="F11" s="861"/>
      <c r="G11" s="861"/>
      <c r="H11" s="862">
        <v>35000</v>
      </c>
      <c r="I11" s="861">
        <v>33700</v>
      </c>
      <c r="J11" s="861"/>
      <c r="K11" s="820" t="e">
        <f>+IF(AND(#REF!=0,#REF!=0,#REF!=0,H11=0,I11=0),O,AVERAGEIF(D11:I11,"&lt;&gt;"))</f>
        <v>#REF!</v>
      </c>
      <c r="L11" s="820" t="e">
        <f t="shared" si="0"/>
        <v>#REF!</v>
      </c>
    </row>
    <row r="12" spans="1:12" ht="18" hidden="1" customHeight="1" x14ac:dyDescent="0.2">
      <c r="A12" s="859" t="s">
        <v>746</v>
      </c>
      <c r="B12" s="860"/>
      <c r="C12" s="860" t="s">
        <v>747</v>
      </c>
      <c r="D12" s="861">
        <v>2500</v>
      </c>
      <c r="E12" s="861"/>
      <c r="F12" s="861"/>
      <c r="G12" s="861"/>
      <c r="H12" s="862"/>
      <c r="I12" s="861"/>
      <c r="J12" s="861"/>
      <c r="K12" s="820" t="e">
        <f>+IF(AND(#REF!=0,#REF!=0,#REF!=0,H12=0,I12=0),O,AVERAGEIF(D12:I12,"&lt;&gt;"))</f>
        <v>#REF!</v>
      </c>
      <c r="L12" s="820" t="e">
        <f t="shared" si="0"/>
        <v>#REF!</v>
      </c>
    </row>
    <row r="13" spans="1:12" ht="18" hidden="1" customHeight="1" x14ac:dyDescent="0.2">
      <c r="A13" s="859" t="s">
        <v>748</v>
      </c>
      <c r="B13" s="860">
        <v>10</v>
      </c>
      <c r="C13" s="860" t="s">
        <v>484</v>
      </c>
      <c r="D13" s="861">
        <v>3450</v>
      </c>
      <c r="E13" s="861"/>
      <c r="F13" s="861"/>
      <c r="G13" s="861"/>
      <c r="H13" s="862"/>
      <c r="I13" s="861"/>
      <c r="J13" s="861"/>
      <c r="K13" s="820" t="e">
        <f>+IF(AND(#REF!=0,#REF!=0,#REF!=0,H13=0,I13=0),O,AVERAGEIF(D13:I13,"&lt;&gt;"))</f>
        <v>#REF!</v>
      </c>
      <c r="L13" s="820" t="e">
        <f t="shared" si="0"/>
        <v>#REF!</v>
      </c>
    </row>
    <row r="14" spans="1:12" ht="18" hidden="1" customHeight="1" x14ac:dyDescent="0.2">
      <c r="A14" s="859" t="s">
        <v>749</v>
      </c>
      <c r="B14" s="860">
        <v>200</v>
      </c>
      <c r="C14" s="860" t="s">
        <v>750</v>
      </c>
      <c r="D14" s="861"/>
      <c r="E14" s="861"/>
      <c r="F14" s="861"/>
      <c r="G14" s="861"/>
      <c r="H14" s="862">
        <v>7300</v>
      </c>
      <c r="I14" s="861">
        <v>7200</v>
      </c>
      <c r="J14" s="861"/>
      <c r="K14" s="820" t="e">
        <f>+IF(AND(#REF!=0,#REF!=0,#REF!=0,H14=0,I14=0),O,AVERAGEIF(D14:I14,"&lt;&gt;"))</f>
        <v>#REF!</v>
      </c>
      <c r="L14" s="820" t="e">
        <f t="shared" si="0"/>
        <v>#REF!</v>
      </c>
    </row>
    <row r="15" spans="1:12" ht="18" hidden="1" customHeight="1" x14ac:dyDescent="0.2">
      <c r="A15" s="859" t="s">
        <v>751</v>
      </c>
      <c r="B15" s="860">
        <v>30</v>
      </c>
      <c r="C15" s="860" t="s">
        <v>752</v>
      </c>
      <c r="D15" s="861"/>
      <c r="E15" s="861"/>
      <c r="F15" s="861"/>
      <c r="G15" s="861"/>
      <c r="H15" s="862">
        <v>9400</v>
      </c>
      <c r="I15" s="861">
        <v>9200</v>
      </c>
      <c r="J15" s="861"/>
      <c r="K15" s="820" t="e">
        <f>+IF(AND(#REF!=0,#REF!=0,#REF!=0,H15=0,I15=0),O,AVERAGEIF(D15:I15,"&lt;&gt;"))</f>
        <v>#REF!</v>
      </c>
      <c r="L15" s="820" t="e">
        <f t="shared" si="0"/>
        <v>#REF!</v>
      </c>
    </row>
    <row r="16" spans="1:12" ht="18" hidden="1" customHeight="1" x14ac:dyDescent="0.2">
      <c r="A16" s="864" t="s">
        <v>753</v>
      </c>
      <c r="B16" s="865"/>
      <c r="C16" s="865" t="s">
        <v>4</v>
      </c>
      <c r="D16" s="866"/>
      <c r="E16" s="866"/>
      <c r="F16" s="866"/>
      <c r="G16" s="866"/>
      <c r="H16" s="867"/>
      <c r="I16" s="868"/>
      <c r="J16" s="868"/>
      <c r="K16" s="820" t="e">
        <f>+IF(AND(#REF!=0,#REF!=0,#REF!=0,H16=0,I16=0),O,AVERAGEIF(D16:I16,"&lt;&gt;"))</f>
        <v>#REF!</v>
      </c>
      <c r="L16" s="820" t="e">
        <f t="shared" si="0"/>
        <v>#REF!</v>
      </c>
    </row>
    <row r="17" spans="1:12" ht="18" hidden="1" customHeight="1" x14ac:dyDescent="0.2">
      <c r="A17" s="859" t="s">
        <v>754</v>
      </c>
      <c r="B17" s="860">
        <v>10</v>
      </c>
      <c r="C17" s="860" t="s">
        <v>755</v>
      </c>
      <c r="D17" s="861"/>
      <c r="E17" s="861"/>
      <c r="F17" s="861"/>
      <c r="G17" s="861"/>
      <c r="H17" s="862">
        <f>250*12</f>
        <v>3000</v>
      </c>
      <c r="I17" s="861">
        <v>3300</v>
      </c>
      <c r="J17" s="861"/>
      <c r="K17" s="820" t="e">
        <f>+IF(AND(#REF!=0,#REF!=0,#REF!=0,H17=0,I17=0),O,AVERAGEIF(D17:I17,"&lt;&gt;"))</f>
        <v>#REF!</v>
      </c>
      <c r="L17" s="820" t="e">
        <f t="shared" si="0"/>
        <v>#REF!</v>
      </c>
    </row>
    <row r="18" spans="1:12" ht="18" hidden="1" customHeight="1" x14ac:dyDescent="0.2">
      <c r="A18" s="859" t="s">
        <v>756</v>
      </c>
      <c r="B18" s="860"/>
      <c r="C18" s="860" t="s">
        <v>4</v>
      </c>
      <c r="D18" s="861"/>
      <c r="E18" s="861"/>
      <c r="F18" s="861"/>
      <c r="G18" s="861"/>
      <c r="H18" s="862">
        <v>1000</v>
      </c>
      <c r="I18" s="861">
        <v>1000</v>
      </c>
      <c r="J18" s="861"/>
      <c r="K18" s="820" t="e">
        <f>+IF(AND(#REF!=0,#REF!=0,#REF!=0,H18=0,I18=0),O,AVERAGEIF(D18:I18,"&lt;&gt;"))</f>
        <v>#REF!</v>
      </c>
      <c r="L18" s="820" t="e">
        <f t="shared" si="0"/>
        <v>#REF!</v>
      </c>
    </row>
    <row r="19" spans="1:12" ht="18" hidden="1" customHeight="1" x14ac:dyDescent="0.2">
      <c r="A19" s="859" t="s">
        <v>757</v>
      </c>
      <c r="B19" s="860">
        <v>20</v>
      </c>
      <c r="C19" s="860" t="s">
        <v>758</v>
      </c>
      <c r="D19" s="861"/>
      <c r="E19" s="861"/>
      <c r="F19" s="861"/>
      <c r="G19" s="861"/>
      <c r="H19" s="862">
        <v>1500</v>
      </c>
      <c r="I19" s="861">
        <v>1500</v>
      </c>
      <c r="J19" s="861"/>
      <c r="K19" s="820" t="e">
        <f>+IF(AND(#REF!=0,#REF!=0,#REF!=0,H19=0,I19=0),O,AVERAGEIF(D19:I19,"&lt;&gt;"))</f>
        <v>#REF!</v>
      </c>
      <c r="L19" s="820" t="e">
        <f t="shared" si="0"/>
        <v>#REF!</v>
      </c>
    </row>
    <row r="20" spans="1:12" ht="18" hidden="1" customHeight="1" x14ac:dyDescent="0.2">
      <c r="A20" s="859" t="s">
        <v>759</v>
      </c>
      <c r="B20" s="860">
        <v>40</v>
      </c>
      <c r="C20" s="860" t="s">
        <v>758</v>
      </c>
      <c r="D20" s="861"/>
      <c r="E20" s="861"/>
      <c r="F20" s="861"/>
      <c r="G20" s="861"/>
      <c r="H20" s="862">
        <v>343.65</v>
      </c>
      <c r="I20" s="861">
        <v>350</v>
      </c>
      <c r="J20" s="861"/>
      <c r="K20" s="820" t="e">
        <f>+IF(AND(#REF!=0,#REF!=0,#REF!=0,H20=0,I20=0),O,AVERAGEIF(D20:I20,"&lt;&gt;"))</f>
        <v>#REF!</v>
      </c>
      <c r="L20" s="820" t="e">
        <f t="shared" si="0"/>
        <v>#REF!</v>
      </c>
    </row>
    <row r="21" spans="1:12" ht="18" hidden="1" customHeight="1" x14ac:dyDescent="0.2">
      <c r="A21" s="859" t="s">
        <v>760</v>
      </c>
      <c r="B21" s="860">
        <v>20</v>
      </c>
      <c r="C21" s="860" t="s">
        <v>758</v>
      </c>
      <c r="D21" s="861">
        <v>1950</v>
      </c>
      <c r="E21" s="861"/>
      <c r="F21" s="861"/>
      <c r="G21" s="861"/>
      <c r="H21" s="862">
        <v>1250</v>
      </c>
      <c r="I21" s="861">
        <v>1550</v>
      </c>
      <c r="J21" s="861"/>
      <c r="K21" s="820" t="e">
        <f>+IF(AND(#REF!=0,#REF!=0,#REF!=0,H21=0,I21=0),O,AVERAGEIF(D21:I21,"&lt;&gt;"))</f>
        <v>#REF!</v>
      </c>
      <c r="L21" s="820" t="e">
        <f t="shared" si="0"/>
        <v>#REF!</v>
      </c>
    </row>
    <row r="22" spans="1:12" ht="18" hidden="1" customHeight="1" x14ac:dyDescent="0.2">
      <c r="A22" s="859" t="s">
        <v>761</v>
      </c>
      <c r="B22" s="860">
        <v>20</v>
      </c>
      <c r="C22" s="860" t="s">
        <v>758</v>
      </c>
      <c r="D22" s="861">
        <v>2150</v>
      </c>
      <c r="E22" s="861"/>
      <c r="F22" s="861"/>
      <c r="G22" s="861"/>
      <c r="H22" s="862">
        <v>1500</v>
      </c>
      <c r="I22" s="861"/>
      <c r="J22" s="861"/>
      <c r="K22" s="820" t="e">
        <f>+IF(AND(#REF!=0,#REF!=0,#REF!=0,H22=0,I22=0),O,AVERAGEIF(D22:I22,"&lt;&gt;"))</f>
        <v>#REF!</v>
      </c>
      <c r="L22" s="820" t="e">
        <f t="shared" si="0"/>
        <v>#REF!</v>
      </c>
    </row>
    <row r="23" spans="1:12" ht="18" hidden="1" customHeight="1" x14ac:dyDescent="0.2">
      <c r="A23" s="859" t="s">
        <v>762</v>
      </c>
      <c r="B23" s="860">
        <v>80</v>
      </c>
      <c r="C23" s="860" t="s">
        <v>4</v>
      </c>
      <c r="D23" s="861"/>
      <c r="E23" s="861"/>
      <c r="F23" s="861"/>
      <c r="G23" s="861"/>
      <c r="H23" s="820">
        <v>750</v>
      </c>
      <c r="I23" s="861">
        <v>800</v>
      </c>
      <c r="J23" s="861"/>
      <c r="K23" s="820" t="e">
        <f>+IF(AND(#REF!=0,#REF!=0,#REF!=0,H23=0,I23=0),O,AVERAGEIF(D23:I23,"&lt;&gt;"))</f>
        <v>#REF!</v>
      </c>
      <c r="L23" s="820" t="e">
        <f t="shared" si="0"/>
        <v>#REF!</v>
      </c>
    </row>
    <row r="24" spans="1:12" ht="18" hidden="1" customHeight="1" x14ac:dyDescent="0.2">
      <c r="A24" s="859" t="s">
        <v>763</v>
      </c>
      <c r="B24" s="860">
        <v>200</v>
      </c>
      <c r="C24" s="860" t="s">
        <v>764</v>
      </c>
      <c r="D24" s="869">
        <v>190</v>
      </c>
      <c r="E24" s="869"/>
      <c r="F24" s="869"/>
      <c r="G24" s="869"/>
      <c r="H24" s="862">
        <v>68</v>
      </c>
      <c r="I24" s="861">
        <v>69</v>
      </c>
      <c r="J24" s="861"/>
      <c r="K24" s="820">
        <f>+AVERAGE(D24:D24)</f>
        <v>190</v>
      </c>
      <c r="L24" s="820">
        <f t="shared" si="0"/>
        <v>38000</v>
      </c>
    </row>
    <row r="25" spans="1:12" ht="18" hidden="1" customHeight="1" x14ac:dyDescent="0.2">
      <c r="A25" s="859" t="s">
        <v>765</v>
      </c>
      <c r="B25" s="860">
        <v>2</v>
      </c>
      <c r="C25" s="860" t="s">
        <v>766</v>
      </c>
      <c r="D25" s="869"/>
      <c r="E25" s="869"/>
      <c r="F25" s="869"/>
      <c r="G25" s="869"/>
      <c r="H25" s="862">
        <v>8200</v>
      </c>
      <c r="I25" s="861">
        <v>8000</v>
      </c>
      <c r="J25" s="861"/>
      <c r="K25" s="820" t="e">
        <f>+IF(AND(#REF!=0,#REF!=0,#REF!=0,H25=0,I25=0),O,AVERAGEIF(D25:I25,"&lt;&gt;"))</f>
        <v>#REF!</v>
      </c>
      <c r="L25" s="820" t="e">
        <f t="shared" si="0"/>
        <v>#REF!</v>
      </c>
    </row>
    <row r="26" spans="1:12" ht="23.25" hidden="1" customHeight="1" x14ac:dyDescent="0.2">
      <c r="A26" s="859" t="s">
        <v>767</v>
      </c>
      <c r="B26" s="860">
        <v>4</v>
      </c>
      <c r="C26" s="860" t="s">
        <v>768</v>
      </c>
      <c r="D26" s="861">
        <v>4350</v>
      </c>
      <c r="E26" s="861"/>
      <c r="F26" s="861"/>
      <c r="G26" s="861"/>
      <c r="H26" s="862">
        <v>3500</v>
      </c>
      <c r="I26" s="861"/>
      <c r="J26" s="861"/>
      <c r="K26" s="820" t="e">
        <f>+IF(AND(#REF!=0,#REF!=0,#REF!=0,H26=0,I26=0),O,AVERAGEIF(D26:I26,"&lt;&gt;"))</f>
        <v>#REF!</v>
      </c>
      <c r="L26" s="820" t="e">
        <f t="shared" si="0"/>
        <v>#REF!</v>
      </c>
    </row>
    <row r="27" spans="1:12" ht="18" hidden="1" customHeight="1" x14ac:dyDescent="0.2">
      <c r="A27" s="859" t="s">
        <v>769</v>
      </c>
      <c r="B27" s="860">
        <v>40</v>
      </c>
      <c r="C27" s="860" t="s">
        <v>4</v>
      </c>
      <c r="D27" s="861">
        <v>2100</v>
      </c>
      <c r="E27" s="861"/>
      <c r="F27" s="861"/>
      <c r="G27" s="861"/>
      <c r="H27" s="862">
        <v>2500</v>
      </c>
      <c r="I27" s="861"/>
      <c r="J27" s="861"/>
      <c r="K27" s="820" t="e">
        <f>+IF(AND(#REF!=0,#REF!=0,#REF!=0,H27=0,I27=0),O,AVERAGEIF(D27:I27,"&lt;&gt;"))</f>
        <v>#REF!</v>
      </c>
      <c r="L27" s="820" t="e">
        <f t="shared" si="0"/>
        <v>#REF!</v>
      </c>
    </row>
    <row r="28" spans="1:12" ht="18" hidden="1" customHeight="1" x14ac:dyDescent="0.2">
      <c r="A28" s="859" t="s">
        <v>770</v>
      </c>
      <c r="B28" s="860"/>
      <c r="C28" s="860" t="s">
        <v>4</v>
      </c>
      <c r="D28" s="861"/>
      <c r="E28" s="861"/>
      <c r="F28" s="861"/>
      <c r="G28" s="861"/>
      <c r="H28" s="862"/>
      <c r="I28" s="861"/>
      <c r="J28" s="861"/>
      <c r="K28" s="820" t="e">
        <f>+IF(AND(#REF!=0,#REF!=0,#REF!=0,H28=0,I28=0),O,AVERAGEIF(D28:I28,"&lt;&gt;"))</f>
        <v>#REF!</v>
      </c>
      <c r="L28" s="820" t="e">
        <f t="shared" si="0"/>
        <v>#REF!</v>
      </c>
    </row>
    <row r="29" spans="1:12" ht="18" hidden="1" customHeight="1" x14ac:dyDescent="0.2">
      <c r="A29" s="859" t="s">
        <v>771</v>
      </c>
      <c r="B29" s="860">
        <v>45</v>
      </c>
      <c r="C29" s="860" t="s">
        <v>4</v>
      </c>
      <c r="D29" s="861"/>
      <c r="E29" s="861"/>
      <c r="F29" s="861"/>
      <c r="G29" s="861"/>
      <c r="H29" s="862"/>
      <c r="I29" s="861">
        <v>750</v>
      </c>
      <c r="J29" s="861"/>
      <c r="K29" s="820" t="e">
        <f>+IF(AND(#REF!=0,#REF!=0,#REF!=0,H29=0,I29=0),O,AVERAGEIF(D29:I29,"&lt;&gt;"))</f>
        <v>#REF!</v>
      </c>
      <c r="L29" s="820" t="e">
        <f t="shared" si="0"/>
        <v>#REF!</v>
      </c>
    </row>
    <row r="30" spans="1:12" ht="18" hidden="1" customHeight="1" x14ac:dyDescent="0.2">
      <c r="A30" s="859" t="s">
        <v>772</v>
      </c>
      <c r="B30" s="860">
        <v>40</v>
      </c>
      <c r="C30" s="860" t="s">
        <v>4</v>
      </c>
      <c r="D30" s="869">
        <v>1600</v>
      </c>
      <c r="E30" s="869"/>
      <c r="F30" s="869"/>
      <c r="G30" s="869"/>
      <c r="H30" s="862">
        <v>1000</v>
      </c>
      <c r="I30" s="861">
        <v>1000</v>
      </c>
      <c r="J30" s="861"/>
      <c r="K30" s="820" t="e">
        <f>+IF(AND(#REF!=0,#REF!=0,#REF!=0,H30=0,I30=0),O,AVERAGEIF(D30:I30,"&lt;&gt;"))</f>
        <v>#REF!</v>
      </c>
      <c r="L30" s="820" t="e">
        <f t="shared" si="0"/>
        <v>#REF!</v>
      </c>
    </row>
    <row r="31" spans="1:12" ht="18" hidden="1" customHeight="1" x14ac:dyDescent="0.2">
      <c r="A31" s="859" t="s">
        <v>773</v>
      </c>
      <c r="B31" s="860">
        <v>50</v>
      </c>
      <c r="C31" s="860" t="s">
        <v>4</v>
      </c>
      <c r="D31" s="861">
        <v>6900</v>
      </c>
      <c r="E31" s="861"/>
      <c r="F31" s="861"/>
      <c r="G31" s="861"/>
      <c r="H31" s="862"/>
      <c r="I31" s="861"/>
      <c r="J31" s="861"/>
      <c r="K31" s="820" t="e">
        <f>+IF(AND(#REF!=0,#REF!=0,#REF!=0,H31=0,I31=0),O,AVERAGEIF(D31:I31,"&lt;&gt;"))</f>
        <v>#REF!</v>
      </c>
      <c r="L31" s="820" t="e">
        <f t="shared" si="0"/>
        <v>#REF!</v>
      </c>
    </row>
    <row r="32" spans="1:12" ht="18" hidden="1" customHeight="1" x14ac:dyDescent="0.2">
      <c r="A32" s="870" t="s">
        <v>774</v>
      </c>
      <c r="B32" s="860">
        <v>70</v>
      </c>
      <c r="C32" s="860" t="s">
        <v>4</v>
      </c>
      <c r="D32" s="861"/>
      <c r="E32" s="861"/>
      <c r="F32" s="861"/>
      <c r="G32" s="861"/>
      <c r="H32" s="862"/>
      <c r="I32" s="861">
        <v>650</v>
      </c>
      <c r="J32" s="861"/>
      <c r="K32" s="820" t="e">
        <f>+IF(AND(#REF!=0,#REF!=0,#REF!=0,H32=0,I32=0),O,AVERAGEIF(D32:I32,"&lt;&gt;"))</f>
        <v>#REF!</v>
      </c>
      <c r="L32" s="820" t="e">
        <f t="shared" si="0"/>
        <v>#REF!</v>
      </c>
    </row>
    <row r="33" spans="1:15" ht="36" hidden="1" customHeight="1" x14ac:dyDescent="0.2">
      <c r="A33" s="859" t="s">
        <v>775</v>
      </c>
      <c r="B33" s="860"/>
      <c r="C33" s="860" t="s">
        <v>776</v>
      </c>
      <c r="D33" s="861">
        <v>10950</v>
      </c>
      <c r="E33" s="861"/>
      <c r="F33" s="861"/>
      <c r="G33" s="861"/>
      <c r="H33" s="862"/>
      <c r="I33" s="861"/>
      <c r="J33" s="861"/>
      <c r="K33" s="820" t="e">
        <f>+IF(AND(#REF!=0,#REF!=0,#REF!=0,H33=0,I33=0),O,AVERAGEIF(D33:I33,"&lt;&gt;"))</f>
        <v>#REF!</v>
      </c>
      <c r="L33" s="820" t="e">
        <f t="shared" si="0"/>
        <v>#REF!</v>
      </c>
    </row>
    <row r="34" spans="1:15" ht="18" hidden="1" customHeight="1" x14ac:dyDescent="0.2">
      <c r="A34" s="859" t="s">
        <v>777</v>
      </c>
      <c r="B34" s="860">
        <v>50</v>
      </c>
      <c r="C34" s="860" t="s">
        <v>4</v>
      </c>
      <c r="D34" s="861"/>
      <c r="E34" s="861"/>
      <c r="F34" s="861"/>
      <c r="G34" s="861"/>
      <c r="H34" s="862"/>
      <c r="I34" s="861"/>
      <c r="J34" s="861"/>
      <c r="K34" s="820" t="e">
        <f>+IF(AND(#REF!=0,#REF!=0,#REF!=0,H34=0,I34=0),O,AVERAGEIF(D34:I34,"&lt;&gt;"))</f>
        <v>#REF!</v>
      </c>
      <c r="L34" s="820" t="e">
        <f t="shared" si="0"/>
        <v>#REF!</v>
      </c>
    </row>
    <row r="35" spans="1:15" ht="18" hidden="1" customHeight="1" x14ac:dyDescent="0.2">
      <c r="A35" s="859" t="s">
        <v>778</v>
      </c>
      <c r="B35" s="860"/>
      <c r="C35" s="860" t="s">
        <v>4</v>
      </c>
      <c r="D35" s="863">
        <v>950</v>
      </c>
      <c r="E35" s="863"/>
      <c r="F35" s="863"/>
      <c r="G35" s="863"/>
      <c r="H35" s="862"/>
      <c r="I35" s="861"/>
      <c r="J35" s="861"/>
      <c r="K35" s="820" t="e">
        <f>+IF(AND(#REF!=0,#REF!=0,#REF!=0,H35=0,I35=0),O,AVERAGEIF(D35:I35,"&lt;&gt;"))</f>
        <v>#REF!</v>
      </c>
      <c r="L35" s="820" t="e">
        <f t="shared" si="0"/>
        <v>#REF!</v>
      </c>
    </row>
    <row r="36" spans="1:15" ht="18" hidden="1" customHeight="1" x14ac:dyDescent="0.2">
      <c r="A36" s="859" t="s">
        <v>779</v>
      </c>
      <c r="B36" s="860"/>
      <c r="C36" s="860" t="s">
        <v>4</v>
      </c>
      <c r="D36" s="871">
        <v>1600</v>
      </c>
      <c r="E36" s="871"/>
      <c r="F36" s="871"/>
      <c r="G36" s="871"/>
      <c r="H36" s="862"/>
      <c r="I36" s="861"/>
      <c r="J36" s="861"/>
      <c r="K36" s="820" t="e">
        <f>+IF(AND(#REF!=0,#REF!=0,#REF!=0,H36=0,I36=0),O,AVERAGEIF(D36:I36,"&lt;&gt;"))</f>
        <v>#REF!</v>
      </c>
      <c r="L36" s="820" t="e">
        <f t="shared" si="0"/>
        <v>#REF!</v>
      </c>
    </row>
    <row r="37" spans="1:15" ht="18" hidden="1" customHeight="1" x14ac:dyDescent="0.2">
      <c r="A37" s="859" t="s">
        <v>780</v>
      </c>
      <c r="B37" s="860"/>
      <c r="C37" s="860" t="s">
        <v>4</v>
      </c>
      <c r="D37" s="861"/>
      <c r="E37" s="861"/>
      <c r="F37" s="861"/>
      <c r="G37" s="861"/>
      <c r="H37" s="862"/>
      <c r="I37" s="861"/>
      <c r="J37" s="861"/>
      <c r="K37" s="820" t="e">
        <f>+IF(AND(#REF!=0,#REF!=0,#REF!=0,H37=0,I37=0),O,AVERAGEIF(D37:I37,"&lt;&gt;"))</f>
        <v>#REF!</v>
      </c>
      <c r="L37" s="820" t="e">
        <f t="shared" si="0"/>
        <v>#REF!</v>
      </c>
    </row>
    <row r="38" spans="1:15" ht="18" hidden="1" customHeight="1" x14ac:dyDescent="0.2">
      <c r="A38" s="859" t="s">
        <v>781</v>
      </c>
      <c r="B38" s="860"/>
      <c r="C38" s="860" t="s">
        <v>484</v>
      </c>
      <c r="D38" s="861"/>
      <c r="E38" s="861"/>
      <c r="F38" s="861"/>
      <c r="G38" s="861"/>
      <c r="H38" s="862"/>
      <c r="I38" s="861"/>
      <c r="J38" s="861"/>
      <c r="K38" s="820" t="e">
        <f>+IF(AND(#REF!=0,#REF!=0,#REF!=0,H38=0,I38=0),O,AVERAGEIF(D38:I38,"&lt;&gt;"))</f>
        <v>#REF!</v>
      </c>
      <c r="L38" s="820" t="e">
        <f t="shared" si="0"/>
        <v>#REF!</v>
      </c>
    </row>
    <row r="39" spans="1:15" ht="24.75" hidden="1" customHeight="1" x14ac:dyDescent="0.2">
      <c r="A39" s="859" t="s">
        <v>782</v>
      </c>
      <c r="B39" s="860"/>
      <c r="C39" s="860" t="s">
        <v>484</v>
      </c>
      <c r="D39" s="861">
        <v>1680</v>
      </c>
      <c r="E39" s="861"/>
      <c r="F39" s="861"/>
      <c r="G39" s="861"/>
      <c r="H39" s="862"/>
      <c r="I39" s="861"/>
      <c r="J39" s="861"/>
      <c r="K39" s="820" t="e">
        <f>+IF(AND(#REF!=0,#REF!=0,#REF!=0,H39=0,I39=0),O,AVERAGEIF(D39:I39,"&lt;&gt;"))</f>
        <v>#REF!</v>
      </c>
      <c r="L39" s="820" t="e">
        <f t="shared" si="0"/>
        <v>#REF!</v>
      </c>
    </row>
    <row r="40" spans="1:15" ht="17.25" hidden="1" customHeight="1" x14ac:dyDescent="0.2">
      <c r="A40" s="859"/>
      <c r="B40" s="860"/>
      <c r="C40" s="860" t="s">
        <v>484</v>
      </c>
      <c r="D40" s="861"/>
      <c r="E40" s="861"/>
      <c r="F40" s="861"/>
      <c r="G40" s="861"/>
      <c r="H40" s="862"/>
      <c r="I40" s="861"/>
      <c r="J40" s="861"/>
      <c r="K40" s="820" t="e">
        <f>+IF(AND(#REF!=0,#REF!=0,#REF!=0,H40=0,I40=0),O,AVERAGEIF(D40:I40,"&lt;&gt;"))</f>
        <v>#REF!</v>
      </c>
      <c r="L40" s="820" t="e">
        <f t="shared" si="0"/>
        <v>#REF!</v>
      </c>
    </row>
    <row r="41" spans="1:15" ht="18" hidden="1" customHeight="1" x14ac:dyDescent="0.2">
      <c r="A41" s="859" t="s">
        <v>783</v>
      </c>
      <c r="B41" s="860">
        <v>80</v>
      </c>
      <c r="C41" s="860" t="s">
        <v>4</v>
      </c>
      <c r="D41" s="861"/>
      <c r="E41" s="861"/>
      <c r="F41" s="861"/>
      <c r="G41" s="861"/>
      <c r="H41" s="862"/>
      <c r="I41" s="861"/>
      <c r="J41" s="861"/>
      <c r="K41" s="820" t="e">
        <f>+IF(AND(#REF!=0,#REF!=0,#REF!=0,H41=0,I41=0),O,AVERAGEIF(D41:I41,"&lt;&gt;"))</f>
        <v>#REF!</v>
      </c>
      <c r="L41" s="820" t="e">
        <f t="shared" si="0"/>
        <v>#REF!</v>
      </c>
    </row>
    <row r="42" spans="1:15" hidden="1" x14ac:dyDescent="0.2">
      <c r="A42" s="872"/>
      <c r="B42" s="873"/>
      <c r="C42" s="874"/>
      <c r="D42" s="875"/>
      <c r="E42" s="875"/>
      <c r="F42" s="875"/>
      <c r="G42" s="875"/>
      <c r="H42" s="876"/>
      <c r="I42" s="877"/>
      <c r="J42" s="877"/>
      <c r="K42" s="877"/>
      <c r="L42" s="878"/>
    </row>
    <row r="43" spans="1:15" ht="18" hidden="1" customHeight="1" x14ac:dyDescent="0.2">
      <c r="A43" s="879"/>
      <c r="B43" s="880"/>
      <c r="C43" s="881" t="s">
        <v>2</v>
      </c>
      <c r="I43" s="882" t="s">
        <v>297</v>
      </c>
      <c r="J43" s="883"/>
      <c r="K43" s="883"/>
      <c r="L43" s="658" t="e">
        <f>SUM(L10:L41)</f>
        <v>#REF!</v>
      </c>
    </row>
    <row r="44" spans="1:15" hidden="1" x14ac:dyDescent="0.2">
      <c r="B44" s="884"/>
      <c r="D44" s="670"/>
      <c r="E44" s="670"/>
      <c r="F44" s="670"/>
      <c r="G44" s="670"/>
      <c r="H44" s="885"/>
      <c r="I44" s="886"/>
      <c r="J44" s="886"/>
      <c r="K44" s="886"/>
    </row>
    <row r="45" spans="1:15" ht="13.5" hidden="1" thickBot="1" x14ac:dyDescent="0.25">
      <c r="A45" s="672" t="s">
        <v>296</v>
      </c>
      <c r="B45" s="887">
        <f>+[5]Alquiact!B16</f>
        <v>41507</v>
      </c>
      <c r="C45" s="672"/>
    </row>
    <row r="46" spans="1:15" x14ac:dyDescent="0.2">
      <c r="L46" s="805">
        <v>1.03</v>
      </c>
    </row>
    <row r="47" spans="1:15" ht="28.15" customHeight="1" x14ac:dyDescent="0.2">
      <c r="A47" s="857" t="s">
        <v>740</v>
      </c>
      <c r="B47" s="857" t="s">
        <v>133</v>
      </c>
      <c r="C47" s="857" t="s">
        <v>659</v>
      </c>
      <c r="D47" s="939" t="s">
        <v>884</v>
      </c>
      <c r="E47" s="939" t="s">
        <v>885</v>
      </c>
      <c r="F47" s="939" t="s">
        <v>886</v>
      </c>
      <c r="G47" s="939" t="s">
        <v>931</v>
      </c>
      <c r="H47" s="939" t="s">
        <v>95</v>
      </c>
      <c r="I47" s="939" t="s">
        <v>784</v>
      </c>
      <c r="J47" s="996" t="s">
        <v>736</v>
      </c>
      <c r="K47" s="857" t="s">
        <v>607</v>
      </c>
      <c r="L47" s="857" t="s">
        <v>100</v>
      </c>
      <c r="N47" s="652" t="s">
        <v>940</v>
      </c>
      <c r="O47" s="924"/>
    </row>
    <row r="48" spans="1:15" ht="24.95" customHeight="1" x14ac:dyDescent="0.2">
      <c r="A48" s="859" t="s">
        <v>749</v>
      </c>
      <c r="B48" s="860">
        <v>7</v>
      </c>
      <c r="C48" s="860" t="s">
        <v>750</v>
      </c>
      <c r="D48" s="940">
        <v>8294</v>
      </c>
      <c r="E48" s="940">
        <v>9500</v>
      </c>
      <c r="F48" s="940">
        <f>6897*1.16</f>
        <v>8000.5199999999995</v>
      </c>
      <c r="G48" s="1026">
        <v>8600</v>
      </c>
      <c r="H48" s="1026">
        <v>7450</v>
      </c>
      <c r="I48" s="1026">
        <v>6999</v>
      </c>
      <c r="J48" s="1026">
        <v>8800</v>
      </c>
      <c r="K48" s="941">
        <f>+AVERAGE(H48:I48)</f>
        <v>7224.5</v>
      </c>
      <c r="L48" s="820">
        <f>+K48*B48</f>
        <v>50571.5</v>
      </c>
      <c r="N48" s="859" t="s">
        <v>749</v>
      </c>
      <c r="O48" s="860">
        <v>10</v>
      </c>
    </row>
    <row r="49" spans="1:15" ht="30" customHeight="1" x14ac:dyDescent="0.2">
      <c r="A49" s="1553" t="s">
        <v>892</v>
      </c>
      <c r="B49" s="1555">
        <v>4</v>
      </c>
      <c r="C49" s="1555" t="s">
        <v>4</v>
      </c>
      <c r="D49" s="945" t="s">
        <v>891</v>
      </c>
      <c r="E49" s="945" t="s">
        <v>346</v>
      </c>
      <c r="F49" s="945" t="s">
        <v>866</v>
      </c>
      <c r="G49" s="1027"/>
      <c r="H49" s="1557"/>
      <c r="I49" s="1557"/>
      <c r="J49" s="1022"/>
      <c r="K49" s="1562">
        <f>+AVERAGE(D50:E50)</f>
        <v>115000</v>
      </c>
      <c r="L49" s="1562">
        <f>+K49*B49</f>
        <v>460000</v>
      </c>
      <c r="N49" s="1553" t="s">
        <v>892</v>
      </c>
      <c r="O49" s="1555">
        <v>6</v>
      </c>
    </row>
    <row r="50" spans="1:15" ht="24.95" customHeight="1" x14ac:dyDescent="0.2">
      <c r="A50" s="1554"/>
      <c r="B50" s="1556"/>
      <c r="C50" s="1556"/>
      <c r="D50" s="940">
        <v>110000</v>
      </c>
      <c r="E50" s="940">
        <v>120000</v>
      </c>
      <c r="F50" s="940">
        <v>209000</v>
      </c>
      <c r="G50" s="1028"/>
      <c r="H50" s="1558"/>
      <c r="I50" s="1558"/>
      <c r="J50" s="1023"/>
      <c r="K50" s="1563"/>
      <c r="L50" s="1563"/>
      <c r="N50" s="1554"/>
      <c r="O50" s="1556"/>
    </row>
    <row r="51" spans="1:15" ht="21.75" customHeight="1" x14ac:dyDescent="0.2">
      <c r="A51" s="944" t="s">
        <v>785</v>
      </c>
      <c r="B51" s="943">
        <v>40</v>
      </c>
      <c r="C51" s="943" t="str">
        <f>+VLOOKUP(A51,'[6]Papelería '!$A$2:$B$61,2,0)</f>
        <v>Unidad</v>
      </c>
      <c r="D51" s="940">
        <v>156.6</v>
      </c>
      <c r="E51" s="940"/>
      <c r="F51" s="940"/>
      <c r="G51" s="1026">
        <v>400</v>
      </c>
      <c r="H51" s="1026">
        <v>325</v>
      </c>
      <c r="I51" s="1026">
        <v>168</v>
      </c>
      <c r="J51" s="1026"/>
      <c r="K51" s="941">
        <f>+AVERAGE(D51,H51)</f>
        <v>240.8</v>
      </c>
      <c r="L51" s="820">
        <f t="shared" ref="L51:L58" si="1">+K51*B51</f>
        <v>9632</v>
      </c>
      <c r="N51" s="944" t="s">
        <v>785</v>
      </c>
      <c r="O51" s="943">
        <v>40</v>
      </c>
    </row>
    <row r="52" spans="1:15" ht="24.95" customHeight="1" x14ac:dyDescent="0.2">
      <c r="A52" s="859" t="s">
        <v>754</v>
      </c>
      <c r="B52" s="860">
        <v>600</v>
      </c>
      <c r="C52" s="860" t="s">
        <v>4</v>
      </c>
      <c r="D52" s="940">
        <v>329.44</v>
      </c>
      <c r="E52" s="940">
        <v>450</v>
      </c>
      <c r="F52" s="940">
        <f>233*1.16</f>
        <v>270.27999999999997</v>
      </c>
      <c r="G52" s="1026">
        <v>573</v>
      </c>
      <c r="H52" s="1026">
        <v>375</v>
      </c>
      <c r="I52" s="1026">
        <v>326</v>
      </c>
      <c r="J52" s="1026">
        <v>350</v>
      </c>
      <c r="K52" s="941">
        <f>+F52</f>
        <v>270.27999999999997</v>
      </c>
      <c r="L52" s="820">
        <f t="shared" si="1"/>
        <v>162167.99999999997</v>
      </c>
      <c r="N52" s="859" t="s">
        <v>754</v>
      </c>
      <c r="O52" s="860">
        <v>800</v>
      </c>
    </row>
    <row r="53" spans="1:15" ht="24.95" customHeight="1" x14ac:dyDescent="0.2">
      <c r="A53" s="859" t="s">
        <v>786</v>
      </c>
      <c r="B53" s="860">
        <v>3</v>
      </c>
      <c r="C53" s="860" t="s">
        <v>4</v>
      </c>
      <c r="D53" s="940">
        <v>3202.76</v>
      </c>
      <c r="E53" s="940">
        <v>3400</v>
      </c>
      <c r="F53" s="940">
        <f>1396*1.16</f>
        <v>1619.36</v>
      </c>
      <c r="G53" s="1026">
        <v>2400</v>
      </c>
      <c r="H53" s="1026">
        <v>3916</v>
      </c>
      <c r="I53" s="1026">
        <v>1506</v>
      </c>
      <c r="J53" s="1026">
        <v>1500</v>
      </c>
      <c r="K53" s="941">
        <f>+AVERAGE(F53,I53)</f>
        <v>1562.6799999999998</v>
      </c>
      <c r="L53" s="820">
        <f t="shared" si="1"/>
        <v>4688.0399999999991</v>
      </c>
      <c r="N53" s="859" t="s">
        <v>786</v>
      </c>
      <c r="O53" s="860">
        <v>3</v>
      </c>
    </row>
    <row r="54" spans="1:15" ht="24.95" customHeight="1" x14ac:dyDescent="0.2">
      <c r="A54" s="859" t="s">
        <v>887</v>
      </c>
      <c r="B54" s="860">
        <v>5</v>
      </c>
      <c r="C54" s="860" t="s">
        <v>4</v>
      </c>
      <c r="D54" s="940">
        <v>2547.36</v>
      </c>
      <c r="E54" s="940">
        <v>3100</v>
      </c>
      <c r="F54" s="940">
        <f>973*1.16</f>
        <v>1128.6799999999998</v>
      </c>
      <c r="G54" s="1026">
        <v>2500</v>
      </c>
      <c r="H54" s="1026">
        <v>2280</v>
      </c>
      <c r="I54" s="1026">
        <v>1437</v>
      </c>
      <c r="J54" s="1026">
        <v>1100</v>
      </c>
      <c r="K54" s="941">
        <f>+AVERAGE(F54,I54)</f>
        <v>1282.8399999999999</v>
      </c>
      <c r="L54" s="820">
        <f t="shared" si="1"/>
        <v>6414.2</v>
      </c>
      <c r="N54" s="859" t="s">
        <v>887</v>
      </c>
      <c r="O54" s="860">
        <v>5</v>
      </c>
    </row>
    <row r="55" spans="1:15" ht="24.95" customHeight="1" x14ac:dyDescent="0.2">
      <c r="A55" s="859" t="s">
        <v>771</v>
      </c>
      <c r="B55" s="860">
        <v>5</v>
      </c>
      <c r="C55" s="889" t="s">
        <v>4</v>
      </c>
      <c r="D55" s="940">
        <v>1061.4000000000001</v>
      </c>
      <c r="E55" s="940">
        <v>1700</v>
      </c>
      <c r="F55" s="940">
        <f>741*1.16</f>
        <v>859.56</v>
      </c>
      <c r="G55" s="1026">
        <v>2000</v>
      </c>
      <c r="H55" s="1026">
        <v>875</v>
      </c>
      <c r="I55" s="1026">
        <v>826</v>
      </c>
      <c r="J55" s="1026">
        <v>800</v>
      </c>
      <c r="K55" s="941">
        <f>+AVERAGE(F55,I55)</f>
        <v>842.78</v>
      </c>
      <c r="L55" s="820">
        <f t="shared" si="1"/>
        <v>4213.8999999999996</v>
      </c>
      <c r="N55" s="859" t="s">
        <v>771</v>
      </c>
      <c r="O55" s="860">
        <v>5</v>
      </c>
    </row>
    <row r="56" spans="1:15" ht="24.95" customHeight="1" x14ac:dyDescent="0.2">
      <c r="A56" s="890" t="s">
        <v>787</v>
      </c>
      <c r="B56" s="900">
        <v>5000</v>
      </c>
      <c r="C56" s="889"/>
      <c r="D56" s="940">
        <v>100</v>
      </c>
      <c r="E56" s="940">
        <v>50</v>
      </c>
      <c r="F56" s="940">
        <v>50</v>
      </c>
      <c r="G56" s="1026"/>
      <c r="H56" s="861"/>
      <c r="I56" s="861"/>
      <c r="J56" s="861"/>
      <c r="K56" s="820">
        <f>+AVERAGE(E56,H56)</f>
        <v>50</v>
      </c>
      <c r="L56" s="820">
        <f t="shared" si="1"/>
        <v>250000</v>
      </c>
      <c r="N56" s="890" t="s">
        <v>787</v>
      </c>
      <c r="O56" s="900">
        <v>8000</v>
      </c>
    </row>
    <row r="57" spans="1:15" ht="24.95" customHeight="1" x14ac:dyDescent="0.2">
      <c r="A57" s="942" t="s">
        <v>774</v>
      </c>
      <c r="B57" s="943">
        <v>1</v>
      </c>
      <c r="C57" s="943" t="str">
        <f>+VLOOKUP(A57,'[6]Papelería '!$A$2:$B$61,2,0)</f>
        <v>Unidad</v>
      </c>
      <c r="D57" s="940">
        <v>916.4</v>
      </c>
      <c r="E57" s="940">
        <v>1300</v>
      </c>
      <c r="F57" s="940">
        <f>961*1.16</f>
        <v>1114.76</v>
      </c>
      <c r="G57" s="1026">
        <v>4400</v>
      </c>
      <c r="H57" s="1026"/>
      <c r="I57" s="1026">
        <v>976</v>
      </c>
      <c r="J57" s="1026">
        <v>900</v>
      </c>
      <c r="K57" s="941">
        <f>+AVERAGE(D57,I57)</f>
        <v>946.2</v>
      </c>
      <c r="L57" s="820">
        <f t="shared" si="1"/>
        <v>946.2</v>
      </c>
      <c r="N57" s="942" t="s">
        <v>774</v>
      </c>
      <c r="O57" s="943">
        <v>1</v>
      </c>
    </row>
    <row r="58" spans="1:15" ht="24.95" customHeight="1" x14ac:dyDescent="0.2">
      <c r="A58" s="859" t="s">
        <v>785</v>
      </c>
      <c r="B58" s="860">
        <v>36</v>
      </c>
      <c r="C58" s="860" t="s">
        <v>4</v>
      </c>
      <c r="D58" s="861"/>
      <c r="E58" s="861">
        <v>145</v>
      </c>
      <c r="F58" s="861">
        <v>548</v>
      </c>
      <c r="G58" s="861"/>
      <c r="H58" s="862">
        <v>140</v>
      </c>
      <c r="I58" s="861">
        <f>600*1.03</f>
        <v>618</v>
      </c>
      <c r="J58" s="861">
        <v>150</v>
      </c>
      <c r="K58" s="820">
        <f>+AVERAGE(E58,H58)</f>
        <v>142.5</v>
      </c>
      <c r="L58" s="820">
        <f t="shared" si="1"/>
        <v>5130</v>
      </c>
      <c r="N58" s="859" t="s">
        <v>785</v>
      </c>
      <c r="O58" s="860">
        <v>36</v>
      </c>
    </row>
    <row r="59" spans="1:15" ht="24.95" customHeight="1" x14ac:dyDescent="0.2">
      <c r="A59" s="872"/>
      <c r="B59" s="873"/>
      <c r="C59" s="874"/>
      <c r="D59" s="875"/>
      <c r="E59" s="875"/>
      <c r="F59" s="875"/>
      <c r="G59" s="875"/>
      <c r="H59" s="876"/>
      <c r="I59" s="877"/>
      <c r="J59" s="877"/>
      <c r="K59" s="877"/>
      <c r="L59" s="878"/>
    </row>
    <row r="60" spans="1:15" ht="24.95" customHeight="1" x14ac:dyDescent="0.2">
      <c r="A60" s="1559" t="s">
        <v>701</v>
      </c>
      <c r="B60" s="1559"/>
      <c r="C60" s="1559"/>
      <c r="D60" s="1559"/>
      <c r="E60" s="1559"/>
      <c r="F60" s="1559"/>
      <c r="G60" s="1559"/>
      <c r="H60" s="1559"/>
      <c r="I60" s="1559"/>
      <c r="J60" s="1559"/>
      <c r="K60" s="1559"/>
      <c r="L60" s="658">
        <f>SUM(L48:L59)</f>
        <v>953763.83999999997</v>
      </c>
    </row>
  </sheetData>
  <autoFilter ref="A9:C41"/>
  <mergeCells count="16">
    <mergeCell ref="A60:K60"/>
    <mergeCell ref="A1:L1"/>
    <mergeCell ref="A2:L2"/>
    <mergeCell ref="A3:L3"/>
    <mergeCell ref="A4:L4"/>
    <mergeCell ref="A5:L5"/>
    <mergeCell ref="A7:L7"/>
    <mergeCell ref="K49:K50"/>
    <mergeCell ref="L49:L50"/>
    <mergeCell ref="A49:A50"/>
    <mergeCell ref="N49:N50"/>
    <mergeCell ref="O49:O50"/>
    <mergeCell ref="B49:B50"/>
    <mergeCell ref="C49:C50"/>
    <mergeCell ref="H49:H50"/>
    <mergeCell ref="I49:I50"/>
  </mergeCells>
  <printOptions horizontalCentered="1"/>
  <pageMargins left="0.31496062992125984" right="0.11811023622047245" top="0.55118110236220474" bottom="0.55118110236220474" header="0.31496062992125984" footer="0.31496062992125984"/>
  <pageSetup scale="73" orientation="landscape" horizontalDpi="4294967295" verticalDpi="4294967295"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J18"/>
  <sheetViews>
    <sheetView showGridLines="0" zoomScaleNormal="100" workbookViewId="0">
      <selection activeCell="A5" sqref="A5:H5"/>
    </sheetView>
  </sheetViews>
  <sheetFormatPr baseColWidth="10" defaultColWidth="11.375" defaultRowHeight="12.75" x14ac:dyDescent="0.2"/>
  <cols>
    <col min="1" max="1" width="27.75" style="652" customWidth="1"/>
    <col min="2" max="2" width="11.875" style="652" customWidth="1"/>
    <col min="3" max="4" width="10.75" style="652" customWidth="1"/>
    <col min="5" max="7" width="12.375" style="652" customWidth="1"/>
    <col min="8" max="8" width="15.25" style="652" customWidth="1"/>
    <col min="9" max="9" width="22.125" style="652" bestFit="1" customWidth="1"/>
    <col min="10" max="10" width="21.25" style="652" customWidth="1"/>
    <col min="11" max="11" width="16.375" style="652" bestFit="1" customWidth="1"/>
    <col min="12" max="12" width="16.375" style="652" customWidth="1"/>
    <col min="13" max="13" width="21.625" style="652" bestFit="1" customWidth="1"/>
    <col min="14" max="14" width="18.625" style="652" customWidth="1"/>
    <col min="15" max="16384" width="11.375" style="652"/>
  </cols>
  <sheetData>
    <row r="1" spans="1:10" x14ac:dyDescent="0.2">
      <c r="A1" s="1514" t="s">
        <v>617</v>
      </c>
      <c r="B1" s="1514"/>
      <c r="C1" s="1514"/>
      <c r="D1" s="1514"/>
      <c r="E1" s="1514"/>
      <c r="F1" s="1514"/>
      <c r="G1" s="1514"/>
      <c r="H1" s="1514"/>
    </row>
    <row r="2" spans="1:10" ht="12.75" customHeight="1" x14ac:dyDescent="0.2">
      <c r="A2" s="1515" t="s">
        <v>673</v>
      </c>
      <c r="B2" s="1515"/>
      <c r="C2" s="1515"/>
      <c r="D2" s="1515"/>
      <c r="E2" s="1515"/>
      <c r="F2" s="1515"/>
      <c r="G2" s="1515"/>
      <c r="H2" s="1515"/>
    </row>
    <row r="3" spans="1:10" ht="12.75" customHeight="1" x14ac:dyDescent="0.2">
      <c r="A3" s="1516" t="s">
        <v>658</v>
      </c>
      <c r="B3" s="1516"/>
      <c r="C3" s="1516"/>
      <c r="D3" s="1516"/>
      <c r="E3" s="1516"/>
      <c r="F3" s="1516"/>
      <c r="G3" s="1516"/>
      <c r="H3" s="1516"/>
    </row>
    <row r="4" spans="1:10" x14ac:dyDescent="0.2">
      <c r="A4" s="1517"/>
      <c r="B4" s="1517"/>
      <c r="C4" s="1517"/>
      <c r="D4" s="1517"/>
      <c r="E4" s="1517"/>
      <c r="F4" s="825"/>
      <c r="G4" s="825"/>
    </row>
    <row r="5" spans="1:10" ht="29.25" customHeight="1" x14ac:dyDescent="0.2">
      <c r="A5" s="1550" t="s">
        <v>679</v>
      </c>
      <c r="B5" s="1551"/>
      <c r="C5" s="1551"/>
      <c r="D5" s="1551"/>
      <c r="E5" s="1551"/>
      <c r="F5" s="1551"/>
      <c r="G5" s="1551"/>
      <c r="H5" s="1552"/>
    </row>
    <row r="6" spans="1:10" ht="33" customHeight="1" x14ac:dyDescent="0.2">
      <c r="A6" s="798" t="s">
        <v>71</v>
      </c>
      <c r="B6" s="798" t="s">
        <v>790</v>
      </c>
      <c r="C6" s="799" t="s">
        <v>674</v>
      </c>
      <c r="D6" s="799" t="s">
        <v>896</v>
      </c>
      <c r="E6" s="799" t="s">
        <v>897</v>
      </c>
      <c r="F6" s="799" t="s">
        <v>898</v>
      </c>
      <c r="G6" s="799" t="s">
        <v>899</v>
      </c>
      <c r="H6" s="799" t="s">
        <v>623</v>
      </c>
    </row>
    <row r="7" spans="1:10" ht="58.15" customHeight="1" x14ac:dyDescent="0.2">
      <c r="A7" s="654" t="s">
        <v>789</v>
      </c>
      <c r="B7" s="891" t="s">
        <v>791</v>
      </c>
      <c r="C7" s="800">
        <v>0</v>
      </c>
      <c r="D7" s="801">
        <v>2970</v>
      </c>
      <c r="E7" s="802">
        <v>3000</v>
      </c>
      <c r="F7" s="802">
        <v>3097</v>
      </c>
      <c r="G7" s="802">
        <f>+D7</f>
        <v>2970</v>
      </c>
      <c r="H7" s="803">
        <f>+C7*G7</f>
        <v>0</v>
      </c>
      <c r="I7" s="804"/>
      <c r="J7" s="805"/>
    </row>
    <row r="8" spans="1:10" ht="20.100000000000001" customHeight="1" x14ac:dyDescent="0.2">
      <c r="A8" s="1548" t="s">
        <v>561</v>
      </c>
      <c r="B8" s="1549"/>
      <c r="C8" s="1549"/>
      <c r="D8" s="1564"/>
      <c r="E8" s="806"/>
      <c r="F8" s="806"/>
      <c r="G8" s="806"/>
      <c r="H8" s="807">
        <f>+SUM(H7:H7)</f>
        <v>0</v>
      </c>
    </row>
    <row r="10" spans="1:10" ht="16.5" customHeight="1" x14ac:dyDescent="0.2">
      <c r="A10" s="652" t="s">
        <v>296</v>
      </c>
      <c r="C10" s="1513" t="str">
        <f>+'Consolidado '!A13</f>
        <v>SEPTIEMBRE DE 2019</v>
      </c>
      <c r="D10" s="1513"/>
      <c r="I10" s="983"/>
    </row>
    <row r="12" spans="1:10" hidden="1" x14ac:dyDescent="0.2">
      <c r="I12" s="983"/>
    </row>
    <row r="13" spans="1:10" hidden="1" x14ac:dyDescent="0.2"/>
    <row r="14" spans="1:10" hidden="1" x14ac:dyDescent="0.2">
      <c r="C14" s="652">
        <f>+C15</f>
        <v>375640</v>
      </c>
    </row>
    <row r="15" spans="1:10" hidden="1" x14ac:dyDescent="0.2">
      <c r="C15" s="652">
        <f>370000+D15</f>
        <v>375640</v>
      </c>
      <c r="D15" s="652">
        <v>5640</v>
      </c>
      <c r="H15" s="652">
        <f>+C7*120</f>
        <v>0</v>
      </c>
    </row>
    <row r="16" spans="1:10" hidden="1" x14ac:dyDescent="0.2"/>
    <row r="17" spans="4:4" hidden="1" x14ac:dyDescent="0.2">
      <c r="D17" s="652">
        <f>+D15/30</f>
        <v>188</v>
      </c>
    </row>
    <row r="18" spans="4:4" hidden="1" x14ac:dyDescent="0.2">
      <c r="D18" s="652">
        <f>184*30</f>
        <v>5520</v>
      </c>
    </row>
  </sheetData>
  <mergeCells count="7">
    <mergeCell ref="C10:D10"/>
    <mergeCell ref="A1:H1"/>
    <mergeCell ref="A2:H2"/>
    <mergeCell ref="A3:H3"/>
    <mergeCell ref="A4:E4"/>
    <mergeCell ref="A5:H5"/>
    <mergeCell ref="A8:D8"/>
  </mergeCells>
  <printOptions horizontalCentered="1"/>
  <pageMargins left="0.70866141732283472" right="0.70866141732283472" top="0.74803149606299213" bottom="0.74803149606299213" header="0.31496062992125984" footer="0.31496062992125984"/>
  <pageSetup orientation="landscape" horizontalDpi="4294967295" verticalDpi="4294967295"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73"/>
  <sheetViews>
    <sheetView showGridLines="0" topLeftCell="A11" zoomScaleNormal="100" workbookViewId="0">
      <selection activeCell="J23" sqref="J23"/>
    </sheetView>
  </sheetViews>
  <sheetFormatPr baseColWidth="10" defaultColWidth="11.375" defaultRowHeight="12.75" x14ac:dyDescent="0.2"/>
  <cols>
    <col min="1" max="1" width="34.625" style="774" customWidth="1"/>
    <col min="2" max="2" width="13.125" style="774" customWidth="1"/>
    <col min="3" max="3" width="11.625" style="774" customWidth="1"/>
    <col min="4" max="4" width="11.125" style="774" customWidth="1"/>
    <col min="5" max="5" width="11.75" style="774" customWidth="1"/>
    <col min="6" max="6" width="11.625" style="774" customWidth="1"/>
    <col min="7" max="7" width="11.375" style="774" customWidth="1"/>
    <col min="8" max="8" width="13.25" style="774" customWidth="1"/>
    <col min="9" max="9" width="5.375" style="774" customWidth="1"/>
    <col min="10" max="10" width="12.75" style="774" customWidth="1"/>
    <col min="11" max="16384" width="11.375" style="774"/>
  </cols>
  <sheetData>
    <row r="1" spans="1:13" x14ac:dyDescent="0.2">
      <c r="A1" s="1527" t="s">
        <v>617</v>
      </c>
      <c r="B1" s="1527"/>
      <c r="C1" s="1527"/>
      <c r="D1" s="1527"/>
      <c r="E1" s="1527"/>
      <c r="F1" s="1527"/>
      <c r="G1" s="1527"/>
      <c r="H1" s="1527"/>
    </row>
    <row r="2" spans="1:13" x14ac:dyDescent="0.2">
      <c r="A2" s="1527" t="s">
        <v>657</v>
      </c>
      <c r="B2" s="1527"/>
      <c r="C2" s="1527"/>
      <c r="D2" s="1527"/>
      <c r="E2" s="1527"/>
      <c r="F2" s="1527"/>
      <c r="G2" s="1527"/>
      <c r="H2" s="1527"/>
    </row>
    <row r="3" spans="1:13" x14ac:dyDescent="0.2">
      <c r="A3" s="1527" t="s">
        <v>658</v>
      </c>
      <c r="B3" s="1527"/>
      <c r="C3" s="1527"/>
      <c r="D3" s="1527"/>
      <c r="E3" s="1527"/>
      <c r="F3" s="1527"/>
      <c r="G3" s="1527"/>
      <c r="H3" s="1527"/>
    </row>
    <row r="4" spans="1:13" ht="15.75" customHeight="1" x14ac:dyDescent="0.2">
      <c r="A4" s="1528" t="s">
        <v>291</v>
      </c>
      <c r="B4" s="1528"/>
      <c r="C4" s="1528"/>
      <c r="D4" s="1528"/>
      <c r="E4" s="1528"/>
      <c r="F4" s="1528"/>
      <c r="G4" s="1528"/>
      <c r="H4" s="1528"/>
    </row>
    <row r="5" spans="1:13" ht="4.5" customHeight="1" x14ac:dyDescent="0.2">
      <c r="A5" s="775"/>
      <c r="B5" s="775"/>
      <c r="C5" s="775"/>
      <c r="D5" s="775"/>
      <c r="E5" s="775"/>
      <c r="F5" s="775"/>
      <c r="G5" s="775"/>
    </row>
    <row r="6" spans="1:13" ht="21" customHeight="1" x14ac:dyDescent="0.2">
      <c r="A6" s="1529" t="s">
        <v>871</v>
      </c>
      <c r="B6" s="1530"/>
      <c r="C6" s="1530"/>
      <c r="D6" s="1530"/>
      <c r="E6" s="1530"/>
      <c r="F6" s="1530"/>
      <c r="G6" s="1530"/>
      <c r="H6" s="1531"/>
      <c r="I6" s="776"/>
    </row>
    <row r="7" spans="1:13" ht="17.25" customHeight="1" x14ac:dyDescent="0.2">
      <c r="A7" s="777"/>
      <c r="B7" s="777"/>
      <c r="C7" s="778"/>
      <c r="D7" s="778"/>
      <c r="E7" s="778"/>
      <c r="F7" s="779"/>
      <c r="I7" s="780"/>
    </row>
    <row r="8" spans="1:13" ht="39" customHeight="1" x14ac:dyDescent="0.2">
      <c r="A8" s="923" t="s">
        <v>278</v>
      </c>
      <c r="B8" s="923" t="s">
        <v>133</v>
      </c>
      <c r="C8" s="782" t="s">
        <v>808</v>
      </c>
      <c r="D8" s="782" t="s">
        <v>807</v>
      </c>
      <c r="E8" s="782" t="s">
        <v>803</v>
      </c>
      <c r="F8" s="782" t="s">
        <v>872</v>
      </c>
      <c r="G8" s="782" t="s">
        <v>688</v>
      </c>
      <c r="H8" s="782" t="s">
        <v>100</v>
      </c>
      <c r="J8" s="784"/>
      <c r="K8" s="784"/>
    </row>
    <row r="9" spans="1:13" ht="33.75" customHeight="1" x14ac:dyDescent="0.2">
      <c r="A9" s="785" t="s">
        <v>881</v>
      </c>
      <c r="B9" s="1024">
        <v>1</v>
      </c>
      <c r="C9" s="1025">
        <v>6254000</v>
      </c>
      <c r="D9" s="1025">
        <v>6000000</v>
      </c>
      <c r="E9" s="1025">
        <v>7000000</v>
      </c>
      <c r="F9" s="993">
        <f>+AVERAGE(C9:D9)</f>
        <v>6127000</v>
      </c>
      <c r="G9" s="928">
        <f>+ROUND('Consolidado '!$B$8,0)</f>
        <v>1</v>
      </c>
      <c r="H9" s="929">
        <v>0</v>
      </c>
      <c r="J9" s="930">
        <v>500</v>
      </c>
      <c r="K9" s="784"/>
      <c r="M9" s="774" t="s">
        <v>2</v>
      </c>
    </row>
    <row r="10" spans="1:13" ht="23.25" customHeight="1" x14ac:dyDescent="0.2">
      <c r="A10" s="1565" t="s">
        <v>873</v>
      </c>
      <c r="B10" s="931"/>
      <c r="C10" s="782" t="s">
        <v>928</v>
      </c>
      <c r="D10" s="782" t="s">
        <v>807</v>
      </c>
      <c r="E10" s="782" t="s">
        <v>803</v>
      </c>
      <c r="F10" s="1569">
        <f>+AVERAGE(C11,E11)</f>
        <v>800000</v>
      </c>
      <c r="G10" s="1555">
        <f>+G9</f>
        <v>1</v>
      </c>
      <c r="H10" s="1571">
        <f>+F10*G10</f>
        <v>800000</v>
      </c>
      <c r="J10" s="784"/>
      <c r="K10" s="784"/>
    </row>
    <row r="11" spans="1:13" ht="27.75" customHeight="1" x14ac:dyDescent="0.2">
      <c r="A11" s="1566"/>
      <c r="B11" s="927">
        <v>1</v>
      </c>
      <c r="C11" s="1025">
        <v>800000</v>
      </c>
      <c r="D11" s="1025">
        <v>800000</v>
      </c>
      <c r="E11" s="1025">
        <v>800000</v>
      </c>
      <c r="F11" s="1570"/>
      <c r="G11" s="1556"/>
      <c r="H11" s="1572"/>
      <c r="J11" s="784"/>
      <c r="K11" s="784"/>
    </row>
    <row r="12" spans="1:13" ht="27.75" customHeight="1" x14ac:dyDescent="0.2">
      <c r="A12" s="1565" t="s">
        <v>874</v>
      </c>
      <c r="B12" s="1567">
        <v>13</v>
      </c>
      <c r="C12" s="782" t="s">
        <v>893</v>
      </c>
      <c r="D12" s="782" t="s">
        <v>889</v>
      </c>
      <c r="E12" s="782" t="s">
        <v>890</v>
      </c>
      <c r="F12" s="1569" t="e">
        <f>+AVERAGE(D13:E13)</f>
        <v>#REF!</v>
      </c>
      <c r="G12" s="1555">
        <f>+G10</f>
        <v>1</v>
      </c>
      <c r="H12" s="1569" t="e">
        <f>+B12*G12*F12</f>
        <v>#REF!</v>
      </c>
      <c r="J12" s="784"/>
      <c r="K12" s="784"/>
    </row>
    <row r="13" spans="1:13" ht="27.75" customHeight="1" x14ac:dyDescent="0.2">
      <c r="A13" s="1566"/>
      <c r="B13" s="1568"/>
      <c r="C13" s="1030" t="e">
        <f>300000*(1+#REF!)</f>
        <v>#REF!</v>
      </c>
      <c r="D13" s="1030" t="e">
        <f>120000*(1+#REF!)</f>
        <v>#REF!</v>
      </c>
      <c r="E13" s="1030" t="e">
        <f>130000*(1+#REF!)</f>
        <v>#REF!</v>
      </c>
      <c r="F13" s="1570"/>
      <c r="G13" s="1556"/>
      <c r="H13" s="1570"/>
      <c r="J13" s="784"/>
      <c r="K13" s="784"/>
    </row>
    <row r="14" spans="1:13" ht="27.75" customHeight="1" x14ac:dyDescent="0.2">
      <c r="A14" s="1565" t="s">
        <v>875</v>
      </c>
      <c r="B14" s="1567">
        <v>1</v>
      </c>
      <c r="C14" s="782" t="s">
        <v>876</v>
      </c>
      <c r="D14" s="782" t="s">
        <v>877</v>
      </c>
      <c r="E14" s="782" t="s">
        <v>880</v>
      </c>
      <c r="F14" s="1569">
        <f>+C15</f>
        <v>75284</v>
      </c>
      <c r="G14" s="1555">
        <f>+G10</f>
        <v>1</v>
      </c>
      <c r="H14" s="1569">
        <f>+F14*G14*B14</f>
        <v>75284</v>
      </c>
      <c r="J14" s="784"/>
      <c r="K14" s="784"/>
    </row>
    <row r="15" spans="1:13" ht="27.75" customHeight="1" x14ac:dyDescent="0.2">
      <c r="A15" s="1566"/>
      <c r="B15" s="1568"/>
      <c r="C15" s="934">
        <v>75284</v>
      </c>
      <c r="D15" s="932">
        <v>62000</v>
      </c>
      <c r="E15" s="932">
        <v>61350</v>
      </c>
      <c r="F15" s="1570"/>
      <c r="G15" s="1556"/>
      <c r="H15" s="1570"/>
      <c r="J15" s="930"/>
      <c r="K15" s="784"/>
    </row>
    <row r="16" spans="1:13" ht="27.75" customHeight="1" x14ac:dyDescent="0.2">
      <c r="A16" s="933" t="s">
        <v>878</v>
      </c>
      <c r="B16" s="931">
        <v>1</v>
      </c>
      <c r="C16" s="934">
        <v>54520</v>
      </c>
      <c r="D16" s="1029" t="e">
        <f>83889*(1+#REF!)</f>
        <v>#REF!</v>
      </c>
      <c r="E16" s="1029" t="e">
        <f>53916*(1+#REF!)</f>
        <v>#REF!</v>
      </c>
      <c r="F16" s="934" t="e">
        <f>+AVERAGE(C16,E16)</f>
        <v>#REF!</v>
      </c>
      <c r="G16" s="928">
        <f>+G14</f>
        <v>1</v>
      </c>
      <c r="H16" s="932" t="e">
        <f>+F16*G16*B16</f>
        <v>#REF!</v>
      </c>
      <c r="J16" s="784"/>
      <c r="K16" s="784"/>
    </row>
    <row r="17" spans="1:11" ht="27.75" customHeight="1" x14ac:dyDescent="0.2">
      <c r="A17" s="1565" t="s">
        <v>927</v>
      </c>
      <c r="B17" s="1567">
        <v>2</v>
      </c>
      <c r="C17" s="782" t="s">
        <v>879</v>
      </c>
      <c r="D17" s="782" t="s">
        <v>880</v>
      </c>
      <c r="E17" s="782" t="s">
        <v>877</v>
      </c>
      <c r="F17" s="1569">
        <f>+C18</f>
        <v>71900</v>
      </c>
      <c r="G17" s="1555">
        <f>+G16</f>
        <v>1</v>
      </c>
      <c r="H17" s="1569">
        <f>+F17*G17*B17</f>
        <v>143800</v>
      </c>
      <c r="J17" s="784"/>
      <c r="K17" s="784"/>
    </row>
    <row r="18" spans="1:11" ht="27.75" customHeight="1" x14ac:dyDescent="0.2">
      <c r="A18" s="1566"/>
      <c r="B18" s="1568"/>
      <c r="C18" s="934">
        <v>71900</v>
      </c>
      <c r="D18" s="934">
        <v>94500</v>
      </c>
      <c r="E18" s="934">
        <v>134900</v>
      </c>
      <c r="F18" s="1570"/>
      <c r="G18" s="1556"/>
      <c r="H18" s="1570"/>
      <c r="J18" s="784"/>
      <c r="K18" s="784"/>
    </row>
    <row r="19" spans="1:11" ht="38.25" customHeight="1" x14ac:dyDescent="0.2">
      <c r="A19" s="935" t="s">
        <v>806</v>
      </c>
      <c r="B19" s="891">
        <v>1</v>
      </c>
      <c r="C19" s="891"/>
      <c r="D19" s="936"/>
      <c r="E19" s="657"/>
      <c r="F19" s="820">
        <v>1200000</v>
      </c>
      <c r="G19" s="937">
        <f>+G10</f>
        <v>1</v>
      </c>
      <c r="H19" s="1031">
        <f>+F19*G19</f>
        <v>1200000</v>
      </c>
      <c r="J19" s="784"/>
      <c r="K19" s="784"/>
    </row>
    <row r="20" spans="1:11" ht="13.5" customHeight="1" x14ac:dyDescent="0.2">
      <c r="A20" s="787"/>
      <c r="B20" s="789"/>
      <c r="C20" s="938"/>
      <c r="D20" s="938"/>
      <c r="E20" s="938"/>
      <c r="F20" s="790"/>
      <c r="G20" s="790"/>
      <c r="H20" s="790"/>
    </row>
    <row r="21" spans="1:11" ht="21" customHeight="1" x14ac:dyDescent="0.2">
      <c r="A21" s="1524" t="s">
        <v>297</v>
      </c>
      <c r="B21" s="1525"/>
      <c r="C21" s="1525"/>
      <c r="D21" s="1525"/>
      <c r="E21" s="1525"/>
      <c r="F21" s="1525"/>
      <c r="G21" s="1526"/>
      <c r="H21" s="791" t="e">
        <f>SUM(H9:H20)</f>
        <v>#REF!</v>
      </c>
      <c r="J21" s="784"/>
    </row>
    <row r="23" spans="1:11" x14ac:dyDescent="0.2">
      <c r="F23" s="792"/>
      <c r="G23" s="793"/>
      <c r="H23" s="794"/>
    </row>
    <row r="24" spans="1:11" x14ac:dyDescent="0.2">
      <c r="F24" s="792"/>
      <c r="G24" s="793"/>
      <c r="H24" s="794"/>
    </row>
    <row r="25" spans="1:11" x14ac:dyDescent="0.2">
      <c r="F25" s="792"/>
      <c r="G25" s="793"/>
      <c r="H25" s="794"/>
    </row>
    <row r="26" spans="1:11" x14ac:dyDescent="0.2">
      <c r="F26" s="792"/>
      <c r="G26" s="793"/>
      <c r="H26" s="794"/>
    </row>
    <row r="27" spans="1:11" x14ac:dyDescent="0.2">
      <c r="F27" s="792"/>
      <c r="G27" s="793"/>
      <c r="H27" s="794"/>
    </row>
    <row r="28" spans="1:11" x14ac:dyDescent="0.2">
      <c r="F28" s="792"/>
      <c r="G28" s="793"/>
      <c r="H28" s="794"/>
    </row>
    <row r="29" spans="1:11" x14ac:dyDescent="0.2">
      <c r="F29" s="792"/>
      <c r="G29" s="793"/>
      <c r="H29" s="794"/>
    </row>
    <row r="30" spans="1:11" x14ac:dyDescent="0.2">
      <c r="F30" s="792"/>
      <c r="G30" s="793"/>
      <c r="H30" s="794"/>
    </row>
    <row r="31" spans="1:11" x14ac:dyDescent="0.2">
      <c r="F31" s="792"/>
      <c r="G31" s="793"/>
      <c r="H31" s="794"/>
    </row>
    <row r="32" spans="1:11" x14ac:dyDescent="0.2">
      <c r="F32" s="792"/>
      <c r="G32" s="793"/>
      <c r="H32" s="794"/>
    </row>
    <row r="33" spans="3:8" x14ac:dyDescent="0.2">
      <c r="F33" s="792"/>
      <c r="G33" s="793"/>
      <c r="H33" s="794"/>
    </row>
    <row r="34" spans="3:8" x14ac:dyDescent="0.2">
      <c r="F34" s="792"/>
      <c r="G34" s="793"/>
      <c r="H34" s="794"/>
    </row>
    <row r="35" spans="3:8" x14ac:dyDescent="0.2">
      <c r="F35" s="792"/>
      <c r="G35" s="793"/>
      <c r="H35" s="794"/>
    </row>
    <row r="36" spans="3:8" x14ac:dyDescent="0.2">
      <c r="F36" s="792"/>
      <c r="G36" s="793"/>
      <c r="H36" s="794"/>
    </row>
    <row r="37" spans="3:8" x14ac:dyDescent="0.2">
      <c r="F37" s="792"/>
      <c r="G37" s="793"/>
      <c r="H37" s="794"/>
    </row>
    <row r="38" spans="3:8" x14ac:dyDescent="0.2">
      <c r="F38" s="792"/>
      <c r="G38" s="793"/>
      <c r="H38" s="794"/>
    </row>
    <row r="39" spans="3:8" x14ac:dyDescent="0.2">
      <c r="F39" s="792"/>
      <c r="G39" s="793"/>
      <c r="H39" s="794"/>
    </row>
    <row r="40" spans="3:8" x14ac:dyDescent="0.2">
      <c r="F40" s="792"/>
      <c r="G40" s="793"/>
      <c r="H40" s="794"/>
    </row>
    <row r="41" spans="3:8" x14ac:dyDescent="0.2">
      <c r="F41" s="792"/>
      <c r="G41" s="793"/>
      <c r="H41" s="794"/>
    </row>
    <row r="42" spans="3:8" x14ac:dyDescent="0.2">
      <c r="F42" s="792"/>
      <c r="G42" s="793"/>
      <c r="H42" s="794"/>
    </row>
    <row r="43" spans="3:8" x14ac:dyDescent="0.2">
      <c r="F43" s="792"/>
      <c r="G43" s="793"/>
      <c r="H43" s="794"/>
    </row>
    <row r="44" spans="3:8" x14ac:dyDescent="0.2">
      <c r="C44" s="795"/>
      <c r="D44" s="795"/>
      <c r="E44" s="795"/>
    </row>
    <row r="45" spans="3:8" x14ac:dyDescent="0.2">
      <c r="C45" s="795"/>
      <c r="D45" s="795"/>
      <c r="E45" s="795"/>
    </row>
    <row r="46" spans="3:8" x14ac:dyDescent="0.2">
      <c r="C46" s="795"/>
      <c r="D46" s="795"/>
      <c r="E46" s="795"/>
    </row>
    <row r="47" spans="3:8" x14ac:dyDescent="0.2">
      <c r="C47" s="795"/>
      <c r="D47" s="795"/>
      <c r="E47" s="795"/>
    </row>
    <row r="48" spans="3:8" x14ac:dyDescent="0.2">
      <c r="C48" s="795"/>
      <c r="D48" s="795"/>
      <c r="E48" s="795"/>
    </row>
    <row r="49" spans="3:5" x14ac:dyDescent="0.2">
      <c r="C49" s="795"/>
      <c r="D49" s="795"/>
      <c r="E49" s="795"/>
    </row>
    <row r="50" spans="3:5" x14ac:dyDescent="0.2">
      <c r="C50" s="795"/>
      <c r="D50" s="795"/>
      <c r="E50" s="795"/>
    </row>
    <row r="51" spans="3:5" x14ac:dyDescent="0.2">
      <c r="C51" s="795"/>
      <c r="D51" s="795"/>
      <c r="E51" s="795"/>
    </row>
    <row r="52" spans="3:5" x14ac:dyDescent="0.2">
      <c r="C52" s="795"/>
      <c r="D52" s="795"/>
      <c r="E52" s="795"/>
    </row>
    <row r="53" spans="3:5" x14ac:dyDescent="0.2">
      <c r="C53" s="795"/>
      <c r="D53" s="795"/>
      <c r="E53" s="795"/>
    </row>
    <row r="54" spans="3:5" x14ac:dyDescent="0.2">
      <c r="C54" s="795"/>
      <c r="D54" s="795"/>
      <c r="E54" s="795"/>
    </row>
    <row r="55" spans="3:5" x14ac:dyDescent="0.2">
      <c r="C55" s="795"/>
      <c r="D55" s="795"/>
      <c r="E55" s="795"/>
    </row>
    <row r="56" spans="3:5" x14ac:dyDescent="0.2">
      <c r="C56" s="795"/>
      <c r="D56" s="795"/>
      <c r="E56" s="795"/>
    </row>
    <row r="57" spans="3:5" x14ac:dyDescent="0.2">
      <c r="C57" s="795"/>
      <c r="D57" s="795"/>
      <c r="E57" s="795"/>
    </row>
    <row r="58" spans="3:5" x14ac:dyDescent="0.2">
      <c r="C58" s="795"/>
      <c r="D58" s="795"/>
      <c r="E58" s="795"/>
    </row>
    <row r="59" spans="3:5" x14ac:dyDescent="0.2">
      <c r="C59" s="795"/>
      <c r="D59" s="795"/>
      <c r="E59" s="795"/>
    </row>
    <row r="60" spans="3:5" x14ac:dyDescent="0.2">
      <c r="C60" s="795"/>
      <c r="D60" s="795"/>
      <c r="E60" s="795"/>
    </row>
    <row r="61" spans="3:5" x14ac:dyDescent="0.2">
      <c r="C61" s="795"/>
      <c r="D61" s="795"/>
      <c r="E61" s="795"/>
    </row>
    <row r="62" spans="3:5" x14ac:dyDescent="0.2">
      <c r="C62" s="795"/>
      <c r="D62" s="795"/>
      <c r="E62" s="795"/>
    </row>
    <row r="63" spans="3:5" x14ac:dyDescent="0.2">
      <c r="C63" s="795"/>
      <c r="D63" s="795"/>
      <c r="E63" s="795"/>
    </row>
    <row r="64" spans="3:5" x14ac:dyDescent="0.2">
      <c r="C64" s="795"/>
      <c r="D64" s="795"/>
      <c r="E64" s="795"/>
    </row>
    <row r="65" spans="3:5" x14ac:dyDescent="0.2">
      <c r="C65" s="795"/>
      <c r="D65" s="795"/>
      <c r="E65" s="795"/>
    </row>
    <row r="66" spans="3:5" x14ac:dyDescent="0.2">
      <c r="C66" s="795"/>
      <c r="D66" s="795"/>
      <c r="E66" s="795"/>
    </row>
    <row r="67" spans="3:5" x14ac:dyDescent="0.2">
      <c r="C67" s="795"/>
      <c r="D67" s="795"/>
      <c r="E67" s="795"/>
    </row>
    <row r="68" spans="3:5" x14ac:dyDescent="0.2">
      <c r="C68" s="795"/>
      <c r="D68" s="795"/>
      <c r="E68" s="795"/>
    </row>
    <row r="69" spans="3:5" x14ac:dyDescent="0.2">
      <c r="C69" s="795"/>
      <c r="D69" s="795"/>
      <c r="E69" s="795"/>
    </row>
    <row r="70" spans="3:5" x14ac:dyDescent="0.2">
      <c r="C70" s="795"/>
      <c r="D70" s="795"/>
      <c r="E70" s="795"/>
    </row>
    <row r="71" spans="3:5" x14ac:dyDescent="0.2">
      <c r="C71" s="795"/>
      <c r="D71" s="795"/>
      <c r="E71" s="795"/>
    </row>
    <row r="72" spans="3:5" x14ac:dyDescent="0.2">
      <c r="C72" s="795"/>
      <c r="D72" s="795"/>
      <c r="E72" s="795"/>
    </row>
    <row r="73" spans="3:5" x14ac:dyDescent="0.2">
      <c r="C73" s="795"/>
      <c r="D73" s="795"/>
      <c r="E73" s="795"/>
    </row>
  </sheetData>
  <mergeCells count="25">
    <mergeCell ref="A10:A11"/>
    <mergeCell ref="F10:F11"/>
    <mergeCell ref="G10:G11"/>
    <mergeCell ref="H10:H11"/>
    <mergeCell ref="A12:A13"/>
    <mergeCell ref="F12:F13"/>
    <mergeCell ref="G12:G13"/>
    <mergeCell ref="H12:H13"/>
    <mergeCell ref="B12:B13"/>
    <mergeCell ref="A1:H1"/>
    <mergeCell ref="A2:H2"/>
    <mergeCell ref="A3:H3"/>
    <mergeCell ref="A4:H4"/>
    <mergeCell ref="A6:H6"/>
    <mergeCell ref="H14:H15"/>
    <mergeCell ref="A17:A18"/>
    <mergeCell ref="B17:B18"/>
    <mergeCell ref="F17:F18"/>
    <mergeCell ref="G17:G18"/>
    <mergeCell ref="H17:H18"/>
    <mergeCell ref="A21:G21"/>
    <mergeCell ref="A14:A15"/>
    <mergeCell ref="B14:B15"/>
    <mergeCell ref="F14:F15"/>
    <mergeCell ref="G14:G15"/>
  </mergeCells>
  <pageMargins left="0.7" right="0.7" top="0.75" bottom="0.75" header="0.3" footer="0.3"/>
  <pageSetup orientation="portrait" horizontalDpi="0" verticalDpi="0"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2"/>
  <sheetViews>
    <sheetView showGridLines="0" topLeftCell="A4" zoomScaleNormal="100" workbookViewId="0">
      <selection activeCell="I8" sqref="I8"/>
    </sheetView>
  </sheetViews>
  <sheetFormatPr baseColWidth="10" defaultColWidth="11.375" defaultRowHeight="12.75" x14ac:dyDescent="0.2"/>
  <cols>
    <col min="1" max="1" width="26.125" style="652" customWidth="1"/>
    <col min="2" max="2" width="13.75" style="652" customWidth="1"/>
    <col min="3" max="4" width="10.75" style="652" customWidth="1"/>
    <col min="5" max="5" width="12.25" style="652" customWidth="1"/>
    <col min="6" max="6" width="12.625" style="652" customWidth="1"/>
    <col min="7" max="7" width="12.375" style="652" customWidth="1"/>
    <col min="8" max="8" width="9.625" style="652" customWidth="1"/>
    <col min="9" max="9" width="15.125" style="652" customWidth="1"/>
    <col min="10" max="10" width="22.125" style="652" bestFit="1" customWidth="1"/>
    <col min="11" max="11" width="21.25" style="652" customWidth="1"/>
    <col min="12" max="12" width="16.375" style="652" bestFit="1" customWidth="1"/>
    <col min="13" max="13" width="16.375" style="652" customWidth="1"/>
    <col min="14" max="14" width="21.625" style="652" bestFit="1" customWidth="1"/>
    <col min="15" max="15" width="18.625" style="652" customWidth="1"/>
    <col min="16" max="16384" width="11.375" style="652"/>
  </cols>
  <sheetData>
    <row r="1" spans="1:11" x14ac:dyDescent="0.2">
      <c r="A1" s="1514" t="s">
        <v>617</v>
      </c>
      <c r="B1" s="1514"/>
      <c r="C1" s="1514"/>
      <c r="D1" s="1514"/>
      <c r="E1" s="1514"/>
      <c r="F1" s="1514"/>
      <c r="G1" s="1514"/>
      <c r="H1" s="1514"/>
      <c r="I1" s="1514"/>
    </row>
    <row r="2" spans="1:11" ht="12.75" customHeight="1" x14ac:dyDescent="0.2">
      <c r="A2" s="1515" t="s">
        <v>673</v>
      </c>
      <c r="B2" s="1515"/>
      <c r="C2" s="1515"/>
      <c r="D2" s="1515"/>
      <c r="E2" s="1515"/>
      <c r="F2" s="1515"/>
      <c r="G2" s="1515"/>
      <c r="H2" s="1515"/>
      <c r="I2" s="1515"/>
    </row>
    <row r="3" spans="1:11" ht="12.75" customHeight="1" x14ac:dyDescent="0.2">
      <c r="A3" s="1516" t="s">
        <v>658</v>
      </c>
      <c r="B3" s="1516"/>
      <c r="C3" s="1516"/>
      <c r="D3" s="1516"/>
      <c r="E3" s="1516"/>
      <c r="F3" s="1516"/>
      <c r="G3" s="1516"/>
      <c r="H3" s="1516"/>
      <c r="I3" s="1516"/>
    </row>
    <row r="4" spans="1:11" x14ac:dyDescent="0.2">
      <c r="A4" s="1517"/>
      <c r="B4" s="1517"/>
      <c r="C4" s="1517"/>
      <c r="D4" s="1517"/>
      <c r="E4" s="1517"/>
      <c r="F4" s="1517"/>
      <c r="G4" s="825"/>
      <c r="H4" s="825"/>
    </row>
    <row r="5" spans="1:11" ht="29.25" customHeight="1" x14ac:dyDescent="0.2">
      <c r="A5" s="1550" t="s">
        <v>801</v>
      </c>
      <c r="B5" s="1551"/>
      <c r="C5" s="1551"/>
      <c r="D5" s="1551"/>
      <c r="E5" s="1551"/>
      <c r="F5" s="1551"/>
      <c r="G5" s="1551"/>
      <c r="H5" s="1551"/>
      <c r="I5" s="1552"/>
    </row>
    <row r="6" spans="1:11" ht="33" customHeight="1" x14ac:dyDescent="0.2">
      <c r="A6" s="798" t="s">
        <v>71</v>
      </c>
      <c r="B6" s="798" t="s">
        <v>803</v>
      </c>
      <c r="C6" s="799" t="s">
        <v>804</v>
      </c>
      <c r="D6" s="799" t="s">
        <v>809</v>
      </c>
      <c r="E6" s="799" t="s">
        <v>808</v>
      </c>
      <c r="F6" s="799" t="s">
        <v>807</v>
      </c>
      <c r="G6" s="799" t="s">
        <v>616</v>
      </c>
      <c r="H6" s="799" t="s">
        <v>688</v>
      </c>
      <c r="I6" s="799" t="s">
        <v>623</v>
      </c>
    </row>
    <row r="7" spans="1:11" ht="57.6" customHeight="1" x14ac:dyDescent="0.2">
      <c r="A7" s="654" t="s">
        <v>802</v>
      </c>
      <c r="B7" s="893">
        <v>870000</v>
      </c>
      <c r="C7" s="802">
        <v>825000</v>
      </c>
      <c r="D7" s="802">
        <v>900000</v>
      </c>
      <c r="E7" s="802"/>
      <c r="F7" s="801"/>
      <c r="G7" s="802">
        <f>+AVERAGE(B7:F7)*1.0251</f>
        <v>886711.49999999988</v>
      </c>
      <c r="H7" s="897">
        <f>+'Consolidado '!B8</f>
        <v>1</v>
      </c>
      <c r="I7" s="803">
        <f>+G7*H7</f>
        <v>886711.49999999988</v>
      </c>
      <c r="J7" s="804"/>
      <c r="K7" s="805"/>
    </row>
    <row r="8" spans="1:11" ht="54.6" customHeight="1" x14ac:dyDescent="0.2">
      <c r="A8" s="654" t="s">
        <v>805</v>
      </c>
      <c r="B8" s="893">
        <v>10000000</v>
      </c>
      <c r="C8" s="802"/>
      <c r="D8" s="802"/>
      <c r="E8" s="802">
        <v>10000000</v>
      </c>
      <c r="F8" s="801">
        <v>9000000</v>
      </c>
      <c r="G8" s="802">
        <f>+AVERAGE(B8:F8)*1.0251</f>
        <v>9909299.9999999981</v>
      </c>
      <c r="H8" s="897">
        <f>+H7</f>
        <v>1</v>
      </c>
      <c r="I8" s="803">
        <f>+G8*H8</f>
        <v>9909299.9999999981</v>
      </c>
      <c r="J8" s="804"/>
      <c r="K8" s="805"/>
    </row>
    <row r="9" spans="1:11" ht="37.15" customHeight="1" x14ac:dyDescent="0.2">
      <c r="A9" s="894" t="s">
        <v>806</v>
      </c>
      <c r="B9" s="895"/>
      <c r="C9" s="896"/>
      <c r="D9" s="896"/>
      <c r="E9" s="896"/>
      <c r="F9" s="811"/>
      <c r="G9" s="898">
        <f>1191493.625*1.0251</f>
        <v>1221400.1149874998</v>
      </c>
      <c r="H9" s="897">
        <f>+H8</f>
        <v>1</v>
      </c>
      <c r="I9" s="803">
        <f>+G9*H9</f>
        <v>1221400.1149874998</v>
      </c>
      <c r="J9" s="804"/>
      <c r="K9" s="805"/>
    </row>
    <row r="10" spans="1:11" ht="20.100000000000001" customHeight="1" x14ac:dyDescent="0.2">
      <c r="A10" s="1548" t="s">
        <v>561</v>
      </c>
      <c r="B10" s="1549"/>
      <c r="C10" s="1549"/>
      <c r="D10" s="1549"/>
      <c r="E10" s="1549"/>
      <c r="F10" s="1564"/>
      <c r="G10" s="806"/>
      <c r="H10" s="806"/>
      <c r="I10" s="807">
        <f>SUM(I7:I9)</f>
        <v>12017411.614987498</v>
      </c>
    </row>
    <row r="12" spans="1:11" ht="16.5" customHeight="1" x14ac:dyDescent="0.2">
      <c r="A12" s="652" t="s">
        <v>296</v>
      </c>
      <c r="C12" s="1513" t="str">
        <f>+'Consolidado '!A13</f>
        <v>SEPTIEMBRE DE 2019</v>
      </c>
      <c r="D12" s="1513"/>
      <c r="E12" s="1513"/>
      <c r="F12" s="1513"/>
    </row>
  </sheetData>
  <mergeCells count="7">
    <mergeCell ref="C12:F12"/>
    <mergeCell ref="A1:I1"/>
    <mergeCell ref="A2:I2"/>
    <mergeCell ref="A3:I3"/>
    <mergeCell ref="A4:F4"/>
    <mergeCell ref="A5:I5"/>
    <mergeCell ref="A10:F10"/>
  </mergeCells>
  <pageMargins left="0.7" right="0.7" top="0.75" bottom="0.75" header="0.3" footer="0.3"/>
  <pageSetup scale="99" orientation="landscape" horizontalDpi="4294967295" verticalDpi="4294967295"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227"/>
  <sheetViews>
    <sheetView showGridLines="0" topLeftCell="A200" workbookViewId="0">
      <selection activeCell="A230" sqref="A230"/>
    </sheetView>
  </sheetViews>
  <sheetFormatPr baseColWidth="10" defaultRowHeight="15" x14ac:dyDescent="0.25"/>
  <cols>
    <col min="1" max="1" width="28" bestFit="1" customWidth="1"/>
    <col min="2" max="2" width="13" customWidth="1"/>
    <col min="3" max="3" width="16.625" customWidth="1"/>
    <col min="4" max="4" width="14.375" customWidth="1"/>
    <col min="5" max="5" width="15.125" customWidth="1"/>
    <col min="6" max="6" width="14.625" customWidth="1"/>
    <col min="7" max="7" width="14.125" customWidth="1"/>
    <col min="8" max="8" width="14.875" customWidth="1"/>
    <col min="9" max="9" width="17.375" style="641" customWidth="1"/>
    <col min="10" max="10" width="0" hidden="1" customWidth="1"/>
  </cols>
  <sheetData>
    <row r="2" spans="1:10" ht="18.75" x14ac:dyDescent="0.3">
      <c r="A2" s="1573" t="s">
        <v>611</v>
      </c>
      <c r="B2" s="1573"/>
      <c r="C2" s="1573"/>
      <c r="D2" s="1573"/>
      <c r="E2" s="1573"/>
      <c r="F2" s="1573"/>
      <c r="G2" s="1573"/>
      <c r="H2" s="1573"/>
      <c r="I2" s="1573"/>
      <c r="J2" s="1573"/>
    </row>
    <row r="3" spans="1:10" ht="15.75" customHeight="1" x14ac:dyDescent="0.25">
      <c r="A3" s="643"/>
      <c r="B3" s="643"/>
      <c r="C3" s="643"/>
      <c r="D3" s="643"/>
      <c r="E3" s="643"/>
      <c r="F3" s="643"/>
      <c r="G3" s="643"/>
      <c r="H3" s="643"/>
      <c r="I3" s="643"/>
      <c r="J3" s="643"/>
    </row>
    <row r="4" spans="1:10" x14ac:dyDescent="0.25">
      <c r="A4" s="639"/>
      <c r="B4" s="640"/>
      <c r="C4" s="642" t="s">
        <v>601</v>
      </c>
      <c r="D4" s="642" t="s">
        <v>602</v>
      </c>
      <c r="E4" s="642" t="s">
        <v>603</v>
      </c>
      <c r="F4" s="642" t="s">
        <v>604</v>
      </c>
      <c r="G4" s="642" t="s">
        <v>605</v>
      </c>
    </row>
    <row r="5" spans="1:10" ht="15" customHeight="1" x14ac:dyDescent="0.25">
      <c r="A5" s="1574" t="s">
        <v>154</v>
      </c>
      <c r="B5" s="1574" t="s">
        <v>606</v>
      </c>
      <c r="C5" s="1574" t="s">
        <v>607</v>
      </c>
      <c r="D5" s="1574" t="s">
        <v>607</v>
      </c>
      <c r="E5" s="1574" t="s">
        <v>607</v>
      </c>
      <c r="F5" s="1574" t="s">
        <v>607</v>
      </c>
      <c r="G5" s="1574" t="s">
        <v>607</v>
      </c>
      <c r="H5" s="1574" t="s">
        <v>608</v>
      </c>
      <c r="I5" s="1576" t="s">
        <v>609</v>
      </c>
      <c r="J5" s="1576" t="s">
        <v>133</v>
      </c>
    </row>
    <row r="6" spans="1:10" ht="28.5" customHeight="1" x14ac:dyDescent="0.25">
      <c r="A6" s="1575"/>
      <c r="B6" s="1575"/>
      <c r="C6" s="1575"/>
      <c r="D6" s="1575"/>
      <c r="E6" s="1575"/>
      <c r="F6" s="1575"/>
      <c r="G6" s="1575"/>
      <c r="H6" s="1575"/>
      <c r="I6" s="1577"/>
      <c r="J6" s="1577"/>
    </row>
    <row r="7" spans="1:10" x14ac:dyDescent="0.25">
      <c r="A7" s="645" t="str">
        <f>+'[7] E.PRECIOS'!A6</f>
        <v>Aceite</v>
      </c>
      <c r="B7" s="645" t="str">
        <f>+'[7] E.PRECIOS'!B6</f>
        <v>Cm3</v>
      </c>
      <c r="C7" s="646">
        <f>+'[7] E.PRECIOS'!AM6</f>
        <v>0</v>
      </c>
      <c r="D7" s="646">
        <f>+'[7] E.PRECIOS'!AN6</f>
        <v>6105.333333333333</v>
      </c>
      <c r="E7" s="646">
        <f>+'[7] E.PRECIOS'!AO6</f>
        <v>6282</v>
      </c>
      <c r="F7" s="646">
        <f>+'[7] E.PRECIOS'!AP6</f>
        <v>6170</v>
      </c>
      <c r="G7" s="646">
        <f>+'[7] E.PRECIOS'!AQ6</f>
        <v>7016.666666666667</v>
      </c>
      <c r="H7" s="646">
        <f>+'[7] E.PRECIOS'!AR6</f>
        <v>6393.5</v>
      </c>
      <c r="I7" s="648">
        <f>+'[7] E.PRECIOS'!AS6</f>
        <v>6.3935000000000004</v>
      </c>
      <c r="J7" s="644">
        <f>+'[7] E.PRECIOS'!AT6</f>
        <v>0</v>
      </c>
    </row>
    <row r="8" spans="1:10" x14ac:dyDescent="0.25">
      <c r="A8" s="645" t="str">
        <f>+'[7] E.PRECIOS'!A7</f>
        <v>Acelga</v>
      </c>
      <c r="B8" s="645" t="s">
        <v>610</v>
      </c>
      <c r="C8" s="646">
        <f>+'[7] E.PRECIOS'!AM7</f>
        <v>1000</v>
      </c>
      <c r="D8" s="646">
        <f>+'[7] E.PRECIOS'!AN7</f>
        <v>0</v>
      </c>
      <c r="E8" s="646">
        <f>+'[7] E.PRECIOS'!AO7</f>
        <v>0</v>
      </c>
      <c r="F8" s="646">
        <f>+'[7] E.PRECIOS'!AP7</f>
        <v>0</v>
      </c>
      <c r="G8" s="646">
        <f>+'[7] E.PRECIOS'!AQ7</f>
        <v>0</v>
      </c>
      <c r="H8" s="646">
        <f>+'[7] E.PRECIOS'!AR7</f>
        <v>1000</v>
      </c>
      <c r="I8" s="648">
        <f>+'[7] E.PRECIOS'!AS7</f>
        <v>1</v>
      </c>
      <c r="J8" s="644"/>
    </row>
    <row r="9" spans="1:10" x14ac:dyDescent="0.25">
      <c r="A9" s="645" t="str">
        <f>+'[7] E.PRECIOS'!A8</f>
        <v>Agua</v>
      </c>
      <c r="B9" s="645" t="str">
        <f>+'[7] E.PRECIOS'!B8</f>
        <v>Cm3</v>
      </c>
      <c r="C9" s="646">
        <f>+'[7] E.PRECIOS'!AM8</f>
        <v>0</v>
      </c>
      <c r="D9" s="646">
        <f>+'[7] E.PRECIOS'!AN8</f>
        <v>1330</v>
      </c>
      <c r="E9" s="646">
        <f>+'[7] E.PRECIOS'!AO8</f>
        <v>0</v>
      </c>
      <c r="F9" s="646">
        <f>+'[7] E.PRECIOS'!AP8</f>
        <v>4490</v>
      </c>
      <c r="G9" s="646">
        <f>+'[7] E.PRECIOS'!AQ8</f>
        <v>4440</v>
      </c>
      <c r="H9" s="646">
        <f>+'[7] E.PRECIOS'!AR8</f>
        <v>3420</v>
      </c>
      <c r="I9" s="648">
        <f>+'[7] E.PRECIOS'!AS8</f>
        <v>0.68400000000000005</v>
      </c>
      <c r="J9" s="644">
        <f>+'[7] E.PRECIOS'!AT8</f>
        <v>0</v>
      </c>
    </row>
    <row r="10" spans="1:10" x14ac:dyDescent="0.25">
      <c r="A10" s="645" t="str">
        <f>+'[7] E.PRECIOS'!A9</f>
        <v>Ahuyama</v>
      </c>
      <c r="B10" s="645" t="str">
        <f>+'[7] E.PRECIOS'!B9</f>
        <v>Kilogramo</v>
      </c>
      <c r="C10" s="646">
        <f>+'[7] E.PRECIOS'!AM9</f>
        <v>0</v>
      </c>
      <c r="D10" s="646">
        <f>+'[7] E.PRECIOS'!AN9</f>
        <v>1200</v>
      </c>
      <c r="E10" s="646">
        <f>+'[7] E.PRECIOS'!AO9</f>
        <v>1350</v>
      </c>
      <c r="F10" s="646">
        <f>+'[7] E.PRECIOS'!AP9</f>
        <v>680</v>
      </c>
      <c r="G10" s="646">
        <f>+'[7] E.PRECIOS'!AQ9</f>
        <v>580</v>
      </c>
      <c r="H10" s="646">
        <f>+'[7] E.PRECIOS'!AR9</f>
        <v>952.5</v>
      </c>
      <c r="I10" s="648">
        <f>+'[7] E.PRECIOS'!AS9</f>
        <v>0.95250000000000001</v>
      </c>
      <c r="J10" s="644">
        <f>+'[7] E.PRECIOS'!AT9</f>
        <v>0</v>
      </c>
    </row>
    <row r="11" spans="1:10" x14ac:dyDescent="0.25">
      <c r="A11" s="645" t="str">
        <f>+'[7] E.PRECIOS'!A10</f>
        <v>Ajo</v>
      </c>
      <c r="B11" s="645" t="str">
        <f>+'[7] E.PRECIOS'!B10</f>
        <v>Gramos</v>
      </c>
      <c r="C11" s="646">
        <f>+'[7] E.PRECIOS'!AM10</f>
        <v>0</v>
      </c>
      <c r="D11" s="646">
        <f>+'[7] E.PRECIOS'!AN10</f>
        <v>246</v>
      </c>
      <c r="E11" s="646">
        <f>+'[7] E.PRECIOS'!AO10</f>
        <v>400</v>
      </c>
      <c r="F11" s="646">
        <f>+'[7] E.PRECIOS'!AP10</f>
        <v>810</v>
      </c>
      <c r="G11" s="646">
        <f>+'[7] E.PRECIOS'!AQ10</f>
        <v>7933.333333333333</v>
      </c>
      <c r="H11" s="646">
        <f>+'[7] E.PRECIOS'!AR10</f>
        <v>2347.333333333333</v>
      </c>
      <c r="I11" s="648">
        <f>+'[7] E.PRECIOS'!AS10</f>
        <v>46.946666666666658</v>
      </c>
      <c r="J11" s="644">
        <f>+'[7] E.PRECIOS'!AT10</f>
        <v>0</v>
      </c>
    </row>
    <row r="12" spans="1:10" x14ac:dyDescent="0.25">
      <c r="A12" s="645" t="str">
        <f>+'[7] E.PRECIOS'!A11</f>
        <v>Almojabana</v>
      </c>
      <c r="B12" s="645" t="str">
        <f>+'[7] E.PRECIOS'!B11</f>
        <v>unidades</v>
      </c>
      <c r="C12" s="646">
        <f>+'[7] E.PRECIOS'!AM11</f>
        <v>0</v>
      </c>
      <c r="D12" s="646">
        <f>+'[7] E.PRECIOS'!AN11</f>
        <v>1272.6666666666667</v>
      </c>
      <c r="E12" s="646">
        <f>+'[7] E.PRECIOS'!AO11</f>
        <v>1178</v>
      </c>
      <c r="F12" s="646">
        <f>+'[7] E.PRECIOS'!AP11</f>
        <v>969.44444444444434</v>
      </c>
      <c r="G12" s="646">
        <f>+'[7] E.PRECIOS'!AQ11</f>
        <v>1286.6666666666667</v>
      </c>
      <c r="H12" s="646">
        <f>+'[7] E.PRECIOS'!AR11</f>
        <v>1176.6944444444446</v>
      </c>
      <c r="I12" s="648">
        <f>+'[7] E.PRECIOS'!AS11</f>
        <v>1176.6944444444446</v>
      </c>
      <c r="J12" s="644">
        <f>+'[7] E.PRECIOS'!AT11</f>
        <v>0</v>
      </c>
    </row>
    <row r="13" spans="1:10" x14ac:dyDescent="0.25">
      <c r="A13" s="645" t="str">
        <f>+'[7] E.PRECIOS'!A12</f>
        <v>Apio</v>
      </c>
      <c r="B13" s="645" t="str">
        <f>+'[7] E.PRECIOS'!B12</f>
        <v>Kilogramo</v>
      </c>
      <c r="C13" s="646">
        <f>+'[7] E.PRECIOS'!AM12</f>
        <v>800</v>
      </c>
      <c r="D13" s="646">
        <f>+'[7] E.PRECIOS'!AN12</f>
        <v>0</v>
      </c>
      <c r="E13" s="646">
        <f>+'[7] E.PRECIOS'!AO12</f>
        <v>0</v>
      </c>
      <c r="F13" s="646">
        <f>+'[7] E.PRECIOS'!AP12</f>
        <v>0</v>
      </c>
      <c r="G13" s="646">
        <f>+'[7] E.PRECIOS'!AQ12</f>
        <v>0</v>
      </c>
      <c r="H13" s="646">
        <f>+'[7] E.PRECIOS'!AR12</f>
        <v>800</v>
      </c>
      <c r="I13" s="648">
        <f>+'[7] E.PRECIOS'!AS12</f>
        <v>0.8</v>
      </c>
      <c r="J13" s="644">
        <f>+'[7] E.PRECIOS'!AT12</f>
        <v>0</v>
      </c>
    </row>
    <row r="14" spans="1:10" x14ac:dyDescent="0.25">
      <c r="A14" s="645" t="str">
        <f>+'[7] E.PRECIOS'!A13</f>
        <v>Arepa de chocolo</v>
      </c>
      <c r="B14" s="645" t="str">
        <f>+'[7] E.PRECIOS'!B13</f>
        <v>Gramos</v>
      </c>
      <c r="C14" s="646">
        <f>+'[7] E.PRECIOS'!AM13</f>
        <v>0</v>
      </c>
      <c r="D14" s="646">
        <f>+'[7] E.PRECIOS'!AN13</f>
        <v>2450</v>
      </c>
      <c r="E14" s="646">
        <f>+'[7] E.PRECIOS'!AO13</f>
        <v>2143</v>
      </c>
      <c r="F14" s="646">
        <f>+'[7] E.PRECIOS'!AP13</f>
        <v>3403.3333333333335</v>
      </c>
      <c r="G14" s="646">
        <f>+'[7] E.PRECIOS'!AQ13</f>
        <v>1753.3333333333333</v>
      </c>
      <c r="H14" s="646">
        <f>+'[7] E.PRECIOS'!AR13</f>
        <v>2437.416666666667</v>
      </c>
      <c r="I14" s="648">
        <f>+'[7] E.PRECIOS'!AS13</f>
        <v>8.1247222222222231</v>
      </c>
      <c r="J14" s="644">
        <f>+'[7] E.PRECIOS'!AT13</f>
        <v>0</v>
      </c>
    </row>
    <row r="15" spans="1:10" x14ac:dyDescent="0.25">
      <c r="A15" s="645" t="str">
        <f>+'[7] E.PRECIOS'!A14</f>
        <v>Arepa redonda</v>
      </c>
      <c r="B15" s="645" t="str">
        <f>+'[7] E.PRECIOS'!B14</f>
        <v>Gramos</v>
      </c>
      <c r="C15" s="646">
        <f>+'[7] E.PRECIOS'!AM14</f>
        <v>0</v>
      </c>
      <c r="D15" s="646">
        <f>+'[7] E.PRECIOS'!AN14</f>
        <v>1756.6666666666667</v>
      </c>
      <c r="E15" s="646">
        <f>+'[7] E.PRECIOS'!AO14</f>
        <v>1870</v>
      </c>
      <c r="F15" s="646">
        <f>+'[7] E.PRECIOS'!AP14</f>
        <v>1560</v>
      </c>
      <c r="G15" s="646">
        <f>+'[7] E.PRECIOS'!AQ14</f>
        <v>1500</v>
      </c>
      <c r="H15" s="646">
        <f>+'[7] E.PRECIOS'!AR14</f>
        <v>1671.6666666666667</v>
      </c>
      <c r="I15" s="648">
        <f>+'[7] E.PRECIOS'!AS14</f>
        <v>4.1791666666666671</v>
      </c>
      <c r="J15" s="644">
        <f>+'[7] E.PRECIOS'!AT14</f>
        <v>0</v>
      </c>
    </row>
    <row r="16" spans="1:10" x14ac:dyDescent="0.25">
      <c r="A16" s="645" t="str">
        <f>+'[7] E.PRECIOS'!A15</f>
        <v>Arepa tela</v>
      </c>
      <c r="B16" s="645" t="str">
        <f>+'[7] E.PRECIOS'!B15</f>
        <v>Gramos</v>
      </c>
      <c r="C16" s="646">
        <f>+'[7] E.PRECIOS'!AM15</f>
        <v>0</v>
      </c>
      <c r="D16" s="646">
        <f>+'[7] E.PRECIOS'!AN15</f>
        <v>2890.3333333333335</v>
      </c>
      <c r="E16" s="646">
        <f>+'[7] E.PRECIOS'!AO15</f>
        <v>2852</v>
      </c>
      <c r="F16" s="646">
        <f>+'[7] E.PRECIOS'!AP15</f>
        <v>0</v>
      </c>
      <c r="G16" s="646">
        <f>+'[7] E.PRECIOS'!AQ15</f>
        <v>2810</v>
      </c>
      <c r="H16" s="646">
        <f>+'[7] E.PRECIOS'!AR15</f>
        <v>2850.7777777777778</v>
      </c>
      <c r="I16" s="648">
        <f>+'[7] E.PRECIOS'!AS15</f>
        <v>4.0725396825396825</v>
      </c>
      <c r="J16" s="644">
        <f>+'[7] E.PRECIOS'!AT15</f>
        <v>0</v>
      </c>
    </row>
    <row r="17" spans="1:10" x14ac:dyDescent="0.25">
      <c r="A17" s="645" t="str">
        <f>+'[7] E.PRECIOS'!A16</f>
        <v>Arequipe</v>
      </c>
      <c r="B17" s="645" t="str">
        <f>+'[7] E.PRECIOS'!B16</f>
        <v>Gramos</v>
      </c>
      <c r="C17" s="646">
        <f>+'[7] E.PRECIOS'!AM16</f>
        <v>0</v>
      </c>
      <c r="D17" s="646">
        <f>+'[7] E.PRECIOS'!AN16</f>
        <v>3260</v>
      </c>
      <c r="E17" s="646">
        <f>+'[7] E.PRECIOS'!AO16</f>
        <v>3088.3333333333335</v>
      </c>
      <c r="F17" s="646">
        <f>+'[7] E.PRECIOS'!AP16</f>
        <v>2990</v>
      </c>
      <c r="G17" s="646">
        <f>+'[7] E.PRECIOS'!AQ16</f>
        <v>2715</v>
      </c>
      <c r="H17" s="646">
        <f>+'[7] E.PRECIOS'!AR16</f>
        <v>3013.3333333333335</v>
      </c>
      <c r="I17" s="648">
        <f>+'[7] E.PRECIOS'!AS16</f>
        <v>12.053333333333335</v>
      </c>
      <c r="J17" s="644">
        <f>+'[7] E.PRECIOS'!AT16</f>
        <v>0</v>
      </c>
    </row>
    <row r="18" spans="1:10" x14ac:dyDescent="0.25">
      <c r="A18" s="645" t="str">
        <f>+'[7] E.PRECIOS'!A17</f>
        <v>Arracacha</v>
      </c>
      <c r="B18" s="645" t="str">
        <f>+'[7] E.PRECIOS'!B17</f>
        <v>Kilogramo</v>
      </c>
      <c r="C18" s="646">
        <f>+'[7] E.PRECIOS'!AM17</f>
        <v>0</v>
      </c>
      <c r="D18" s="646">
        <f>+'[7] E.PRECIOS'!AN17</f>
        <v>2570</v>
      </c>
      <c r="E18" s="646">
        <f>+'[7] E.PRECIOS'!AO17</f>
        <v>4000</v>
      </c>
      <c r="F18" s="646">
        <f>+'[7] E.PRECIOS'!AP17</f>
        <v>1880</v>
      </c>
      <c r="G18" s="646">
        <f>+'[7] E.PRECIOS'!AQ17</f>
        <v>0</v>
      </c>
      <c r="H18" s="646">
        <f>+'[7] E.PRECIOS'!AR17</f>
        <v>2816.6666666666665</v>
      </c>
      <c r="I18" s="648">
        <f>+'[7] E.PRECIOS'!AS17</f>
        <v>2.8166666666666664</v>
      </c>
      <c r="J18" s="644">
        <f>+'[7] E.PRECIOS'!AT17</f>
        <v>0</v>
      </c>
    </row>
    <row r="19" spans="1:10" x14ac:dyDescent="0.25">
      <c r="A19" s="645" t="str">
        <f>+'[7] E.PRECIOS'!A18</f>
        <v>Arroz</v>
      </c>
      <c r="B19" s="645" t="str">
        <f>+'[7] E.PRECIOS'!B18</f>
        <v>Kilogramo</v>
      </c>
      <c r="C19" s="646">
        <f>+'[7] E.PRECIOS'!AM18</f>
        <v>0</v>
      </c>
      <c r="D19" s="646">
        <f>+'[7] E.PRECIOS'!AN18</f>
        <v>2763.3333333333335</v>
      </c>
      <c r="E19" s="646">
        <f>+'[7] E.PRECIOS'!AO18</f>
        <v>3006.6666666666665</v>
      </c>
      <c r="F19" s="646">
        <f>+'[7] E.PRECIOS'!AP18</f>
        <v>3480</v>
      </c>
      <c r="G19" s="646">
        <f>+'[7] E.PRECIOS'!AQ18</f>
        <v>2383.3333333333335</v>
      </c>
      <c r="H19" s="646">
        <f>+'[7] E.PRECIOS'!AR18</f>
        <v>2908.3333333333335</v>
      </c>
      <c r="I19" s="648">
        <f>+'[7] E.PRECIOS'!AS18</f>
        <v>2.9083333333333337</v>
      </c>
      <c r="J19" s="644">
        <f>+'[7] E.PRECIOS'!AT18</f>
        <v>0</v>
      </c>
    </row>
    <row r="20" spans="1:10" x14ac:dyDescent="0.25">
      <c r="A20" s="645" t="str">
        <f>+'[7] E.PRECIOS'!A19</f>
        <v>Arveja seca</v>
      </c>
      <c r="B20" s="645" t="str">
        <f>+'[7] E.PRECIOS'!B19</f>
        <v>Kilogramo</v>
      </c>
      <c r="C20" s="646">
        <f>+'[7] E.PRECIOS'!AM19</f>
        <v>0</v>
      </c>
      <c r="D20" s="646">
        <f>+'[7] E.PRECIOS'!AN19</f>
        <v>1020</v>
      </c>
      <c r="E20" s="646">
        <f>+'[7] E.PRECIOS'!AO19</f>
        <v>2720</v>
      </c>
      <c r="F20" s="646">
        <f>+'[7] E.PRECIOS'!AP19</f>
        <v>2780</v>
      </c>
      <c r="G20" s="646">
        <f>+'[7] E.PRECIOS'!AQ19</f>
        <v>2340</v>
      </c>
      <c r="H20" s="646">
        <f>+'[7] E.PRECIOS'!AR19</f>
        <v>2215</v>
      </c>
      <c r="I20" s="648">
        <f>+'[7] E.PRECIOS'!AS19</f>
        <v>2.2149999999999999</v>
      </c>
      <c r="J20" s="644">
        <f>+'[7] E.PRECIOS'!AT19</f>
        <v>0</v>
      </c>
    </row>
    <row r="21" spans="1:10" x14ac:dyDescent="0.25">
      <c r="A21" s="645" t="str">
        <f>+'[7] E.PRECIOS'!A20</f>
        <v>Arveja verde</v>
      </c>
      <c r="B21" s="645" t="str">
        <f>+'[7] E.PRECIOS'!B20</f>
        <v>Kilogramo</v>
      </c>
      <c r="C21" s="646">
        <f>+'[7] E.PRECIOS'!AM20</f>
        <v>0</v>
      </c>
      <c r="D21" s="646">
        <f>+'[7] E.PRECIOS'!AN20</f>
        <v>5730</v>
      </c>
      <c r="E21" s="646">
        <f>+'[7] E.PRECIOS'!AO20</f>
        <v>0</v>
      </c>
      <c r="F21" s="646">
        <f>+'[7] E.PRECIOS'!AP20</f>
        <v>17500</v>
      </c>
      <c r="G21" s="646">
        <f>+'[7] E.PRECIOS'!AQ20</f>
        <v>16300</v>
      </c>
      <c r="H21" s="646">
        <f>+'[7] E.PRECIOS'!AR20</f>
        <v>13176.666666666666</v>
      </c>
      <c r="I21" s="648">
        <f>+'[7] E.PRECIOS'!AS20</f>
        <v>13.176666666666666</v>
      </c>
      <c r="J21" s="644">
        <f>+'[7] E.PRECIOS'!AT20</f>
        <v>0</v>
      </c>
    </row>
    <row r="22" spans="1:10" x14ac:dyDescent="0.25">
      <c r="A22" s="645" t="str">
        <f>+'[7] E.PRECIOS'!A21</f>
        <v>Atún en aceite</v>
      </c>
      <c r="B22" s="645" t="str">
        <f>+'[7] E.PRECIOS'!B21</f>
        <v>Gramos</v>
      </c>
      <c r="C22" s="646">
        <f>+'[7] E.PRECIOS'!AM21</f>
        <v>0</v>
      </c>
      <c r="D22" s="646">
        <f>+'[7] E.PRECIOS'!AN21</f>
        <v>3346.6666666666665</v>
      </c>
      <c r="E22" s="646">
        <f>+'[7] E.PRECIOS'!AO21</f>
        <v>3491.3333333333335</v>
      </c>
      <c r="F22" s="646">
        <f>+'[7] E.PRECIOS'!AP21</f>
        <v>3085</v>
      </c>
      <c r="G22" s="646">
        <f>+'[7] E.PRECIOS'!AQ21</f>
        <v>3221.6666666666665</v>
      </c>
      <c r="H22" s="646">
        <f>+'[7] E.PRECIOS'!AR21</f>
        <v>3286.1666666666665</v>
      </c>
      <c r="I22" s="648">
        <f>+'[7] E.PRECIOS'!AS21</f>
        <v>17.859601449275363</v>
      </c>
      <c r="J22" s="644">
        <f>+'[7] E.PRECIOS'!AT21</f>
        <v>0</v>
      </c>
    </row>
    <row r="23" spans="1:10" x14ac:dyDescent="0.25">
      <c r="A23" s="645" t="str">
        <f>+'[7] E.PRECIOS'!A22</f>
        <v>Avena comercial</v>
      </c>
      <c r="B23" s="645" t="str">
        <f>+'[7] E.PRECIOS'!B22</f>
        <v>Cm3</v>
      </c>
      <c r="C23" s="646">
        <f>+'[7] E.PRECIOS'!AM22</f>
        <v>0</v>
      </c>
      <c r="D23" s="646">
        <f>+'[7] E.PRECIOS'!AN22</f>
        <v>1015</v>
      </c>
      <c r="E23" s="646">
        <f>+'[7] E.PRECIOS'!AO22</f>
        <v>0</v>
      </c>
      <c r="F23" s="646">
        <f>+'[7] E.PRECIOS'!AP22</f>
        <v>873.33333333333337</v>
      </c>
      <c r="G23" s="646">
        <f>+'[7] E.PRECIOS'!AQ22</f>
        <v>853.33333333333337</v>
      </c>
      <c r="H23" s="646">
        <f>+'[7] E.PRECIOS'!AR22</f>
        <v>913.88888888888903</v>
      </c>
      <c r="I23" s="648">
        <f>+'[7] E.PRECIOS'!AS22</f>
        <v>4.5694444444444455</v>
      </c>
      <c r="J23" s="644">
        <f>+'[7] E.PRECIOS'!AT22</f>
        <v>0</v>
      </c>
    </row>
    <row r="24" spans="1:10" x14ac:dyDescent="0.25">
      <c r="A24" s="645" t="str">
        <f>+'[7] E.PRECIOS'!A23</f>
        <v>Avena en hojuelas</v>
      </c>
      <c r="B24" s="645" t="str">
        <f>+'[7] E.PRECIOS'!B23</f>
        <v>Gramos</v>
      </c>
      <c r="C24" s="646">
        <f>+'[7] E.PRECIOS'!AM23</f>
        <v>0</v>
      </c>
      <c r="D24" s="646">
        <f>+'[7] E.PRECIOS'!AN23</f>
        <v>2109.3333333333335</v>
      </c>
      <c r="E24" s="646">
        <f>+'[7] E.PRECIOS'!AO23</f>
        <v>2555.3333333333335</v>
      </c>
      <c r="F24" s="646">
        <f>+'[7] E.PRECIOS'!AP23</f>
        <v>1390</v>
      </c>
      <c r="G24" s="646">
        <f>+'[7] E.PRECIOS'!AQ23</f>
        <v>1834.0740740740741</v>
      </c>
      <c r="H24" s="646">
        <f>+'[7] E.PRECIOS'!AR23</f>
        <v>1972.1851851851852</v>
      </c>
      <c r="I24" s="648">
        <f>+'[7] E.PRECIOS'!AS23</f>
        <v>7.8887407407407411</v>
      </c>
      <c r="J24" s="644">
        <f>+'[7] E.PRECIOS'!AT23</f>
        <v>0</v>
      </c>
    </row>
    <row r="25" spans="1:10" x14ac:dyDescent="0.25">
      <c r="A25" s="645" t="str">
        <f>+'[7] E.PRECIOS'!A24</f>
        <v>Avena en polvo</v>
      </c>
      <c r="B25" s="645" t="str">
        <f>+'[7] E.PRECIOS'!B24</f>
        <v>Gramos</v>
      </c>
      <c r="C25" s="646">
        <f>+'[7] E.PRECIOS'!AM24</f>
        <v>0</v>
      </c>
      <c r="D25" s="646">
        <f>+'[7] E.PRECIOS'!AN24</f>
        <v>2424</v>
      </c>
      <c r="E25" s="646">
        <f>+'[7] E.PRECIOS'!AO24</f>
        <v>2895</v>
      </c>
      <c r="F25" s="646">
        <f>+'[7] E.PRECIOS'!AP24</f>
        <v>2741.1428571428573</v>
      </c>
      <c r="G25" s="646">
        <f>+'[7] E.PRECIOS'!AQ24</f>
        <v>4616.666666666667</v>
      </c>
      <c r="H25" s="646">
        <f>+'[7] E.PRECIOS'!AR24</f>
        <v>3169.2023809523807</v>
      </c>
      <c r="I25" s="648">
        <f>+'[7] E.PRECIOS'!AS24</f>
        <v>10.564007936507936</v>
      </c>
      <c r="J25" s="644">
        <f>+'[7] E.PRECIOS'!AT24</f>
        <v>0</v>
      </c>
    </row>
    <row r="26" spans="1:10" x14ac:dyDescent="0.25">
      <c r="A26" s="645" t="str">
        <f>+'[7] E.PRECIOS'!A25</f>
        <v>Azúcar</v>
      </c>
      <c r="B26" s="645" t="str">
        <f>+'[7] E.PRECIOS'!B25</f>
        <v>Gramos</v>
      </c>
      <c r="C26" s="646">
        <f>+'[7] E.PRECIOS'!AM25</f>
        <v>0</v>
      </c>
      <c r="D26" s="646">
        <f>+'[7] E.PRECIOS'!AN25</f>
        <v>2116.6666666666665</v>
      </c>
      <c r="E26" s="646">
        <f>+'[7] E.PRECIOS'!AO25</f>
        <v>2596.6666666666665</v>
      </c>
      <c r="F26" s="646">
        <f>+'[7] E.PRECIOS'!AP25</f>
        <v>2240</v>
      </c>
      <c r="G26" s="646">
        <f>+'[7] E.PRECIOS'!AQ25</f>
        <v>2110</v>
      </c>
      <c r="H26" s="646">
        <f>+'[7] E.PRECIOS'!AR25</f>
        <v>2265.833333333333</v>
      </c>
      <c r="I26" s="648">
        <f>+'[7] E.PRECIOS'!AS25</f>
        <v>2.2658333333333331</v>
      </c>
      <c r="J26" s="644">
        <f>+'[7] E.PRECIOS'!AT25</f>
        <v>0</v>
      </c>
    </row>
    <row r="27" spans="1:10" x14ac:dyDescent="0.25">
      <c r="A27" s="645" t="str">
        <f>+'[7] E.PRECIOS'!A26</f>
        <v>Banano</v>
      </c>
      <c r="B27" s="645" t="str">
        <f>+'[7] E.PRECIOS'!B26</f>
        <v>Kilogramo</v>
      </c>
      <c r="C27" s="646">
        <f>+'[7] E.PRECIOS'!AM26</f>
        <v>0</v>
      </c>
      <c r="D27" s="646">
        <f>+'[7] E.PRECIOS'!AN26</f>
        <v>1220</v>
      </c>
      <c r="E27" s="646">
        <f>+'[7] E.PRECIOS'!AO26</f>
        <v>1350</v>
      </c>
      <c r="F27" s="646">
        <f>+'[7] E.PRECIOS'!AP26</f>
        <v>1190</v>
      </c>
      <c r="G27" s="646">
        <f>+'[7] E.PRECIOS'!AQ26</f>
        <v>1230</v>
      </c>
      <c r="H27" s="646">
        <f>+'[7] E.PRECIOS'!AR26</f>
        <v>1247.5</v>
      </c>
      <c r="I27" s="648">
        <f>+'[7] E.PRECIOS'!AS26</f>
        <v>1.2475000000000001</v>
      </c>
      <c r="J27" s="644">
        <f>+'[7] E.PRECIOS'!AT26</f>
        <v>0</v>
      </c>
    </row>
    <row r="28" spans="1:10" x14ac:dyDescent="0.25">
      <c r="A28" s="645" t="str">
        <f>+'[7] E.PRECIOS'!A27</f>
        <v>Barquillo</v>
      </c>
      <c r="B28" s="645" t="str">
        <f>+'[7] E.PRECIOS'!B27</f>
        <v>Gramos</v>
      </c>
      <c r="C28" s="646">
        <f>+'[7] E.PRECIOS'!AM27</f>
        <v>0</v>
      </c>
      <c r="D28" s="646">
        <f>+'[7] E.PRECIOS'!AN27</f>
        <v>1260</v>
      </c>
      <c r="E28" s="646">
        <f>+'[7] E.PRECIOS'!AO27</f>
        <v>1165</v>
      </c>
      <c r="F28" s="646">
        <f>+'[7] E.PRECIOS'!AP27</f>
        <v>0</v>
      </c>
      <c r="G28" s="646">
        <f>+'[7] E.PRECIOS'!AQ27</f>
        <v>666.9473684210526</v>
      </c>
      <c r="H28" s="646">
        <f>+'[7] E.PRECIOS'!AR27</f>
        <v>1030.6491228070174</v>
      </c>
      <c r="I28" s="648">
        <f>+'[7] E.PRECIOS'!AS27</f>
        <v>23.423843700159487</v>
      </c>
      <c r="J28" s="644">
        <f>+'[7] E.PRECIOS'!AT27</f>
        <v>0</v>
      </c>
    </row>
    <row r="29" spans="1:10" x14ac:dyDescent="0.25">
      <c r="A29" s="645" t="str">
        <f>+'[7] E.PRECIOS'!A28</f>
        <v>Bizcochuelo</v>
      </c>
      <c r="B29" s="645" t="str">
        <f>+'[7] E.PRECIOS'!B28</f>
        <v>Gramos</v>
      </c>
      <c r="C29" s="646">
        <f>+'[7] E.PRECIOS'!AM28</f>
        <v>0</v>
      </c>
      <c r="D29" s="646">
        <f>+'[7] E.PRECIOS'!AN28</f>
        <v>2324.5</v>
      </c>
      <c r="E29" s="646">
        <f>+'[7] E.PRECIOS'!AO28</f>
        <v>2411.3333333333335</v>
      </c>
      <c r="F29" s="646">
        <f>+'[7] E.PRECIOS'!AP28</f>
        <v>0</v>
      </c>
      <c r="G29" s="646">
        <f>+'[7] E.PRECIOS'!AQ28</f>
        <v>2411.4761904761895</v>
      </c>
      <c r="H29" s="646">
        <f>+'[7] E.PRECIOS'!AR28</f>
        <v>2382.4365079365075</v>
      </c>
      <c r="I29" s="648">
        <f>+'[7] E.PRECIOS'!AS28</f>
        <v>28.028664799253029</v>
      </c>
      <c r="J29" s="644">
        <f>+'[7] E.PRECIOS'!AT28</f>
        <v>0</v>
      </c>
    </row>
    <row r="30" spans="1:10" x14ac:dyDescent="0.25">
      <c r="A30" s="645" t="str">
        <f>+'[7] E.PRECIOS'!A29</f>
        <v>Blanquillo</v>
      </c>
      <c r="B30" s="645" t="str">
        <f>+'[7] E.PRECIOS'!B29</f>
        <v>Kilogramo</v>
      </c>
      <c r="C30" s="646">
        <f>+'[7] E.PRECIOS'!AM29</f>
        <v>0</v>
      </c>
      <c r="D30" s="646">
        <f>+'[7] E.PRECIOS'!AN29</f>
        <v>3980</v>
      </c>
      <c r="E30" s="646">
        <f>+'[7] E.PRECIOS'!AO29</f>
        <v>4365</v>
      </c>
      <c r="F30" s="646">
        <f>+'[7] E.PRECIOS'!AP29</f>
        <v>4000</v>
      </c>
      <c r="G30" s="646">
        <f>+'[7] E.PRECIOS'!AQ29</f>
        <v>3910</v>
      </c>
      <c r="H30" s="646">
        <f>+'[7] E.PRECIOS'!AR29</f>
        <v>4063.75</v>
      </c>
      <c r="I30" s="648">
        <f>+'[7] E.PRECIOS'!AS29</f>
        <v>4.0637499999999998</v>
      </c>
      <c r="J30" s="644">
        <f>+'[7] E.PRECIOS'!AT29</f>
        <v>0</v>
      </c>
    </row>
    <row r="31" spans="1:10" x14ac:dyDescent="0.25">
      <c r="A31" s="645" t="str">
        <f>+'[7] E.PRECIOS'!A30</f>
        <v>Bocadillo</v>
      </c>
      <c r="B31" s="645" t="str">
        <f>+'[7] E.PRECIOS'!B30</f>
        <v>Gramos</v>
      </c>
      <c r="C31" s="646">
        <f>+'[7] E.PRECIOS'!AM30</f>
        <v>0</v>
      </c>
      <c r="D31" s="646">
        <f>+'[7] E.PRECIOS'!AN30</f>
        <v>4522.333333333333</v>
      </c>
      <c r="E31" s="646">
        <f>+'[7] E.PRECIOS'!AO30</f>
        <v>3013.3333333333335</v>
      </c>
      <c r="F31" s="646">
        <f>+'[7] E.PRECIOS'!AP30</f>
        <v>2635</v>
      </c>
      <c r="G31" s="646">
        <f>+'[7] E.PRECIOS'!AQ30</f>
        <v>2609</v>
      </c>
      <c r="H31" s="646">
        <f>+'[7] E.PRECIOS'!AR30</f>
        <v>3194.9166666666665</v>
      </c>
      <c r="I31" s="648">
        <f>+'[7] E.PRECIOS'!AS30</f>
        <v>6.3898333333333328</v>
      </c>
      <c r="J31" s="644">
        <f>+'[7] E.PRECIOS'!AT30</f>
        <v>0</v>
      </c>
    </row>
    <row r="32" spans="1:10" hidden="1" x14ac:dyDescent="0.25">
      <c r="A32" s="645" t="str">
        <f>+'[7] E.PRECIOS'!A31</f>
        <v>Bacado de pescado</v>
      </c>
      <c r="B32" s="645">
        <f>+'[7] E.PRECIOS'!B31</f>
        <v>0</v>
      </c>
      <c r="C32" s="646">
        <f>+'[7] E.PRECIOS'!AM31</f>
        <v>0</v>
      </c>
      <c r="D32" s="646">
        <f>+'[7] E.PRECIOS'!AN31</f>
        <v>0</v>
      </c>
      <c r="E32" s="646">
        <f>+'[7] E.PRECIOS'!AO31</f>
        <v>0</v>
      </c>
      <c r="F32" s="646">
        <f>+'[7] E.PRECIOS'!AP31</f>
        <v>0</v>
      </c>
      <c r="G32" s="646">
        <f>+'[7] E.PRECIOS'!AQ31</f>
        <v>0</v>
      </c>
      <c r="H32" s="646">
        <f>+'[7] E.PRECIOS'!AR31</f>
        <v>0</v>
      </c>
      <c r="I32" s="648">
        <f>+'[7] E.PRECIOS'!AS31</f>
        <v>0</v>
      </c>
      <c r="J32" s="644">
        <f>+'[7] E.PRECIOS'!AT31</f>
        <v>0</v>
      </c>
    </row>
    <row r="33" spans="1:10" x14ac:dyDescent="0.25">
      <c r="A33" s="645" t="str">
        <f>+'[7] E.PRECIOS'!A32</f>
        <v>Brócoli</v>
      </c>
      <c r="B33" s="645" t="str">
        <f>+'[7] E.PRECIOS'!B32</f>
        <v>Kilogramo</v>
      </c>
      <c r="C33" s="646">
        <f>+'[7] E.PRECIOS'!AM32</f>
        <v>0</v>
      </c>
      <c r="D33" s="646">
        <f>+'[7] E.PRECIOS'!AN32</f>
        <v>3830</v>
      </c>
      <c r="E33" s="646">
        <f>+'[7] E.PRECIOS'!AO32</f>
        <v>3750</v>
      </c>
      <c r="F33" s="646">
        <f>+'[7] E.PRECIOS'!AP32</f>
        <v>2500</v>
      </c>
      <c r="G33" s="646">
        <f>+'[7] E.PRECIOS'!AQ32</f>
        <v>2340</v>
      </c>
      <c r="H33" s="646">
        <f>+'[7] E.PRECIOS'!AR32</f>
        <v>3105</v>
      </c>
      <c r="I33" s="648">
        <f>+'[7] E.PRECIOS'!AS32</f>
        <v>3.105</v>
      </c>
      <c r="J33" s="644">
        <f>+'[7] E.PRECIOS'!AT32</f>
        <v>0</v>
      </c>
    </row>
    <row r="34" spans="1:10" hidden="1" x14ac:dyDescent="0.25">
      <c r="A34" s="645" t="str">
        <f>+'[7] E.PRECIOS'!A33</f>
        <v>Buñuelo</v>
      </c>
      <c r="B34" s="645" t="str">
        <f>+'[7] E.PRECIOS'!B33</f>
        <v>unidades</v>
      </c>
      <c r="C34" s="646">
        <f>+'[7] E.PRECIOS'!AM33</f>
        <v>0</v>
      </c>
      <c r="D34" s="646">
        <f>+'[7] E.PRECIOS'!AN33</f>
        <v>0</v>
      </c>
      <c r="E34" s="646">
        <f>+'[7] E.PRECIOS'!AO33</f>
        <v>0</v>
      </c>
      <c r="F34" s="646">
        <f>+'[7] E.PRECIOS'!AP33</f>
        <v>0</v>
      </c>
      <c r="G34" s="646">
        <f>+'[7] E.PRECIOS'!AQ33</f>
        <v>0</v>
      </c>
      <c r="H34" s="646">
        <f>+'[7] E.PRECIOS'!AR33</f>
        <v>0</v>
      </c>
      <c r="I34" s="648">
        <f>+'[7] E.PRECIOS'!AS33</f>
        <v>0</v>
      </c>
      <c r="J34" s="644">
        <f>+'[7] E.PRECIOS'!AT33</f>
        <v>0</v>
      </c>
    </row>
    <row r="35" spans="1:10" x14ac:dyDescent="0.25">
      <c r="A35" s="645" t="str">
        <f>+'[7] E.PRECIOS'!A34</f>
        <v xml:space="preserve">Café granulado </v>
      </c>
      <c r="B35" s="645" t="str">
        <f>+'[7] E.PRECIOS'!B34</f>
        <v>Gramos</v>
      </c>
      <c r="C35" s="646">
        <f>+'[7] E.PRECIOS'!AM34</f>
        <v>0</v>
      </c>
      <c r="D35" s="646">
        <f>+'[7] E.PRECIOS'!AN34</f>
        <v>10303.333333333334</v>
      </c>
      <c r="E35" s="646">
        <f>+'[7] E.PRECIOS'!AO34</f>
        <v>10470</v>
      </c>
      <c r="F35" s="646">
        <f>+'[7] E.PRECIOS'!AP34</f>
        <v>10260</v>
      </c>
      <c r="G35" s="646">
        <f>+'[7] E.PRECIOS'!AQ34</f>
        <v>10530</v>
      </c>
      <c r="H35" s="646">
        <f>+'[7] E.PRECIOS'!AR34</f>
        <v>10390.833333333334</v>
      </c>
      <c r="I35" s="648">
        <f>+'[7] E.PRECIOS'!AS34</f>
        <v>61.122549019607845</v>
      </c>
      <c r="J35" s="644">
        <f>+'[7] E.PRECIOS'!AT34</f>
        <v>0</v>
      </c>
    </row>
    <row r="36" spans="1:10" x14ac:dyDescent="0.25">
      <c r="A36" s="645" t="str">
        <f>+'[7] E.PRECIOS'!A35</f>
        <v>Caladitos</v>
      </c>
      <c r="B36" s="645" t="str">
        <f>+'[7] E.PRECIOS'!B35</f>
        <v>Gramos</v>
      </c>
      <c r="C36" s="646">
        <f>+'[7] E.PRECIOS'!AM35</f>
        <v>0</v>
      </c>
      <c r="D36" s="646">
        <f>+'[7] E.PRECIOS'!AN35</f>
        <v>2820</v>
      </c>
      <c r="E36" s="646">
        <f>+'[7] E.PRECIOS'!AO35</f>
        <v>2770</v>
      </c>
      <c r="F36" s="646">
        <f>+'[7] E.PRECIOS'!AP35</f>
        <v>2015.2083333333335</v>
      </c>
      <c r="G36" s="646">
        <f>+'[7] E.PRECIOS'!AQ35</f>
        <v>3130</v>
      </c>
      <c r="H36" s="646">
        <f>+'[7] E.PRECIOS'!AR35</f>
        <v>2683.8020833333335</v>
      </c>
      <c r="I36" s="648">
        <f>+'[7] E.PRECIOS'!AS35</f>
        <v>15.787071078431373</v>
      </c>
      <c r="J36" s="644">
        <f>+'[7] E.PRECIOS'!AT35</f>
        <v>0</v>
      </c>
    </row>
    <row r="37" spans="1:10" x14ac:dyDescent="0.25">
      <c r="A37" s="645" t="s">
        <v>483</v>
      </c>
      <c r="B37" s="645" t="str">
        <f>+'[7] E.PRECIOS'!B36</f>
        <v>unidades</v>
      </c>
      <c r="C37" s="646">
        <f>+'[7] E.PRECIOS'!AM36</f>
        <v>0</v>
      </c>
      <c r="D37" s="646">
        <f>+'[7] E.PRECIOS'!AN36</f>
        <v>2003.3333333333333</v>
      </c>
      <c r="E37" s="646">
        <f>+'[7] E.PRECIOS'!AO36</f>
        <v>2159</v>
      </c>
      <c r="F37" s="646">
        <f>+'[7] E.PRECIOS'!AP36</f>
        <v>0</v>
      </c>
      <c r="G37" s="646">
        <f>+'[7] E.PRECIOS'!AQ36</f>
        <v>1773.3333333333333</v>
      </c>
      <c r="H37" s="646">
        <f>+'[7] E.PRECIOS'!AR36</f>
        <v>1978.5555555555554</v>
      </c>
      <c r="I37" s="648">
        <f>+'[7] E.PRECIOS'!AS36</f>
        <v>247.31944444444443</v>
      </c>
      <c r="J37" s="644">
        <f>+'[7] E.PRECIOS'!AT36</f>
        <v>0</v>
      </c>
    </row>
    <row r="38" spans="1:10" x14ac:dyDescent="0.25">
      <c r="A38" s="645" t="str">
        <f>+'[7] E.PRECIOS'!A37</f>
        <v>Canela en polvo</v>
      </c>
      <c r="B38" s="645" t="str">
        <f>+'[7] E.PRECIOS'!B37</f>
        <v>Gramos</v>
      </c>
      <c r="C38" s="646">
        <f>+'[7] E.PRECIOS'!AM37</f>
        <v>0</v>
      </c>
      <c r="D38" s="646">
        <f>+'[7] E.PRECIOS'!AN37</f>
        <v>3260</v>
      </c>
      <c r="E38" s="646">
        <f>+'[7] E.PRECIOS'!AO37</f>
        <v>1980.6666666666667</v>
      </c>
      <c r="F38" s="646">
        <f>+'[7] E.PRECIOS'!AP37</f>
        <v>2035</v>
      </c>
      <c r="G38" s="646">
        <f>+'[7] E.PRECIOS'!AQ37</f>
        <v>2003.3333333333333</v>
      </c>
      <c r="H38" s="646">
        <f>+'[7] E.PRECIOS'!AR37</f>
        <v>2319.75</v>
      </c>
      <c r="I38" s="648">
        <f>+'[7] E.PRECIOS'!AS37</f>
        <v>46.395000000000003</v>
      </c>
      <c r="J38" s="644">
        <f>+'[7] E.PRECIOS'!AT37</f>
        <v>0</v>
      </c>
    </row>
    <row r="39" spans="1:10" x14ac:dyDescent="0.25">
      <c r="A39" s="645" t="str">
        <f>+'[7] E.PRECIOS'!A38</f>
        <v>Carne de hamburguesa</v>
      </c>
      <c r="B39" s="645" t="str">
        <f>+'[7] E.PRECIOS'!B38</f>
        <v>Gramos</v>
      </c>
      <c r="C39" s="646">
        <f>+'[7] E.PRECIOS'!AM38</f>
        <v>0</v>
      </c>
      <c r="D39" s="646">
        <f>+'[7] E.PRECIOS'!AN38</f>
        <v>12280</v>
      </c>
      <c r="E39" s="646">
        <f>+'[7] E.PRECIOS'!AO38</f>
        <v>6605</v>
      </c>
      <c r="F39" s="646">
        <f>+'[7] E.PRECIOS'!AP38</f>
        <v>7795</v>
      </c>
      <c r="G39" s="646">
        <f>+'[7] E.PRECIOS'!AQ38</f>
        <v>5180</v>
      </c>
      <c r="H39" s="646">
        <f>+'[7] E.PRECIOS'!AR38</f>
        <v>7965</v>
      </c>
      <c r="I39" s="648">
        <f>+'[7] E.PRECIOS'!AS38</f>
        <v>19.912500000000001</v>
      </c>
      <c r="J39" s="644">
        <f>+'[7] E.PRECIOS'!AT38</f>
        <v>0</v>
      </c>
    </row>
    <row r="40" spans="1:10" x14ac:dyDescent="0.25">
      <c r="A40" s="645" t="str">
        <f>+'[7] E.PRECIOS'!A39</f>
        <v>Carne de res 1ra</v>
      </c>
      <c r="B40" s="645" t="str">
        <f>+'[7] E.PRECIOS'!B39</f>
        <v>Kilogramo</v>
      </c>
      <c r="C40" s="646">
        <f>+'[7] E.PRECIOS'!AM39</f>
        <v>13151</v>
      </c>
      <c r="D40" s="646">
        <f>+'[7] E.PRECIOS'!AN39</f>
        <v>0</v>
      </c>
      <c r="E40" s="646">
        <f>+'[7] E.PRECIOS'!AO39</f>
        <v>0</v>
      </c>
      <c r="F40" s="646">
        <f>+'[7] E.PRECIOS'!AP39</f>
        <v>0</v>
      </c>
      <c r="G40" s="646">
        <f>+'[7] E.PRECIOS'!AQ39</f>
        <v>0</v>
      </c>
      <c r="H40" s="646">
        <f>+'[7] E.PRECIOS'!AR39</f>
        <v>13151</v>
      </c>
      <c r="I40" s="648">
        <f>+'[7] E.PRECIOS'!AS39</f>
        <v>13.151</v>
      </c>
      <c r="J40" s="644">
        <f>+'[7] E.PRECIOS'!AT39</f>
        <v>0</v>
      </c>
    </row>
    <row r="41" spans="1:10" x14ac:dyDescent="0.25">
      <c r="A41" s="645" t="str">
        <f>+'[7] E.PRECIOS'!A40</f>
        <v>Carne de res 2da</v>
      </c>
      <c r="B41" s="645" t="str">
        <f>+'[7] E.PRECIOS'!B40</f>
        <v>Kilogramo</v>
      </c>
      <c r="C41" s="646">
        <f>+'[7] E.PRECIOS'!AM40</f>
        <v>11670</v>
      </c>
      <c r="D41" s="646">
        <f>+'[7] E.PRECIOS'!AN40</f>
        <v>0</v>
      </c>
      <c r="E41" s="646">
        <f>+'[7] E.PRECIOS'!AO40</f>
        <v>0</v>
      </c>
      <c r="F41" s="646">
        <f>+'[7] E.PRECIOS'!AP40</f>
        <v>0</v>
      </c>
      <c r="G41" s="646">
        <f>+'[7] E.PRECIOS'!AQ40</f>
        <v>0</v>
      </c>
      <c r="H41" s="646">
        <f>+'[7] E.PRECIOS'!AR40</f>
        <v>11670</v>
      </c>
      <c r="I41" s="648">
        <f>+'[7] E.PRECIOS'!AS40</f>
        <v>11.67</v>
      </c>
      <c r="J41" s="644">
        <f>+'[7] E.PRECIOS'!AT40</f>
        <v>0</v>
      </c>
    </row>
    <row r="42" spans="1:10" x14ac:dyDescent="0.25">
      <c r="A42" s="645" t="str">
        <f>+'[7] E.PRECIOS'!A41</f>
        <v>Carne molida</v>
      </c>
      <c r="B42" s="645" t="str">
        <f>+'[7] E.PRECIOS'!B41</f>
        <v>Kilogramo</v>
      </c>
      <c r="C42" s="646">
        <f>+'[7] E.PRECIOS'!AM41</f>
        <v>11670</v>
      </c>
      <c r="D42" s="646">
        <f>+'[7] E.PRECIOS'!AN41</f>
        <v>0</v>
      </c>
      <c r="E42" s="646">
        <f>+'[7] E.PRECIOS'!AO41</f>
        <v>0</v>
      </c>
      <c r="F42" s="646">
        <f>+'[7] E.PRECIOS'!AP41</f>
        <v>0</v>
      </c>
      <c r="G42" s="646">
        <f>+'[7] E.PRECIOS'!AQ41</f>
        <v>0</v>
      </c>
      <c r="H42" s="646">
        <f>+'[7] E.PRECIOS'!AR41</f>
        <v>11670</v>
      </c>
      <c r="I42" s="648">
        <f>+'[7] E.PRECIOS'!AS41</f>
        <v>11.67</v>
      </c>
      <c r="J42" s="644">
        <f>+'[7] E.PRECIOS'!AT41</f>
        <v>0</v>
      </c>
    </row>
    <row r="43" spans="1:10" x14ac:dyDescent="0.25">
      <c r="A43" s="645" t="str">
        <f>+'[7] E.PRECIOS'!A42</f>
        <v>Cebolla de huevo</v>
      </c>
      <c r="B43" s="645" t="str">
        <f>+'[7] E.PRECIOS'!B42</f>
        <v>Kilogramo</v>
      </c>
      <c r="C43" s="646">
        <f>+'[7] E.PRECIOS'!AM42</f>
        <v>0</v>
      </c>
      <c r="D43" s="646">
        <f>+'[7] E.PRECIOS'!AN42</f>
        <v>2707</v>
      </c>
      <c r="E43" s="646">
        <f>+'[7] E.PRECIOS'!AO42</f>
        <v>2000</v>
      </c>
      <c r="F43" s="646">
        <f>+'[7] E.PRECIOS'!AP42</f>
        <v>2850</v>
      </c>
      <c r="G43" s="646">
        <f>+'[7] E.PRECIOS'!AQ42</f>
        <v>2220</v>
      </c>
      <c r="H43" s="646">
        <f>+'[7] E.PRECIOS'!AR42</f>
        <v>2444.25</v>
      </c>
      <c r="I43" s="648">
        <f>+'[7] E.PRECIOS'!AS42</f>
        <v>2.4442499999999998</v>
      </c>
      <c r="J43" s="644">
        <f>+'[7] E.PRECIOS'!AT42</f>
        <v>0</v>
      </c>
    </row>
    <row r="44" spans="1:10" x14ac:dyDescent="0.25">
      <c r="A44" s="645" t="str">
        <f>+'[7] E.PRECIOS'!A43</f>
        <v>Cebolla de rama</v>
      </c>
      <c r="B44" s="645" t="str">
        <f>+'[7] E.PRECIOS'!B43</f>
        <v>Kilogramo</v>
      </c>
      <c r="C44" s="646">
        <f>+'[7] E.PRECIOS'!AM43</f>
        <v>0</v>
      </c>
      <c r="D44" s="646">
        <f>+'[7] E.PRECIOS'!AN43</f>
        <v>2380</v>
      </c>
      <c r="E44" s="646">
        <f>+'[7] E.PRECIOS'!AO43</f>
        <v>1175</v>
      </c>
      <c r="F44" s="646">
        <f>+'[7] E.PRECIOS'!AP43</f>
        <v>3500</v>
      </c>
      <c r="G44" s="646">
        <f>+'[7] E.PRECIOS'!AQ43</f>
        <v>1980</v>
      </c>
      <c r="H44" s="646">
        <f>+'[7] E.PRECIOS'!AR43</f>
        <v>2258.75</v>
      </c>
      <c r="I44" s="648">
        <f>+'[7] E.PRECIOS'!AS43</f>
        <v>2.25875</v>
      </c>
      <c r="J44" s="644">
        <f>+'[7] E.PRECIOS'!AT43</f>
        <v>0</v>
      </c>
    </row>
    <row r="45" spans="1:10" x14ac:dyDescent="0.25">
      <c r="A45" s="645" t="str">
        <f>+'[7] E.PRECIOS'!A44</f>
        <v>Cebolla junca</v>
      </c>
      <c r="B45" s="645" t="str">
        <f>+'[7] E.PRECIOS'!B44</f>
        <v>Kilogramo</v>
      </c>
      <c r="C45" s="646">
        <f>+'[7] E.PRECIOS'!AM44</f>
        <v>0</v>
      </c>
      <c r="D45" s="646">
        <f>+'[7] E.PRECIOS'!AN44</f>
        <v>2540</v>
      </c>
      <c r="E45" s="646">
        <f>+'[7] E.PRECIOS'!AO44</f>
        <v>3000</v>
      </c>
      <c r="F45" s="646">
        <f>+'[7] E.PRECIOS'!AP44</f>
        <v>2640</v>
      </c>
      <c r="G45" s="646">
        <f>+'[7] E.PRECIOS'!AQ44</f>
        <v>1980</v>
      </c>
      <c r="H45" s="646">
        <f>+'[7] E.PRECIOS'!AR44</f>
        <v>2540</v>
      </c>
      <c r="I45" s="648">
        <f>+'[7] E.PRECIOS'!AS44</f>
        <v>2.54</v>
      </c>
      <c r="J45" s="644">
        <f>+'[7] E.PRECIOS'!AT44</f>
        <v>0</v>
      </c>
    </row>
    <row r="46" spans="1:10" x14ac:dyDescent="0.25">
      <c r="A46" s="645" t="str">
        <f>+'[7] E.PRECIOS'!A45</f>
        <v>Choco krispis</v>
      </c>
      <c r="B46" s="645" t="str">
        <f>+'[7] E.PRECIOS'!B45</f>
        <v>Gramos</v>
      </c>
      <c r="C46" s="646">
        <f>+'[7] E.PRECIOS'!AM45</f>
        <v>0</v>
      </c>
      <c r="D46" s="646">
        <f>+'[7] E.PRECIOS'!AN45</f>
        <v>7820</v>
      </c>
      <c r="E46" s="646">
        <f>+'[7] E.PRECIOS'!AO45</f>
        <v>9210</v>
      </c>
      <c r="F46" s="646">
        <f>+'[7] E.PRECIOS'!AP45</f>
        <v>6308.5714285714294</v>
      </c>
      <c r="G46" s="646">
        <f>+'[7] E.PRECIOS'!AQ45</f>
        <v>8010</v>
      </c>
      <c r="H46" s="646">
        <f>+'[7] E.PRECIOS'!AR45</f>
        <v>7837.1428571428569</v>
      </c>
      <c r="I46" s="648">
        <f>+'[7] E.PRECIOS'!AS45</f>
        <v>24.491071428571427</v>
      </c>
      <c r="J46" s="644">
        <f>+'[7] E.PRECIOS'!AT45</f>
        <v>0</v>
      </c>
    </row>
    <row r="47" spans="1:10" x14ac:dyDescent="0.25">
      <c r="A47" s="645" t="str">
        <f>+'[7] E.PRECIOS'!A46</f>
        <v>Chocolate pastilla</v>
      </c>
      <c r="B47" s="645" t="str">
        <f>+'[7] E.PRECIOS'!B46</f>
        <v>Gramos</v>
      </c>
      <c r="C47" s="646">
        <f>+'[7] E.PRECIOS'!AM46</f>
        <v>0</v>
      </c>
      <c r="D47" s="646">
        <f>+'[7] E.PRECIOS'!AN46</f>
        <v>2445</v>
      </c>
      <c r="E47" s="646">
        <f>+'[7] E.PRECIOS'!AO46</f>
        <v>2698.3333333333335</v>
      </c>
      <c r="F47" s="646">
        <f>+'[7] E.PRECIOS'!AP46</f>
        <v>2450</v>
      </c>
      <c r="G47" s="646">
        <f>+'[7] E.PRECIOS'!AQ46</f>
        <v>2380</v>
      </c>
      <c r="H47" s="646">
        <f>+'[7] E.PRECIOS'!AR46</f>
        <v>2493.3333333333335</v>
      </c>
      <c r="I47" s="648">
        <f>+'[7] E.PRECIOS'!AS46</f>
        <v>19.946666666666669</v>
      </c>
      <c r="J47" s="644">
        <f>+'[7] E.PRECIOS'!AT46</f>
        <v>0</v>
      </c>
    </row>
    <row r="48" spans="1:10" x14ac:dyDescent="0.25">
      <c r="A48" s="645" t="str">
        <f>+'[7] E.PRECIOS'!A47</f>
        <v>Chocolatina jet</v>
      </c>
      <c r="B48" s="645" t="str">
        <f>+'[7] E.PRECIOS'!B47</f>
        <v>Gramos</v>
      </c>
      <c r="C48" s="646">
        <f>+'[7] E.PRECIOS'!AM47</f>
        <v>0</v>
      </c>
      <c r="D48" s="646">
        <f>+'[7] E.PRECIOS'!AN47</f>
        <v>3390</v>
      </c>
      <c r="E48" s="646">
        <f>+'[7] E.PRECIOS'!AO47</f>
        <v>3620</v>
      </c>
      <c r="F48" s="646">
        <f>+'[7] E.PRECIOS'!AP47</f>
        <v>4090</v>
      </c>
      <c r="G48" s="646">
        <f>+'[7] E.PRECIOS'!AQ47</f>
        <v>3150</v>
      </c>
      <c r="H48" s="646">
        <f>+'[7] E.PRECIOS'!AR47</f>
        <v>3562.5</v>
      </c>
      <c r="I48" s="648">
        <f>+'[7] E.PRECIOS'!AS47</f>
        <v>29.6875</v>
      </c>
      <c r="J48" s="644">
        <f>+'[7] E.PRECIOS'!AT47</f>
        <v>0</v>
      </c>
    </row>
    <row r="49" spans="1:10" x14ac:dyDescent="0.25">
      <c r="A49" s="645" t="str">
        <f>+'[7] E.PRECIOS'!A48</f>
        <v>Chocolisto</v>
      </c>
      <c r="B49" s="645" t="str">
        <f>+'[7] E.PRECIOS'!B48</f>
        <v>Gramos</v>
      </c>
      <c r="C49" s="646">
        <f>+'[7] E.PRECIOS'!AM48</f>
        <v>0</v>
      </c>
      <c r="D49" s="646">
        <f>+'[7] E.PRECIOS'!AN48</f>
        <v>2245</v>
      </c>
      <c r="E49" s="646">
        <f>+'[7] E.PRECIOS'!AO48</f>
        <v>3150</v>
      </c>
      <c r="F49" s="646">
        <f>+'[7] E.PRECIOS'!AP48</f>
        <v>2940</v>
      </c>
      <c r="G49" s="646">
        <f>+'[7] E.PRECIOS'!AQ48</f>
        <v>2870</v>
      </c>
      <c r="H49" s="646">
        <f>+'[7] E.PRECIOS'!AR48</f>
        <v>2801.25</v>
      </c>
      <c r="I49" s="648">
        <f>+'[7] E.PRECIOS'!AS48</f>
        <v>14.00625</v>
      </c>
      <c r="J49" s="644">
        <f>+'[7] E.PRECIOS'!AT48</f>
        <v>0</v>
      </c>
    </row>
    <row r="50" spans="1:10" x14ac:dyDescent="0.25">
      <c r="A50" s="645" t="str">
        <f>+'[7] E.PRECIOS'!A49</f>
        <v>Chupeta</v>
      </c>
      <c r="B50" s="645" t="str">
        <f>+'[7] E.PRECIOS'!B49</f>
        <v>Gramos</v>
      </c>
      <c r="C50" s="646">
        <f>+'[7] E.PRECIOS'!AM49</f>
        <v>0</v>
      </c>
      <c r="D50" s="646">
        <f>+'[7] E.PRECIOS'!AN49</f>
        <v>2091.5</v>
      </c>
      <c r="E50" s="646">
        <f>+'[7] E.PRECIOS'!AO49</f>
        <v>1245</v>
      </c>
      <c r="F50" s="646">
        <f>+'[7] E.PRECIOS'!AP49</f>
        <v>1384</v>
      </c>
      <c r="G50" s="646">
        <f>+'[7] E.PRECIOS'!AQ49</f>
        <v>1340</v>
      </c>
      <c r="H50" s="646">
        <f>+'[7] E.PRECIOS'!AR49</f>
        <v>1515.125</v>
      </c>
      <c r="I50" s="648">
        <f>+'[7] E.PRECIOS'!AS49</f>
        <v>8.4173611111111111</v>
      </c>
      <c r="J50" s="644">
        <f>+'[7] E.PRECIOS'!AT49</f>
        <v>0</v>
      </c>
    </row>
    <row r="51" spans="1:10" x14ac:dyDescent="0.25">
      <c r="A51" s="645" t="str">
        <f>+'[7] E.PRECIOS'!A50</f>
        <v>Cilantro</v>
      </c>
      <c r="B51" s="645" t="str">
        <f>+'[7] E.PRECIOS'!B50</f>
        <v>Gramos</v>
      </c>
      <c r="C51" s="646">
        <f>+'[7] E.PRECIOS'!AM50</f>
        <v>0</v>
      </c>
      <c r="D51" s="646">
        <f>+'[7] E.PRECIOS'!AN50</f>
        <v>530</v>
      </c>
      <c r="E51" s="646">
        <f>+'[7] E.PRECIOS'!AO50</f>
        <v>1200</v>
      </c>
      <c r="F51" s="646">
        <f>+'[7] E.PRECIOS'!AP50</f>
        <v>2900</v>
      </c>
      <c r="G51" s="646">
        <f>+'[7] E.PRECIOS'!AQ50</f>
        <v>867.39130434782612</v>
      </c>
      <c r="H51" s="646">
        <f>+'[7] E.PRECIOS'!AR50</f>
        <v>1374.3478260869565</v>
      </c>
      <c r="I51" s="648">
        <f>+'[7] E.PRECIOS'!AS50</f>
        <v>13.743478260869566</v>
      </c>
      <c r="J51" s="644">
        <f>+'[7] E.PRECIOS'!AT50</f>
        <v>0</v>
      </c>
    </row>
    <row r="52" spans="1:10" x14ac:dyDescent="0.25">
      <c r="A52" s="645" t="str">
        <f>+'[7] E.PRECIOS'!A51</f>
        <v>Cocoa</v>
      </c>
      <c r="B52" s="645" t="str">
        <f>+'[7] E.PRECIOS'!B51</f>
        <v>Gramos</v>
      </c>
      <c r="C52" s="646">
        <f>+'[7] E.PRECIOS'!AM51</f>
        <v>0</v>
      </c>
      <c r="D52" s="646">
        <f>+'[7] E.PRECIOS'!AN51</f>
        <v>2199</v>
      </c>
      <c r="E52" s="646">
        <f>+'[7] E.PRECIOS'!AO51</f>
        <v>2080</v>
      </c>
      <c r="F52" s="646">
        <f>+'[7] E.PRECIOS'!AP51</f>
        <v>2262.5</v>
      </c>
      <c r="G52" s="646">
        <f>+'[7] E.PRECIOS'!AQ51</f>
        <v>2294</v>
      </c>
      <c r="H52" s="646">
        <f>+'[7] E.PRECIOS'!AR51</f>
        <v>2208.875</v>
      </c>
      <c r="I52" s="648">
        <f>+'[7] E.PRECIOS'!AS51</f>
        <v>17.670999999999999</v>
      </c>
      <c r="J52" s="644">
        <f>+'[7] E.PRECIOS'!AT51</f>
        <v>0</v>
      </c>
    </row>
    <row r="53" spans="1:10" x14ac:dyDescent="0.25">
      <c r="A53" s="645" t="str">
        <f>+'[7] E.PRECIOS'!A52</f>
        <v>Coliflor</v>
      </c>
      <c r="B53" s="645" t="str">
        <f>+'[7] E.PRECIOS'!B52</f>
        <v>Kilogramo</v>
      </c>
      <c r="C53" s="646">
        <f>+'[7] E.PRECIOS'!AM52</f>
        <v>0</v>
      </c>
      <c r="D53" s="646">
        <f>+'[7] E.PRECIOS'!AN52</f>
        <v>3430</v>
      </c>
      <c r="E53" s="646">
        <f>+'[7] E.PRECIOS'!AO52</f>
        <v>3750</v>
      </c>
      <c r="F53" s="646">
        <f>+'[7] E.PRECIOS'!AP52</f>
        <v>3500</v>
      </c>
      <c r="G53" s="646">
        <f>+'[7] E.PRECIOS'!AQ52</f>
        <v>5138</v>
      </c>
      <c r="H53" s="646">
        <f>+'[7] E.PRECIOS'!AR52</f>
        <v>3954.5</v>
      </c>
      <c r="I53" s="648">
        <f>+'[7] E.PRECIOS'!AS52</f>
        <v>3.9544999999999999</v>
      </c>
      <c r="J53" s="644">
        <f>+'[7] E.PRECIOS'!AT52</f>
        <v>0</v>
      </c>
    </row>
    <row r="54" spans="1:10" x14ac:dyDescent="0.25">
      <c r="A54" s="645" t="str">
        <f>+'[7] E.PRECIOS'!A53</f>
        <v>Color</v>
      </c>
      <c r="B54" s="645" t="str">
        <f>+'[7] E.PRECIOS'!B53</f>
        <v>Gramos</v>
      </c>
      <c r="C54" s="646">
        <f>+'[7] E.PRECIOS'!AM53</f>
        <v>0</v>
      </c>
      <c r="D54" s="646">
        <f>+'[7] E.PRECIOS'!AN53</f>
        <v>1797</v>
      </c>
      <c r="E54" s="646">
        <f>+'[7] E.PRECIOS'!AO53</f>
        <v>1197.5</v>
      </c>
      <c r="F54" s="646">
        <f>+'[7] E.PRECIOS'!AP53</f>
        <v>2084.4155844155844</v>
      </c>
      <c r="G54" s="646">
        <f>+'[7] E.PRECIOS'!AQ53</f>
        <v>1658.3333333333333</v>
      </c>
      <c r="H54" s="646">
        <f>+'[7] E.PRECIOS'!AR53</f>
        <v>1684.3122294372295</v>
      </c>
      <c r="I54" s="648">
        <f>+'[7] E.PRECIOS'!AS53</f>
        <v>13.474497835497836</v>
      </c>
      <c r="J54" s="644">
        <f>+'[7] E.PRECIOS'!AT53</f>
        <v>0</v>
      </c>
    </row>
    <row r="55" spans="1:10" x14ac:dyDescent="0.25">
      <c r="A55" s="645" t="str">
        <f>+'[7] E.PRECIOS'!A54</f>
        <v>Contramuslo</v>
      </c>
      <c r="B55" s="645" t="str">
        <f>+'[7] E.PRECIOS'!B54</f>
        <v>Kilogramo</v>
      </c>
      <c r="C55" s="646">
        <f>+'[7] E.PRECIOS'!AM54</f>
        <v>0</v>
      </c>
      <c r="D55" s="646">
        <f>+'[7] E.PRECIOS'!AN54</f>
        <v>7548</v>
      </c>
      <c r="E55" s="646">
        <f>+'[7] E.PRECIOS'!AO54</f>
        <v>8700</v>
      </c>
      <c r="F55" s="646">
        <f>+'[7] E.PRECIOS'!AP54</f>
        <v>9320</v>
      </c>
      <c r="G55" s="646">
        <f>+'[7] E.PRECIOS'!AQ54</f>
        <v>8453.7037037037026</v>
      </c>
      <c r="H55" s="646">
        <f>+'[7] E.PRECIOS'!AR54</f>
        <v>8505.4259259259252</v>
      </c>
      <c r="I55" s="648">
        <f>+'[7] E.PRECIOS'!AS54</f>
        <v>8.5054259259259251</v>
      </c>
      <c r="J55" s="644">
        <f>+'[7] E.PRECIOS'!AT54</f>
        <v>0</v>
      </c>
    </row>
    <row r="56" spans="1:10" x14ac:dyDescent="0.25">
      <c r="A56" s="645" t="str">
        <f>+'[7] E.PRECIOS'!A55</f>
        <v>Crema de leche</v>
      </c>
      <c r="B56" s="645" t="str">
        <f>+'[7] E.PRECIOS'!B55</f>
        <v>Gramos</v>
      </c>
      <c r="C56" s="646">
        <f>+'[7] E.PRECIOS'!AM55</f>
        <v>0</v>
      </c>
      <c r="D56" s="646">
        <f>+'[7] E.PRECIOS'!AN55</f>
        <v>2524.3333333333335</v>
      </c>
      <c r="E56" s="646">
        <f>+'[7] E.PRECIOS'!AO55</f>
        <v>2072</v>
      </c>
      <c r="F56" s="646">
        <f>+'[7] E.PRECIOS'!AP55</f>
        <v>1885</v>
      </c>
      <c r="G56" s="646">
        <f>+'[7] E.PRECIOS'!AQ55</f>
        <v>1790</v>
      </c>
      <c r="H56" s="646">
        <f>+'[7] E.PRECIOS'!AR55</f>
        <v>2067.8333333333335</v>
      </c>
      <c r="I56" s="648">
        <f>+'[7] E.PRECIOS'!AS55</f>
        <v>10.339166666666667</v>
      </c>
      <c r="J56" s="644">
        <f>+'[7] E.PRECIOS'!AT55</f>
        <v>0</v>
      </c>
    </row>
    <row r="57" spans="1:10" x14ac:dyDescent="0.25">
      <c r="A57" s="645" t="str">
        <f>+'[7] E.PRECIOS'!A56</f>
        <v>Croassan</v>
      </c>
      <c r="B57" s="645" t="str">
        <f>+'[7] E.PRECIOS'!B56</f>
        <v>Gramos</v>
      </c>
      <c r="C57" s="646">
        <f>+'[7] E.PRECIOS'!AM56</f>
        <v>0</v>
      </c>
      <c r="D57" s="646">
        <f>+'[7] E.PRECIOS'!AN56</f>
        <v>2920</v>
      </c>
      <c r="E57" s="646">
        <f>+'[7] E.PRECIOS'!AO56</f>
        <v>0</v>
      </c>
      <c r="F57" s="646">
        <f>+'[7] E.PRECIOS'!AP56</f>
        <v>2755</v>
      </c>
      <c r="G57" s="646">
        <f>+'[7] E.PRECIOS'!AQ56</f>
        <v>3780</v>
      </c>
      <c r="H57" s="646">
        <f>+'[7] E.PRECIOS'!AR56</f>
        <v>3151.6666666666665</v>
      </c>
      <c r="I57" s="648">
        <f>+'[7] E.PRECIOS'!AS56</f>
        <v>13.131944444444445</v>
      </c>
      <c r="J57" s="644">
        <f>+'[7] E.PRECIOS'!AT56</f>
        <v>0</v>
      </c>
    </row>
    <row r="58" spans="1:10" x14ac:dyDescent="0.25">
      <c r="A58" s="645" t="str">
        <f>+'[7] E.PRECIOS'!A57</f>
        <v>Cuajada</v>
      </c>
      <c r="B58" s="645" t="str">
        <f>+'[7] E.PRECIOS'!B57</f>
        <v>Gramos</v>
      </c>
      <c r="C58" s="646">
        <f>+'[7] E.PRECIOS'!AM57</f>
        <v>0</v>
      </c>
      <c r="D58" s="646">
        <f>+'[7] E.PRECIOS'!AN57</f>
        <v>5813.333333333333</v>
      </c>
      <c r="E58" s="646">
        <f>+'[7] E.PRECIOS'!AO57</f>
        <v>6106.666666666667</v>
      </c>
      <c r="F58" s="646">
        <f>+'[7] E.PRECIOS'!AP57</f>
        <v>4856.666666666667</v>
      </c>
      <c r="G58" s="646">
        <f>+'[7] E.PRECIOS'!AQ57</f>
        <v>5345.666666666667</v>
      </c>
      <c r="H58" s="646">
        <f>+'[7] E.PRECIOS'!AR57</f>
        <v>5530.5833333333339</v>
      </c>
      <c r="I58" s="648">
        <f>+'[7] E.PRECIOS'!AS57</f>
        <v>11.061166666666669</v>
      </c>
      <c r="J58" s="644">
        <f>+'[7] E.PRECIOS'!AT57</f>
        <v>0</v>
      </c>
    </row>
    <row r="59" spans="1:10" x14ac:dyDescent="0.25">
      <c r="A59" s="645" t="str">
        <f>+'[7] E.PRECIOS'!A58</f>
        <v>Curuba</v>
      </c>
      <c r="B59" s="645" t="str">
        <f>+'[7] E.PRECIOS'!B58</f>
        <v>Gramos</v>
      </c>
      <c r="C59" s="646">
        <f>+'[7] E.PRECIOS'!AM58</f>
        <v>0</v>
      </c>
      <c r="D59" s="646">
        <f>+'[7] E.PRECIOS'!AN58</f>
        <v>2930</v>
      </c>
      <c r="E59" s="646">
        <f>+'[7] E.PRECIOS'!AO58</f>
        <v>1675</v>
      </c>
      <c r="F59" s="646">
        <f>+'[7] E.PRECIOS'!AP58</f>
        <v>0</v>
      </c>
      <c r="G59" s="646">
        <f>+'[7] E.PRECIOS'!AQ58</f>
        <v>2200</v>
      </c>
      <c r="H59" s="646">
        <f>+'[7] E.PRECIOS'!AR58</f>
        <v>2268.3333333333335</v>
      </c>
      <c r="I59" s="648">
        <f>+'[7] E.PRECIOS'!AS58</f>
        <v>2.2683333333333335</v>
      </c>
      <c r="J59" s="644">
        <f>+'[7] E.PRECIOS'!AT58</f>
        <v>0</v>
      </c>
    </row>
    <row r="60" spans="1:10" x14ac:dyDescent="0.25">
      <c r="A60" s="645" t="str">
        <f>+'[7] E.PRECIOS'!A59</f>
        <v>Esencia de vainilla</v>
      </c>
      <c r="B60" s="645" t="str">
        <f>+'[7] E.PRECIOS'!B59</f>
        <v>Gramos</v>
      </c>
      <c r="C60" s="646">
        <f>+'[7] E.PRECIOS'!AM59</f>
        <v>0</v>
      </c>
      <c r="D60" s="646">
        <f>+'[7] E.PRECIOS'!AN59</f>
        <v>2245</v>
      </c>
      <c r="E60" s="646">
        <f>+'[7] E.PRECIOS'!AO59</f>
        <v>1349</v>
      </c>
      <c r="F60" s="646">
        <f>+'[7] E.PRECIOS'!AP59</f>
        <v>1390</v>
      </c>
      <c r="G60" s="646">
        <f>+'[7] E.PRECIOS'!AQ59</f>
        <v>2015</v>
      </c>
      <c r="H60" s="646">
        <f>+'[7] E.PRECIOS'!AR59</f>
        <v>1749.75</v>
      </c>
      <c r="I60" s="648">
        <f>+'[7] E.PRECIOS'!AS59</f>
        <v>19.441666666666666</v>
      </c>
      <c r="J60" s="644">
        <f>+'[7] E.PRECIOS'!AT59</f>
        <v>0</v>
      </c>
    </row>
    <row r="61" spans="1:10" x14ac:dyDescent="0.25">
      <c r="A61" s="645" t="str">
        <f>+'[7] E.PRECIOS'!A60</f>
        <v>Espinaca</v>
      </c>
      <c r="B61" s="645" t="str">
        <f>+'[7] E.PRECIOS'!B60</f>
        <v>Gramos</v>
      </c>
      <c r="C61" s="646">
        <f>+'[7] E.PRECIOS'!AM60</f>
        <v>0</v>
      </c>
      <c r="D61" s="646">
        <f>+'[7] E.PRECIOS'!AN60</f>
        <v>1700</v>
      </c>
      <c r="E61" s="646">
        <f>+'[7] E.PRECIOS'!AO60</f>
        <v>2000</v>
      </c>
      <c r="F61" s="646">
        <f>+'[7] E.PRECIOS'!AP60</f>
        <v>2900</v>
      </c>
      <c r="G61" s="646">
        <f>+'[7] E.PRECIOS'!AQ60</f>
        <v>2900</v>
      </c>
      <c r="H61" s="646">
        <f>+'[7] E.PRECIOS'!AR60</f>
        <v>2375</v>
      </c>
      <c r="I61" s="648">
        <f>+'[7] E.PRECIOS'!AS60</f>
        <v>4.75</v>
      </c>
      <c r="J61" s="644">
        <f>+'[7] E.PRECIOS'!AT60</f>
        <v>0</v>
      </c>
    </row>
    <row r="62" spans="1:10" x14ac:dyDescent="0.25">
      <c r="A62" s="645" t="str">
        <f>+'[7] E.PRECIOS'!A61</f>
        <v>Fécula de maíz</v>
      </c>
      <c r="B62" s="645" t="str">
        <f>+'[7] E.PRECIOS'!B61</f>
        <v>Gramos</v>
      </c>
      <c r="C62" s="646">
        <f>+'[7] E.PRECIOS'!AM61</f>
        <v>0</v>
      </c>
      <c r="D62" s="646">
        <f>+'[7] E.PRECIOS'!AN61</f>
        <v>4866</v>
      </c>
      <c r="E62" s="646">
        <f>+'[7] E.PRECIOS'!AO61</f>
        <v>5353</v>
      </c>
      <c r="F62" s="646">
        <f>+'[7] E.PRECIOS'!AP61</f>
        <v>4120</v>
      </c>
      <c r="G62" s="646">
        <f>+'[7] E.PRECIOS'!AQ61</f>
        <v>4642.105263157895</v>
      </c>
      <c r="H62" s="646">
        <f>+'[7] E.PRECIOS'!AR61</f>
        <v>4745.2763157894733</v>
      </c>
      <c r="I62" s="648">
        <f>+'[7] E.PRECIOS'!AS61</f>
        <v>13.181323099415204</v>
      </c>
      <c r="J62" s="644">
        <f>+'[7] E.PRECIOS'!AT61</f>
        <v>0</v>
      </c>
    </row>
    <row r="63" spans="1:10" x14ac:dyDescent="0.25">
      <c r="A63" s="645" t="str">
        <f>+'[7] E.PRECIOS'!A62</f>
        <v>Filete de pescado</v>
      </c>
      <c r="B63" s="645" t="str">
        <f>+'[7] E.PRECIOS'!B62</f>
        <v>Gramos</v>
      </c>
      <c r="C63" s="646">
        <f>+'[7] E.PRECIOS'!AM62</f>
        <v>0</v>
      </c>
      <c r="D63" s="646">
        <f>+'[7] E.PRECIOS'!AN62</f>
        <v>25944.333333333332</v>
      </c>
      <c r="E63" s="646">
        <f>+'[7] E.PRECIOS'!AO62</f>
        <v>17226.666666666668</v>
      </c>
      <c r="F63" s="646">
        <f>+'[7] E.PRECIOS'!AP62</f>
        <v>12720</v>
      </c>
      <c r="G63" s="646">
        <f>+'[7] E.PRECIOS'!AQ62</f>
        <v>10080</v>
      </c>
      <c r="H63" s="646">
        <f>+'[7] E.PRECIOS'!AR62</f>
        <v>16492.75</v>
      </c>
      <c r="I63" s="648">
        <f>+'[7] E.PRECIOS'!AS62</f>
        <v>16.492750000000001</v>
      </c>
      <c r="J63" s="644">
        <f>+'[7] E.PRECIOS'!AT62</f>
        <v>0</v>
      </c>
    </row>
    <row r="64" spans="1:10" x14ac:dyDescent="0.25">
      <c r="A64" s="645" t="str">
        <f>+'[7] E.PRECIOS'!A63</f>
        <v>Fresa</v>
      </c>
      <c r="B64" s="645" t="str">
        <f>+'[7] E.PRECIOS'!B63</f>
        <v>Kilogramo</v>
      </c>
      <c r="C64" s="646">
        <f>+'[7] E.PRECIOS'!AM63</f>
        <v>0</v>
      </c>
      <c r="D64" s="646">
        <f>+'[7] E.PRECIOS'!AN63</f>
        <v>9360</v>
      </c>
      <c r="E64" s="646">
        <f>+'[7] E.PRECIOS'!AO63</f>
        <v>5900</v>
      </c>
      <c r="F64" s="646">
        <f>+'[7] E.PRECIOS'!AP63</f>
        <v>4400</v>
      </c>
      <c r="G64" s="646">
        <f>+'[7] E.PRECIOS'!AQ63</f>
        <v>2280</v>
      </c>
      <c r="H64" s="646">
        <f>+'[7] E.PRECIOS'!AR63</f>
        <v>5485</v>
      </c>
      <c r="I64" s="648">
        <f>+'[7] E.PRECIOS'!AS63</f>
        <v>5.4850000000000003</v>
      </c>
      <c r="J64" s="644">
        <f>+'[7] E.PRECIOS'!AT63</f>
        <v>0</v>
      </c>
    </row>
    <row r="65" spans="1:10" x14ac:dyDescent="0.25">
      <c r="A65" s="645" t="str">
        <f>+'[7] E.PRECIOS'!A64</f>
        <v>Frescavena</v>
      </c>
      <c r="B65" s="645" t="str">
        <f>+'[7] E.PRECIOS'!B64</f>
        <v>Gramos</v>
      </c>
      <c r="C65" s="646">
        <f>+'[7] E.PRECIOS'!AM64</f>
        <v>0</v>
      </c>
      <c r="D65" s="646">
        <f>+'[7] E.PRECIOS'!AN64</f>
        <v>3616.5</v>
      </c>
      <c r="E65" s="646">
        <f>+'[7] E.PRECIOS'!AO64</f>
        <v>3795.5</v>
      </c>
      <c r="F65" s="646">
        <f>+'[7] E.PRECIOS'!AP64</f>
        <v>3570</v>
      </c>
      <c r="G65" s="646">
        <f>+'[7] E.PRECIOS'!AQ64</f>
        <v>3490</v>
      </c>
      <c r="H65" s="646">
        <f>+'[7] E.PRECIOS'!AR64</f>
        <v>3618</v>
      </c>
      <c r="I65" s="648">
        <f>+'[7] E.PRECIOS'!AS64</f>
        <v>20.100000000000001</v>
      </c>
      <c r="J65" s="644">
        <f>+'[7] E.PRECIOS'!AT64</f>
        <v>0</v>
      </c>
    </row>
    <row r="66" spans="1:10" x14ac:dyDescent="0.25">
      <c r="A66" s="645" t="str">
        <f>+'[7] E.PRECIOS'!A65</f>
        <v>Frijol cargamanto blanco</v>
      </c>
      <c r="B66" s="645" t="str">
        <f>+'[7] E.PRECIOS'!B65</f>
        <v>Kilogramo</v>
      </c>
      <c r="C66" s="646">
        <f>+'[7] E.PRECIOS'!AM65</f>
        <v>0</v>
      </c>
      <c r="D66" s="646">
        <f>+'[7] E.PRECIOS'!AN65</f>
        <v>5890</v>
      </c>
      <c r="E66" s="646">
        <f>+'[7] E.PRECIOS'!AO65</f>
        <v>5610</v>
      </c>
      <c r="F66" s="646">
        <f>+'[7] E.PRECIOS'!AP65</f>
        <v>6150</v>
      </c>
      <c r="G66" s="646">
        <f>+'[7] E.PRECIOS'!AQ65</f>
        <v>6940</v>
      </c>
      <c r="H66" s="646">
        <f>+'[7] E.PRECIOS'!AR65</f>
        <v>6147.5</v>
      </c>
      <c r="I66" s="648">
        <f>+'[7] E.PRECIOS'!AS65</f>
        <v>6.1475</v>
      </c>
      <c r="J66" s="644">
        <f>+'[7] E.PRECIOS'!AT65</f>
        <v>0</v>
      </c>
    </row>
    <row r="67" spans="1:10" x14ac:dyDescent="0.25">
      <c r="A67" s="645" t="str">
        <f>+'[7] E.PRECIOS'!A66</f>
        <v xml:space="preserve">Frijol cargamanto </v>
      </c>
      <c r="B67" s="645" t="str">
        <f>+'[7] E.PRECIOS'!B66</f>
        <v>Kilogramo</v>
      </c>
      <c r="C67" s="646">
        <f>+'[7] E.PRECIOS'!AM66</f>
        <v>0</v>
      </c>
      <c r="D67" s="646">
        <f>+'[7] E.PRECIOS'!AN66</f>
        <v>5920</v>
      </c>
      <c r="E67" s="646">
        <f>+'[7] E.PRECIOS'!AO66</f>
        <v>5520</v>
      </c>
      <c r="F67" s="646">
        <f>+'[7] E.PRECIOS'!AP66</f>
        <v>6650</v>
      </c>
      <c r="G67" s="646">
        <f>+'[7] E.PRECIOS'!AQ66</f>
        <v>6670</v>
      </c>
      <c r="H67" s="646">
        <f>+'[7] E.PRECIOS'!AR66</f>
        <v>6190</v>
      </c>
      <c r="I67" s="648">
        <f>+'[7] E.PRECIOS'!AS66</f>
        <v>6.19</v>
      </c>
      <c r="J67" s="644">
        <f>+'[7] E.PRECIOS'!AT66</f>
        <v>0</v>
      </c>
    </row>
    <row r="68" spans="1:10" x14ac:dyDescent="0.25">
      <c r="A68" s="645" t="str">
        <f>+'[7] E.PRECIOS'!A67</f>
        <v>Frijol cargamanto rojo</v>
      </c>
      <c r="B68" s="645" t="str">
        <f>+'[7] E.PRECIOS'!B67</f>
        <v>Kilogramo</v>
      </c>
      <c r="C68" s="646">
        <f>+'[7] E.PRECIOS'!AM67</f>
        <v>0</v>
      </c>
      <c r="D68" s="646">
        <f>+'[7] E.PRECIOS'!AN67</f>
        <v>5950</v>
      </c>
      <c r="E68" s="646">
        <f>+'[7] E.PRECIOS'!AO67</f>
        <v>5475</v>
      </c>
      <c r="F68" s="646">
        <f>+'[7] E.PRECIOS'!AP67</f>
        <v>7650</v>
      </c>
      <c r="G68" s="646">
        <f>+'[7] E.PRECIOS'!AQ67</f>
        <v>6130</v>
      </c>
      <c r="H68" s="646">
        <f>+'[7] E.PRECIOS'!AR67</f>
        <v>6301.25</v>
      </c>
      <c r="I68" s="648">
        <f>+'[7] E.PRECIOS'!AS67</f>
        <v>6.3012499999999996</v>
      </c>
      <c r="J68" s="644">
        <f>+'[7] E.PRECIOS'!AT67</f>
        <v>0</v>
      </c>
    </row>
    <row r="69" spans="1:10" x14ac:dyDescent="0.25">
      <c r="A69" s="645" t="str">
        <f>+'[7] E.PRECIOS'!A68</f>
        <v>Frunas</v>
      </c>
      <c r="B69" s="645" t="str">
        <f>+'[7] E.PRECIOS'!B68</f>
        <v>Gramos</v>
      </c>
      <c r="C69" s="646">
        <f>+'[7] E.PRECIOS'!AM68</f>
        <v>0</v>
      </c>
      <c r="D69" s="646">
        <f>+'[7] E.PRECIOS'!AN68</f>
        <v>6170</v>
      </c>
      <c r="E69" s="646">
        <f>+'[7] E.PRECIOS'!AO68</f>
        <v>0</v>
      </c>
      <c r="F69" s="646">
        <f>+'[7] E.PRECIOS'!AP68</f>
        <v>6266.666666666667</v>
      </c>
      <c r="G69" s="646">
        <f>+'[7] E.PRECIOS'!AQ68</f>
        <v>0</v>
      </c>
      <c r="H69" s="646">
        <f>+'[7] E.PRECIOS'!AR68</f>
        <v>6218.3333333333339</v>
      </c>
      <c r="I69" s="648">
        <f>+'[7] E.PRECIOS'!AS68</f>
        <v>11.777146464646465</v>
      </c>
      <c r="J69" s="644">
        <f>+'[7] E.PRECIOS'!AT68</f>
        <v>0</v>
      </c>
    </row>
    <row r="70" spans="1:10" x14ac:dyDescent="0.25">
      <c r="A70" s="645" t="str">
        <f>+'[7] E.PRECIOS'!A69</f>
        <v>Gala</v>
      </c>
      <c r="B70" s="645" t="str">
        <f>+'[7] E.PRECIOS'!B69</f>
        <v>Gramos</v>
      </c>
      <c r="C70" s="646">
        <f>+'[7] E.PRECIOS'!AM69</f>
        <v>0</v>
      </c>
      <c r="D70" s="646">
        <f>+'[7] E.PRECIOS'!AN69</f>
        <v>4050</v>
      </c>
      <c r="E70" s="646">
        <f>+'[7] E.PRECIOS'!AO69</f>
        <v>3320</v>
      </c>
      <c r="F70" s="646">
        <f>+'[7] E.PRECIOS'!AP69</f>
        <v>3610</v>
      </c>
      <c r="G70" s="646">
        <f>+'[7] E.PRECIOS'!AQ69</f>
        <v>3570</v>
      </c>
      <c r="H70" s="646">
        <f>+'[7] E.PRECIOS'!AR69</f>
        <v>3637.5</v>
      </c>
      <c r="I70" s="648">
        <f>+'[7] E.PRECIOS'!AS69</f>
        <v>8.5588235294117645</v>
      </c>
      <c r="J70" s="644">
        <f>+'[7] E.PRECIOS'!AT69</f>
        <v>0</v>
      </c>
    </row>
    <row r="71" spans="1:10" x14ac:dyDescent="0.25">
      <c r="A71" s="645" t="str">
        <f>+'[7] E.PRECIOS'!A70</f>
        <v>Galleta cuca</v>
      </c>
      <c r="B71" s="645" t="str">
        <f>+'[7] E.PRECIOS'!B70</f>
        <v>Gramos</v>
      </c>
      <c r="C71" s="646">
        <f>+'[7] E.PRECIOS'!AM70</f>
        <v>0</v>
      </c>
      <c r="D71" s="646">
        <f>+'[7] E.PRECIOS'!AN70</f>
        <v>0</v>
      </c>
      <c r="E71" s="646">
        <f>+'[7] E.PRECIOS'!AO70</f>
        <v>4771</v>
      </c>
      <c r="F71" s="646">
        <f>+'[7] E.PRECIOS'!AP70</f>
        <v>2766.3428571428567</v>
      </c>
      <c r="G71" s="646">
        <f>+'[7] E.PRECIOS'!AQ70</f>
        <v>3467.5</v>
      </c>
      <c r="H71" s="646">
        <f>+'[7] E.PRECIOS'!AR70</f>
        <v>3668.2809523809519</v>
      </c>
      <c r="I71" s="648">
        <f>+'[7] E.PRECIOS'!AS70</f>
        <v>9.2633357383357371</v>
      </c>
      <c r="J71" s="644">
        <f>+'[7] E.PRECIOS'!AT70</f>
        <v>0</v>
      </c>
    </row>
    <row r="72" spans="1:10" x14ac:dyDescent="0.25">
      <c r="A72" s="645" t="str">
        <f>+'[7] E.PRECIOS'!A71</f>
        <v>Galleta de soda</v>
      </c>
      <c r="B72" s="645" t="str">
        <f>+'[7] E.PRECIOS'!B71</f>
        <v>Gramos</v>
      </c>
      <c r="C72" s="646">
        <f>+'[7] E.PRECIOS'!AM71</f>
        <v>0</v>
      </c>
      <c r="D72" s="646">
        <f>+'[7] E.PRECIOS'!AN71</f>
        <v>2290</v>
      </c>
      <c r="E72" s="646">
        <f>+'[7] E.PRECIOS'!AO71</f>
        <v>2560</v>
      </c>
      <c r="F72" s="646">
        <f>+'[7] E.PRECIOS'!AP71</f>
        <v>2590</v>
      </c>
      <c r="G72" s="646">
        <f>+'[7] E.PRECIOS'!AQ71</f>
        <v>1829.1666666666665</v>
      </c>
      <c r="H72" s="646">
        <f>+'[7] E.PRECIOS'!AR71</f>
        <v>2317.2916666666665</v>
      </c>
      <c r="I72" s="648">
        <f>+'[7] E.PRECIOS'!AS71</f>
        <v>11.034722222222221</v>
      </c>
      <c r="J72" s="644">
        <f>+'[7] E.PRECIOS'!AT71</f>
        <v>0</v>
      </c>
    </row>
    <row r="73" spans="1:10" x14ac:dyDescent="0.25">
      <c r="A73" s="645" t="str">
        <f>+'[7] E.PRECIOS'!A72</f>
        <v>Galleta ducales</v>
      </c>
      <c r="B73" s="645" t="str">
        <f>+'[7] E.PRECIOS'!B72</f>
        <v>Gramos</v>
      </c>
      <c r="C73" s="646">
        <f>+'[7] E.PRECIOS'!AM72</f>
        <v>0</v>
      </c>
      <c r="D73" s="646">
        <f>+'[7] E.PRECIOS'!AN72</f>
        <v>3210</v>
      </c>
      <c r="E73" s="646">
        <f>+'[7] E.PRECIOS'!AO72</f>
        <v>3190</v>
      </c>
      <c r="F73" s="646">
        <f>+'[7] E.PRECIOS'!AP72</f>
        <v>3130</v>
      </c>
      <c r="G73" s="646">
        <f>+'[7] E.PRECIOS'!AQ72</f>
        <v>3970</v>
      </c>
      <c r="H73" s="646">
        <f>+'[7] E.PRECIOS'!AR72</f>
        <v>3375</v>
      </c>
      <c r="I73" s="648">
        <f>+'[7] E.PRECIOS'!AS72</f>
        <v>10.817307692307692</v>
      </c>
      <c r="J73" s="644">
        <f>+'[7] E.PRECIOS'!AT72</f>
        <v>0</v>
      </c>
    </row>
    <row r="74" spans="1:10" x14ac:dyDescent="0.25">
      <c r="A74" s="645" t="str">
        <f>+'[7] E.PRECIOS'!A73</f>
        <v>Galleta Festival</v>
      </c>
      <c r="B74" s="645" t="str">
        <f>+'[7] E.PRECIOS'!B73</f>
        <v>Gramos</v>
      </c>
      <c r="C74" s="646">
        <f>+'[7] E.PRECIOS'!AM73</f>
        <v>0</v>
      </c>
      <c r="D74" s="646">
        <f>+'[7] E.PRECIOS'!AN73</f>
        <v>4100</v>
      </c>
      <c r="E74" s="646">
        <f>+'[7] E.PRECIOS'!AO73</f>
        <v>4500</v>
      </c>
      <c r="F74" s="646">
        <f>+'[7] E.PRECIOS'!AP73</f>
        <v>3960</v>
      </c>
      <c r="G74" s="646">
        <f>+'[7] E.PRECIOS'!AQ73</f>
        <v>3910</v>
      </c>
      <c r="H74" s="646">
        <f>+'[7] E.PRECIOS'!AR73</f>
        <v>4117.5</v>
      </c>
      <c r="I74" s="648">
        <f>+'[7] E.PRECIOS'!AS73</f>
        <v>9.9216867469879517</v>
      </c>
      <c r="J74" s="644">
        <f>+'[7] E.PRECIOS'!AT73</f>
        <v>0</v>
      </c>
    </row>
    <row r="75" spans="1:10" x14ac:dyDescent="0.25">
      <c r="A75" s="645" t="str">
        <f>+'[7] E.PRECIOS'!A74</f>
        <v>Galleta leche</v>
      </c>
      <c r="B75" s="645" t="str">
        <f>+'[7] E.PRECIOS'!B74</f>
        <v>Gramos</v>
      </c>
      <c r="C75" s="646">
        <f>+'[7] E.PRECIOS'!AM74</f>
        <v>0</v>
      </c>
      <c r="D75" s="646">
        <f>+'[7] E.PRECIOS'!AN74</f>
        <v>2040</v>
      </c>
      <c r="E75" s="646">
        <f>+'[7] E.PRECIOS'!AO74</f>
        <v>0</v>
      </c>
      <c r="F75" s="646">
        <f>+'[7] E.PRECIOS'!AP74</f>
        <v>0</v>
      </c>
      <c r="G75" s="646">
        <f>+'[7] E.PRECIOS'!AQ74</f>
        <v>2930</v>
      </c>
      <c r="H75" s="646">
        <f>+'[7] E.PRECIOS'!AR74</f>
        <v>2485</v>
      </c>
      <c r="I75" s="648">
        <f>+'[7] E.PRECIOS'!AS74</f>
        <v>9.8611111111111107</v>
      </c>
      <c r="J75" s="644">
        <f>+'[7] E.PRECIOS'!AT74</f>
        <v>0</v>
      </c>
    </row>
    <row r="76" spans="1:10" x14ac:dyDescent="0.25">
      <c r="A76" s="645" t="str">
        <f>+'[7] E.PRECIOS'!A75</f>
        <v>Galleta mantequilla</v>
      </c>
      <c r="B76" s="645" t="str">
        <f>+'[7] E.PRECIOS'!B75</f>
        <v>Gramos</v>
      </c>
      <c r="C76" s="646">
        <f>+'[7] E.PRECIOS'!AM75</f>
        <v>0</v>
      </c>
      <c r="D76" s="646">
        <f>+'[7] E.PRECIOS'!AN75</f>
        <v>3677.6666666666665</v>
      </c>
      <c r="E76" s="646">
        <f>+'[7] E.PRECIOS'!AO75</f>
        <v>3705</v>
      </c>
      <c r="F76" s="646">
        <f>+'[7] E.PRECIOS'!AP75</f>
        <v>0</v>
      </c>
      <c r="G76" s="646">
        <f>+'[7] E.PRECIOS'!AQ75</f>
        <v>3357.8747021875679</v>
      </c>
      <c r="H76" s="646">
        <f>+'[7] E.PRECIOS'!AR75</f>
        <v>3580.1804562847447</v>
      </c>
      <c r="I76" s="648">
        <f>+'[7] E.PRECIOS'!AS75</f>
        <v>9.2991700163240125</v>
      </c>
      <c r="J76" s="644">
        <f>+'[7] E.PRECIOS'!AT75</f>
        <v>0</v>
      </c>
    </row>
    <row r="77" spans="1:10" x14ac:dyDescent="0.25">
      <c r="A77" s="645" t="str">
        <f>+'[7] E.PRECIOS'!A76</f>
        <v>Galleta salada</v>
      </c>
      <c r="B77" s="645" t="str">
        <f>+'[7] E.PRECIOS'!B76</f>
        <v>Gramos</v>
      </c>
      <c r="C77" s="646">
        <f>+'[7] E.PRECIOS'!AM76</f>
        <v>0</v>
      </c>
      <c r="D77" s="646">
        <f>+'[7] E.PRECIOS'!AN76</f>
        <v>2206</v>
      </c>
      <c r="E77" s="646">
        <f>+'[7] E.PRECIOS'!AO76</f>
        <v>2880</v>
      </c>
      <c r="F77" s="646">
        <f>+'[7] E.PRECIOS'!AP76</f>
        <v>2470</v>
      </c>
      <c r="G77" s="646">
        <f>+'[7] E.PRECIOS'!AQ76</f>
        <v>2378.9473684210525</v>
      </c>
      <c r="H77" s="646">
        <f>+'[7] E.PRECIOS'!AR76</f>
        <v>2483.7368421052633</v>
      </c>
      <c r="I77" s="648">
        <f>+'[7] E.PRECIOS'!AS76</f>
        <v>7.8848788638262333</v>
      </c>
      <c r="J77" s="644">
        <f>+'[7] E.PRECIOS'!AT76</f>
        <v>0</v>
      </c>
    </row>
    <row r="78" spans="1:10" x14ac:dyDescent="0.25">
      <c r="A78" s="645" t="str">
        <f>+'[7] E.PRECIOS'!A77</f>
        <v>Galleta sandwich</v>
      </c>
      <c r="B78" s="645" t="str">
        <f>+'[7] E.PRECIOS'!B77</f>
        <v>Gramos</v>
      </c>
      <c r="C78" s="646">
        <f>+'[7] E.PRECIOS'!AM77</f>
        <v>0</v>
      </c>
      <c r="D78" s="646">
        <f>+'[7] E.PRECIOS'!AN77</f>
        <v>3911.3333333333335</v>
      </c>
      <c r="E78" s="646">
        <f>+'[7] E.PRECIOS'!AO77</f>
        <v>4982</v>
      </c>
      <c r="F78" s="646">
        <f>+'[7] E.PRECIOS'!AP77</f>
        <v>3075</v>
      </c>
      <c r="G78" s="646">
        <f>+'[7] E.PRECIOS'!AQ77</f>
        <v>4113.6591478696737</v>
      </c>
      <c r="H78" s="646">
        <f>+'[7] E.PRECIOS'!AR77</f>
        <v>4020.4981203007519</v>
      </c>
      <c r="I78" s="648">
        <f>+'[7] E.PRECIOS'!AS77</f>
        <v>9.3067086118072968</v>
      </c>
      <c r="J78" s="644">
        <f>+'[7] E.PRECIOS'!AT77</f>
        <v>0</v>
      </c>
    </row>
    <row r="79" spans="1:10" x14ac:dyDescent="0.25">
      <c r="A79" s="645" t="str">
        <f>+'[7] E.PRECIOS'!A78</f>
        <v>Galleta solterita</v>
      </c>
      <c r="B79" s="645" t="str">
        <f>+'[7] E.PRECIOS'!B78</f>
        <v>Unidades</v>
      </c>
      <c r="C79" s="646">
        <f>+'[7] E.PRECIOS'!AM78</f>
        <v>0</v>
      </c>
      <c r="D79" s="646">
        <f>+'[7] E.PRECIOS'!AN78</f>
        <v>0</v>
      </c>
      <c r="E79" s="646">
        <f>+'[7] E.PRECIOS'!AO78</f>
        <v>0</v>
      </c>
      <c r="F79" s="646">
        <f>+'[7] E.PRECIOS'!AP78</f>
        <v>0</v>
      </c>
      <c r="G79" s="646">
        <f>+'[7] E.PRECIOS'!AQ78</f>
        <v>0</v>
      </c>
      <c r="H79" s="646">
        <f>+'[7] E.PRECIOS'!AR78</f>
        <v>0</v>
      </c>
      <c r="I79" s="648">
        <f>+'[7] E.PRECIOS'!AS78</f>
        <v>0</v>
      </c>
      <c r="J79" s="644">
        <f>+'[7] E.PRECIOS'!AT78</f>
        <v>0</v>
      </c>
    </row>
    <row r="80" spans="1:10" x14ac:dyDescent="0.25">
      <c r="A80" s="645" t="str">
        <f>+'[7] E.PRECIOS'!A79</f>
        <v>Galleta sultana</v>
      </c>
      <c r="B80" s="645" t="str">
        <f>+'[7] E.PRECIOS'!B79</f>
        <v>Gramos</v>
      </c>
      <c r="C80" s="646">
        <f>+'[7] E.PRECIOS'!AM79</f>
        <v>0</v>
      </c>
      <c r="D80" s="646">
        <f>+'[7] E.PRECIOS'!AN79</f>
        <v>2840</v>
      </c>
      <c r="E80" s="646">
        <f>+'[7] E.PRECIOS'!AO79</f>
        <v>2950</v>
      </c>
      <c r="F80" s="646">
        <f>+'[7] E.PRECIOS'!AP79</f>
        <v>2880</v>
      </c>
      <c r="G80" s="646">
        <f>+'[7] E.PRECIOS'!AQ79</f>
        <v>2560</v>
      </c>
      <c r="H80" s="646">
        <f>+'[7] E.PRECIOS'!AR79</f>
        <v>2807.5</v>
      </c>
      <c r="I80" s="648">
        <f>+'[7] E.PRECIOS'!AS79</f>
        <v>12.761363636363637</v>
      </c>
      <c r="J80" s="644">
        <f>+'[7] E.PRECIOS'!AT79</f>
        <v>0</v>
      </c>
    </row>
    <row r="81" spans="1:10" x14ac:dyDescent="0.25">
      <c r="A81" s="645" t="str">
        <f>+'[7] E.PRECIOS'!A80</f>
        <v>Galleta wafer</v>
      </c>
      <c r="B81" s="645" t="str">
        <f>+'[7] E.PRECIOS'!B80</f>
        <v>Gramos</v>
      </c>
      <c r="C81" s="646">
        <f>+'[7] E.PRECIOS'!AM80</f>
        <v>0</v>
      </c>
      <c r="D81" s="646">
        <f>+'[7] E.PRECIOS'!AN80</f>
        <v>1695.5</v>
      </c>
      <c r="E81" s="646">
        <f>+'[7] E.PRECIOS'!AO80</f>
        <v>4070</v>
      </c>
      <c r="F81" s="646">
        <f>+'[7] E.PRECIOS'!AP80</f>
        <v>1349.5918367346937</v>
      </c>
      <c r="G81" s="646">
        <f>+'[7] E.PRECIOS'!AQ80</f>
        <v>1499</v>
      </c>
      <c r="H81" s="646">
        <f>+'[7] E.PRECIOS'!AR80</f>
        <v>2153.5229591836733</v>
      </c>
      <c r="I81" s="648">
        <f>+'[7] E.PRECIOS'!AS80</f>
        <v>12.667782112845137</v>
      </c>
      <c r="J81" s="644">
        <f>+'[7] E.PRECIOS'!AT80</f>
        <v>0</v>
      </c>
    </row>
    <row r="82" spans="1:10" x14ac:dyDescent="0.25">
      <c r="A82" s="645" t="str">
        <f>+'[7] E.PRECIOS'!A81</f>
        <v>Garbanzo</v>
      </c>
      <c r="B82" s="645" t="str">
        <f>+'[7] E.PRECIOS'!B81</f>
        <v>Gramos</v>
      </c>
      <c r="C82" s="646">
        <f>+'[7] E.PRECIOS'!AM81</f>
        <v>0</v>
      </c>
      <c r="D82" s="646">
        <f>+'[7] E.PRECIOS'!AN81</f>
        <v>4135</v>
      </c>
      <c r="E82" s="646">
        <f>+'[7] E.PRECIOS'!AO81</f>
        <v>2850</v>
      </c>
      <c r="F82" s="646">
        <f>+'[7] E.PRECIOS'!AP81</f>
        <v>2220</v>
      </c>
      <c r="G82" s="646">
        <f>+'[7] E.PRECIOS'!AQ81</f>
        <v>1930</v>
      </c>
      <c r="H82" s="646">
        <f>+'[7] E.PRECIOS'!AR81</f>
        <v>2783.75</v>
      </c>
      <c r="I82" s="648">
        <f>+'[7] E.PRECIOS'!AS81</f>
        <v>5.5674999999999999</v>
      </c>
      <c r="J82" s="644">
        <f>+'[7] E.PRECIOS'!AT81</f>
        <v>0</v>
      </c>
    </row>
    <row r="83" spans="1:10" x14ac:dyDescent="0.25">
      <c r="A83" s="645" t="str">
        <f>+'[7] E.PRECIOS'!A82</f>
        <v xml:space="preserve">Gelatina de pata </v>
      </c>
      <c r="B83" s="645" t="str">
        <f>+'[7] E.PRECIOS'!B82</f>
        <v>Gramos</v>
      </c>
      <c r="C83" s="646">
        <f>+'[7] E.PRECIOS'!AM82</f>
        <v>0</v>
      </c>
      <c r="D83" s="646">
        <f>+'[7] E.PRECIOS'!AN82</f>
        <v>2550</v>
      </c>
      <c r="E83" s="646">
        <f>+'[7] E.PRECIOS'!AO82</f>
        <v>1685</v>
      </c>
      <c r="F83" s="646">
        <f>+'[7] E.PRECIOS'!AP82</f>
        <v>5583.3333333333339</v>
      </c>
      <c r="G83" s="646">
        <f>+'[7] E.PRECIOS'!AQ82</f>
        <v>0</v>
      </c>
      <c r="H83" s="646">
        <f>+'[7] E.PRECIOS'!AR82</f>
        <v>3272.7777777777778</v>
      </c>
      <c r="I83" s="648">
        <f>+'[7] E.PRECIOS'!AS82</f>
        <v>8.1819444444444454</v>
      </c>
      <c r="J83" s="644">
        <f>+'[7] E.PRECIOS'!AT82</f>
        <v>0</v>
      </c>
    </row>
    <row r="84" spans="1:10" x14ac:dyDescent="0.25">
      <c r="A84" s="645" t="str">
        <f>+'[7] E.PRECIOS'!A83</f>
        <v>Gomitas</v>
      </c>
      <c r="B84" s="645" t="str">
        <f>+'[7] E.PRECIOS'!B83</f>
        <v>Gramos</v>
      </c>
      <c r="C84" s="646">
        <f>+'[7] E.PRECIOS'!AM83</f>
        <v>0</v>
      </c>
      <c r="D84" s="646">
        <f>+'[7] E.PRECIOS'!AN83</f>
        <v>5956.333333333333</v>
      </c>
      <c r="E84" s="646">
        <f>+'[7] E.PRECIOS'!AO83</f>
        <v>4233</v>
      </c>
      <c r="F84" s="646">
        <f>+'[7] E.PRECIOS'!AP83</f>
        <v>4950</v>
      </c>
      <c r="G84" s="646">
        <f>+'[7] E.PRECIOS'!AQ83</f>
        <v>12250</v>
      </c>
      <c r="H84" s="646">
        <f>+'[7] E.PRECIOS'!AR83</f>
        <v>6847.333333333333</v>
      </c>
      <c r="I84" s="648">
        <f>+'[7] E.PRECIOS'!AS83</f>
        <v>13.694666666666667</v>
      </c>
      <c r="J84" s="644">
        <f>+'[7] E.PRECIOS'!AT83</f>
        <v>0</v>
      </c>
    </row>
    <row r="85" spans="1:10" x14ac:dyDescent="0.25">
      <c r="A85" s="645" t="str">
        <f>+'[7] E.PRECIOS'!A84</f>
        <v>Granadilla</v>
      </c>
      <c r="B85" s="645" t="str">
        <f>+'[7] E.PRECIOS'!B84</f>
        <v>Kilogramo</v>
      </c>
      <c r="C85" s="646">
        <f>+'[7] E.PRECIOS'!AM84</f>
        <v>0</v>
      </c>
      <c r="D85" s="646">
        <f>+'[7] E.PRECIOS'!AN84</f>
        <v>4590</v>
      </c>
      <c r="E85" s="646">
        <f>+'[7] E.PRECIOS'!AO84</f>
        <v>5400</v>
      </c>
      <c r="F85" s="646">
        <f>+'[7] E.PRECIOS'!AP84</f>
        <v>5100</v>
      </c>
      <c r="G85" s="646">
        <f>+'[7] E.PRECIOS'!AQ84</f>
        <v>3780</v>
      </c>
      <c r="H85" s="646">
        <f>+'[7] E.PRECIOS'!AR84</f>
        <v>4717.5</v>
      </c>
      <c r="I85" s="648">
        <f>+'[7] E.PRECIOS'!AS84</f>
        <v>4.7175000000000002</v>
      </c>
      <c r="J85" s="644">
        <f>+'[7] E.PRECIOS'!AT84</f>
        <v>0</v>
      </c>
    </row>
    <row r="86" spans="1:10" x14ac:dyDescent="0.25">
      <c r="A86" s="645" t="str">
        <f>+'[7] E.PRECIOS'!A85</f>
        <v>Guanábana</v>
      </c>
      <c r="B86" s="645" t="str">
        <f>+'[7] E.PRECIOS'!B85</f>
        <v>Kilogramo</v>
      </c>
      <c r="C86" s="646">
        <f>+'[7] E.PRECIOS'!AM85</f>
        <v>0</v>
      </c>
      <c r="D86" s="646">
        <f>+'[7] E.PRECIOS'!AN85</f>
        <v>2530</v>
      </c>
      <c r="E86" s="646">
        <f>+'[7] E.PRECIOS'!AO85</f>
        <v>4700</v>
      </c>
      <c r="F86" s="646">
        <f>+'[7] E.PRECIOS'!AP85</f>
        <v>2580</v>
      </c>
      <c r="G86" s="646">
        <f>+'[7] E.PRECIOS'!AQ85</f>
        <v>2840</v>
      </c>
      <c r="H86" s="646">
        <f>+'[7] E.PRECIOS'!AR85</f>
        <v>3162.5</v>
      </c>
      <c r="I86" s="648">
        <f>+'[7] E.PRECIOS'!AS85</f>
        <v>3.1625000000000001</v>
      </c>
      <c r="J86" s="644">
        <f>+'[7] E.PRECIOS'!AT85</f>
        <v>0</v>
      </c>
    </row>
    <row r="87" spans="1:10" x14ac:dyDescent="0.25">
      <c r="A87" s="645" t="str">
        <f>+'[7] E.PRECIOS'!A86</f>
        <v>Guasca</v>
      </c>
      <c r="B87" s="645" t="str">
        <f>+'[7] E.PRECIOS'!B86</f>
        <v>Kilogramo</v>
      </c>
      <c r="C87" s="646">
        <f>+'[7] E.PRECIOS'!AM86</f>
        <v>0</v>
      </c>
      <c r="D87" s="646">
        <f>+'[7] E.PRECIOS'!AN86</f>
        <v>3980</v>
      </c>
      <c r="E87" s="646">
        <f>+'[7] E.PRECIOS'!AO86</f>
        <v>1400</v>
      </c>
      <c r="F87" s="646">
        <f>+'[7] E.PRECIOS'!AP86</f>
        <v>2500</v>
      </c>
      <c r="G87" s="646">
        <f>+'[7] E.PRECIOS'!AQ86</f>
        <v>2500</v>
      </c>
      <c r="H87" s="646">
        <f>+'[7] E.PRECIOS'!AR86</f>
        <v>2595</v>
      </c>
      <c r="I87" s="648">
        <f>+'[7] E.PRECIOS'!AS86</f>
        <v>2.5950000000000002</v>
      </c>
      <c r="J87" s="644">
        <f>+'[7] E.PRECIOS'!AT86</f>
        <v>0</v>
      </c>
    </row>
    <row r="88" spans="1:10" x14ac:dyDescent="0.25">
      <c r="A88" s="645" t="str">
        <f>+'[7] E.PRECIOS'!A87</f>
        <v>Guayaba común</v>
      </c>
      <c r="B88" s="645" t="str">
        <f>+'[7] E.PRECIOS'!B87</f>
        <v>Kilogramo</v>
      </c>
      <c r="C88" s="646">
        <f>+'[7] E.PRECIOS'!AM87</f>
        <v>0</v>
      </c>
      <c r="D88" s="646">
        <f>+'[7] E.PRECIOS'!AN87</f>
        <v>1340</v>
      </c>
      <c r="E88" s="646">
        <f>+'[7] E.PRECIOS'!AO87</f>
        <v>1350</v>
      </c>
      <c r="F88" s="646">
        <f>+'[7] E.PRECIOS'!AP87</f>
        <v>0</v>
      </c>
      <c r="G88" s="646">
        <f>+'[7] E.PRECIOS'!AQ87</f>
        <v>1200</v>
      </c>
      <c r="H88" s="646">
        <f>+'[7] E.PRECIOS'!AR87</f>
        <v>1296.6666666666667</v>
      </c>
      <c r="I88" s="648">
        <f>+'[7] E.PRECIOS'!AS87</f>
        <v>1.2966666666666666</v>
      </c>
      <c r="J88" s="644">
        <f>+'[7] E.PRECIOS'!AT87</f>
        <v>0</v>
      </c>
    </row>
    <row r="89" spans="1:10" x14ac:dyDescent="0.25">
      <c r="A89" s="645" t="str">
        <f>+'[7] E.PRECIOS'!A88</f>
        <v>Guineo</v>
      </c>
      <c r="B89" s="645" t="str">
        <f>+'[7] E.PRECIOS'!B88</f>
        <v>Kilogramo</v>
      </c>
      <c r="C89" s="646">
        <f>+'[7] E.PRECIOS'!AM88</f>
        <v>0</v>
      </c>
      <c r="D89" s="646">
        <f>+'[7] E.PRECIOS'!AN88</f>
        <v>830</v>
      </c>
      <c r="E89" s="646">
        <f>+'[7] E.PRECIOS'!AO88</f>
        <v>700</v>
      </c>
      <c r="F89" s="646">
        <f>+'[7] E.PRECIOS'!AP88</f>
        <v>840</v>
      </c>
      <c r="G89" s="646">
        <f>+'[7] E.PRECIOS'!AQ88</f>
        <v>1340</v>
      </c>
      <c r="H89" s="646">
        <f>+'[7] E.PRECIOS'!AR88</f>
        <v>927.5</v>
      </c>
      <c r="I89" s="648">
        <f>+'[7] E.PRECIOS'!AS88</f>
        <v>0.92749999999999999</v>
      </c>
      <c r="J89" s="644">
        <f>+'[7] E.PRECIOS'!AT88</f>
        <v>0</v>
      </c>
    </row>
    <row r="90" spans="1:10" x14ac:dyDescent="0.25">
      <c r="A90" s="645" t="str">
        <f>+'[7] E.PRECIOS'!A89</f>
        <v>Habichuela</v>
      </c>
      <c r="B90" s="645" t="str">
        <f>+'[7] E.PRECIOS'!B89</f>
        <v>Kilogramo</v>
      </c>
      <c r="C90" s="646">
        <f>+'[7] E.PRECIOS'!AM89</f>
        <v>0</v>
      </c>
      <c r="D90" s="646">
        <f>+'[7] E.PRECIOS'!AN89</f>
        <v>2289.3333333333335</v>
      </c>
      <c r="E90" s="646">
        <f>+'[7] E.PRECIOS'!AO89</f>
        <v>1750</v>
      </c>
      <c r="F90" s="646">
        <f>+'[7] E.PRECIOS'!AP89</f>
        <v>3600</v>
      </c>
      <c r="G90" s="646">
        <f>+'[7] E.PRECIOS'!AQ89</f>
        <v>1860</v>
      </c>
      <c r="H90" s="646">
        <f>+'[7] E.PRECIOS'!AR89</f>
        <v>2374.8333333333335</v>
      </c>
      <c r="I90" s="648">
        <f>+'[7] E.PRECIOS'!AS89</f>
        <v>2.3748333333333336</v>
      </c>
      <c r="J90" s="644">
        <f>+'[7] E.PRECIOS'!AT89</f>
        <v>0</v>
      </c>
    </row>
    <row r="91" spans="1:10" x14ac:dyDescent="0.25">
      <c r="A91" s="645" t="str">
        <f>+'[7] E.PRECIOS'!A90</f>
        <v>Harina de trigo</v>
      </c>
      <c r="B91" s="645" t="str">
        <f>+'[7] E.PRECIOS'!B90</f>
        <v>Gramos</v>
      </c>
      <c r="C91" s="646">
        <f>+'[7] E.PRECIOS'!AM90</f>
        <v>0</v>
      </c>
      <c r="D91" s="646">
        <f>+'[7] E.PRECIOS'!AN90</f>
        <v>1174</v>
      </c>
      <c r="E91" s="646">
        <f>+'[7] E.PRECIOS'!AO90</f>
        <v>1345</v>
      </c>
      <c r="F91" s="646">
        <f>+'[7] E.PRECIOS'!AP90</f>
        <v>1000</v>
      </c>
      <c r="G91" s="646">
        <f>+'[7] E.PRECIOS'!AQ90</f>
        <v>1170</v>
      </c>
      <c r="H91" s="646">
        <f>+'[7] E.PRECIOS'!AR90</f>
        <v>1172.25</v>
      </c>
      <c r="I91" s="648">
        <f>+'[7] E.PRECIOS'!AS90</f>
        <v>2.3445</v>
      </c>
      <c r="J91" s="644">
        <f>+'[7] E.PRECIOS'!AT90</f>
        <v>0</v>
      </c>
    </row>
    <row r="92" spans="1:10" x14ac:dyDescent="0.25">
      <c r="A92" s="645" t="str">
        <f>+'[7] E.PRECIOS'!A91</f>
        <v xml:space="preserve">Helado </v>
      </c>
      <c r="B92" s="645" t="str">
        <f>+'[7] E.PRECIOS'!B91</f>
        <v>Gramos</v>
      </c>
      <c r="C92" s="646">
        <f>+'[7] E.PRECIOS'!AM91</f>
        <v>0</v>
      </c>
      <c r="D92" s="646">
        <f>+'[7] E.PRECIOS'!AN91</f>
        <v>1160</v>
      </c>
      <c r="E92" s="646">
        <f>+'[7] E.PRECIOS'!AO91</f>
        <v>0</v>
      </c>
      <c r="F92" s="646">
        <f>+'[7] E.PRECIOS'!AP91</f>
        <v>0</v>
      </c>
      <c r="G92" s="646">
        <f>+'[7] E.PRECIOS'!AQ91</f>
        <v>0</v>
      </c>
      <c r="H92" s="646">
        <f>+'[7] E.PRECIOS'!AR91</f>
        <v>1160</v>
      </c>
      <c r="I92" s="648">
        <f>+'[7] E.PRECIOS'!AS91</f>
        <v>21.09090909090909</v>
      </c>
      <c r="J92" s="644">
        <f>+'[7] E.PRECIOS'!AT91</f>
        <v>0</v>
      </c>
    </row>
    <row r="93" spans="1:10" x14ac:dyDescent="0.25">
      <c r="A93" s="645" t="str">
        <f>+'[7] E.PRECIOS'!A92</f>
        <v>Hojuelas azucaradas</v>
      </c>
      <c r="B93" s="645" t="str">
        <f>+'[7] E.PRECIOS'!B92</f>
        <v>Gramos</v>
      </c>
      <c r="C93" s="646">
        <f>+'[7] E.PRECIOS'!AM92</f>
        <v>0</v>
      </c>
      <c r="D93" s="646">
        <f>+'[7] E.PRECIOS'!AN92</f>
        <v>8310</v>
      </c>
      <c r="E93" s="646">
        <f>+'[7] E.PRECIOS'!AO92</f>
        <v>0</v>
      </c>
      <c r="F93" s="646">
        <f>+'[7] E.PRECIOS'!AP92</f>
        <v>9540</v>
      </c>
      <c r="G93" s="646">
        <f>+'[7] E.PRECIOS'!AQ92</f>
        <v>4767</v>
      </c>
      <c r="H93" s="646">
        <f>+'[7] E.PRECIOS'!AR92</f>
        <v>7539</v>
      </c>
      <c r="I93" s="648">
        <f>+'[7] E.PRECIOS'!AS92</f>
        <v>17.95</v>
      </c>
      <c r="J93" s="644">
        <f>+'[7] E.PRECIOS'!AT92</f>
        <v>0</v>
      </c>
    </row>
    <row r="94" spans="1:10" x14ac:dyDescent="0.25">
      <c r="A94" s="645" t="str">
        <f>+'[7] E.PRECIOS'!A93</f>
        <v>Hojuelas de maiz</v>
      </c>
      <c r="B94" s="645" t="str">
        <f>+'[7] E.PRECIOS'!B93</f>
        <v>Gramos</v>
      </c>
      <c r="C94" s="646">
        <f>+'[7] E.PRECIOS'!AM93</f>
        <v>0</v>
      </c>
      <c r="D94" s="646">
        <f>+'[7] E.PRECIOS'!AN93</f>
        <v>3180</v>
      </c>
      <c r="E94" s="646">
        <f>+'[7] E.PRECIOS'!AO93</f>
        <v>0</v>
      </c>
      <c r="F94" s="646">
        <f>+'[7] E.PRECIOS'!AP93</f>
        <v>0</v>
      </c>
      <c r="G94" s="646">
        <f>+'[7] E.PRECIOS'!AQ93</f>
        <v>1984</v>
      </c>
      <c r="H94" s="646">
        <f>+'[7] E.PRECIOS'!AR93</f>
        <v>2582</v>
      </c>
      <c r="I94" s="648">
        <f>+'[7] E.PRECIOS'!AS93</f>
        <v>12.91</v>
      </c>
      <c r="J94" s="644">
        <f>+'[7] E.PRECIOS'!AT93</f>
        <v>0</v>
      </c>
    </row>
    <row r="95" spans="1:10" x14ac:dyDescent="0.25">
      <c r="A95" s="645" t="str">
        <f>+'[7] E.PRECIOS'!A94</f>
        <v>Huevo A</v>
      </c>
      <c r="B95" s="645" t="str">
        <f>+'[7] E.PRECIOS'!B94</f>
        <v>Unidades</v>
      </c>
      <c r="C95" s="646">
        <f>+'[7] E.PRECIOS'!AM94</f>
        <v>0</v>
      </c>
      <c r="D95" s="646">
        <f>+'[7] E.PRECIOS'!AN94</f>
        <v>9820</v>
      </c>
      <c r="E95" s="646">
        <f>+'[7] E.PRECIOS'!AO94</f>
        <v>7950</v>
      </c>
      <c r="F95" s="646">
        <f>+'[7] E.PRECIOS'!AP94</f>
        <v>5600</v>
      </c>
      <c r="G95" s="646">
        <f>+'[7] E.PRECIOS'!AQ94</f>
        <v>7755</v>
      </c>
      <c r="H95" s="646">
        <f>+'[7] E.PRECIOS'!AR94</f>
        <v>7781.25</v>
      </c>
      <c r="I95" s="648">
        <f>+'[7] E.PRECIOS'!AS94</f>
        <v>259.375</v>
      </c>
      <c r="J95" s="644">
        <f>+'[7] E.PRECIOS'!AT94</f>
        <v>0</v>
      </c>
    </row>
    <row r="96" spans="1:10" x14ac:dyDescent="0.25">
      <c r="A96" s="645" t="str">
        <f>+'[7] E.PRECIOS'!A95</f>
        <v>huevo AA</v>
      </c>
      <c r="B96" s="645" t="str">
        <f>+'[7] E.PRECIOS'!B95</f>
        <v>Unidades</v>
      </c>
      <c r="C96" s="646">
        <f>+'[7] E.PRECIOS'!AM95</f>
        <v>0</v>
      </c>
      <c r="D96" s="646">
        <f>+'[7] E.PRECIOS'!AN95</f>
        <v>10643.333333333334</v>
      </c>
      <c r="E96" s="646">
        <f>+'[7] E.PRECIOS'!AO95</f>
        <v>8370</v>
      </c>
      <c r="F96" s="646">
        <f>+'[7] E.PRECIOS'!AP95</f>
        <v>12330</v>
      </c>
      <c r="G96" s="646">
        <f>+'[7] E.PRECIOS'!AQ95</f>
        <v>10475</v>
      </c>
      <c r="H96" s="646">
        <f>+'[7] E.PRECIOS'!AR95</f>
        <v>10454.583333333334</v>
      </c>
      <c r="I96" s="648">
        <f>+'[7] E.PRECIOS'!AS95</f>
        <v>348.48611111111114</v>
      </c>
      <c r="J96" s="644">
        <f>+'[7] E.PRECIOS'!AT95</f>
        <v>0</v>
      </c>
    </row>
    <row r="97" spans="1:10" x14ac:dyDescent="0.25">
      <c r="A97" s="645" t="str">
        <f>+'[7] E.PRECIOS'!A96</f>
        <v>Jamón</v>
      </c>
      <c r="B97" s="645" t="str">
        <f>+'[7] E.PRECIOS'!B96</f>
        <v>Gramos</v>
      </c>
      <c r="C97" s="646">
        <f>+'[7] E.PRECIOS'!AM96</f>
        <v>0</v>
      </c>
      <c r="D97" s="646">
        <f>+'[7] E.PRECIOS'!AN96</f>
        <v>8375</v>
      </c>
      <c r="E97" s="646">
        <f>+'[7] E.PRECIOS'!AO96</f>
        <v>8218.6666666666661</v>
      </c>
      <c r="F97" s="646">
        <f>+'[7] E.PRECIOS'!AP96</f>
        <v>6402.7777777777783</v>
      </c>
      <c r="G97" s="646">
        <f>+'[7] E.PRECIOS'!AQ96</f>
        <v>6049.666666666667</v>
      </c>
      <c r="H97" s="646">
        <f>+'[7] E.PRECIOS'!AR96</f>
        <v>7261.5277777777774</v>
      </c>
      <c r="I97" s="648">
        <f>+'[7] E.PRECIOS'!AS96</f>
        <v>18.153819444444444</v>
      </c>
      <c r="J97" s="644">
        <f>+'[7] E.PRECIOS'!AT96</f>
        <v>0</v>
      </c>
    </row>
    <row r="98" spans="1:10" x14ac:dyDescent="0.25">
      <c r="A98" s="645" t="str">
        <f>+'[7] E.PRECIOS'!A97</f>
        <v xml:space="preserve">Kumis </v>
      </c>
      <c r="B98" s="645" t="str">
        <f>+'[7] E.PRECIOS'!B97</f>
        <v>Cm3</v>
      </c>
      <c r="C98" s="646">
        <f>+'[7] E.PRECIOS'!AM97</f>
        <v>0</v>
      </c>
      <c r="D98" s="646">
        <f>+'[7] E.PRECIOS'!AN97</f>
        <v>3050</v>
      </c>
      <c r="E98" s="646">
        <f>+'[7] E.PRECIOS'!AO97</f>
        <v>4466.5</v>
      </c>
      <c r="F98" s="646">
        <f>+'[7] E.PRECIOS'!AP97</f>
        <v>1650</v>
      </c>
      <c r="G98" s="646">
        <f>+'[7] E.PRECIOS'!AQ97</f>
        <v>3910</v>
      </c>
      <c r="H98" s="646">
        <f>+'[7] E.PRECIOS'!AR97</f>
        <v>3269.125</v>
      </c>
      <c r="I98" s="648">
        <f>+'[7] E.PRECIOS'!AS97</f>
        <v>16.345624999999998</v>
      </c>
      <c r="J98" s="644">
        <f>+'[7] E.PRECIOS'!AT97</f>
        <v>0</v>
      </c>
    </row>
    <row r="99" spans="1:10" x14ac:dyDescent="0.25">
      <c r="A99" s="645" t="str">
        <f>+'[7] E.PRECIOS'!A98</f>
        <v>leche chocolatada</v>
      </c>
      <c r="B99" s="645" t="str">
        <f>+'[7] E.PRECIOS'!B98</f>
        <v>Cm3</v>
      </c>
      <c r="C99" s="646">
        <f>+'[7] E.PRECIOS'!AM98</f>
        <v>0</v>
      </c>
      <c r="D99" s="646">
        <f>+'[7] E.PRECIOS'!AN98</f>
        <v>1550</v>
      </c>
      <c r="E99" s="646">
        <f>+'[7] E.PRECIOS'!AO98</f>
        <v>1575</v>
      </c>
      <c r="F99" s="646">
        <f>+'[7] E.PRECIOS'!AP98</f>
        <v>1560</v>
      </c>
      <c r="G99" s="646">
        <f>+'[7] E.PRECIOS'!AQ98</f>
        <v>1050</v>
      </c>
      <c r="H99" s="646">
        <f>+'[7] E.PRECIOS'!AR98</f>
        <v>1433.75</v>
      </c>
      <c r="I99" s="648">
        <f>+'[7] E.PRECIOS'!AS98</f>
        <v>7.1687500000000002</v>
      </c>
      <c r="J99" s="644">
        <f>+'[7] E.PRECIOS'!AT98</f>
        <v>0</v>
      </c>
    </row>
    <row r="100" spans="1:10" x14ac:dyDescent="0.25">
      <c r="A100" s="645" t="str">
        <f>+'[7] E.PRECIOS'!A99</f>
        <v>Leche condensada</v>
      </c>
      <c r="B100" s="645" t="str">
        <f>+'[7] E.PRECIOS'!B99</f>
        <v>Gramos</v>
      </c>
      <c r="C100" s="646">
        <f>+'[7] E.PRECIOS'!AM99</f>
        <v>0</v>
      </c>
      <c r="D100" s="646">
        <f>+'[7] E.PRECIOS'!AN99</f>
        <v>5427.666666666667</v>
      </c>
      <c r="E100" s="646">
        <f>+'[7] E.PRECIOS'!AO99</f>
        <v>4778</v>
      </c>
      <c r="F100" s="646">
        <f>+'[7] E.PRECIOS'!AP99</f>
        <v>3990.9090909090905</v>
      </c>
      <c r="G100" s="646">
        <f>+'[7] E.PRECIOS'!AQ99</f>
        <v>4343.333333333333</v>
      </c>
      <c r="H100" s="646">
        <f>+'[7] E.PRECIOS'!AR99</f>
        <v>4634.977272727273</v>
      </c>
      <c r="I100" s="648">
        <f>+'[7] E.PRECIOS'!AS99</f>
        <v>11.587443181818182</v>
      </c>
      <c r="J100" s="644">
        <f>+'[7] E.PRECIOS'!AT99</f>
        <v>0</v>
      </c>
    </row>
    <row r="101" spans="1:10" x14ac:dyDescent="0.25">
      <c r="A101" s="645" t="str">
        <f>+'[7] E.PRECIOS'!A100</f>
        <v>Leche en polvo</v>
      </c>
      <c r="B101" s="645" t="str">
        <f>+'[7] E.PRECIOS'!B100</f>
        <v>Gramos</v>
      </c>
      <c r="C101" s="646">
        <f>+'[7] E.PRECIOS'!AM100</f>
        <v>0</v>
      </c>
      <c r="D101" s="646">
        <f>+'[7] E.PRECIOS'!AN100</f>
        <v>16966</v>
      </c>
      <c r="E101" s="646">
        <f>+'[7] E.PRECIOS'!AO100</f>
        <v>17171</v>
      </c>
      <c r="F101" s="646">
        <f>+'[7] E.PRECIOS'!AP100</f>
        <v>15436.111111111111</v>
      </c>
      <c r="G101" s="646">
        <f>+'[7] E.PRECIOS'!AQ100</f>
        <v>13848.5</v>
      </c>
      <c r="H101" s="646">
        <f>+'[7] E.PRECIOS'!AR100</f>
        <v>15855.402777777777</v>
      </c>
      <c r="I101" s="648">
        <f>+'[7] E.PRECIOS'!AS100</f>
        <v>15.855402777777778</v>
      </c>
      <c r="J101" s="644">
        <f>+'[7] E.PRECIOS'!AT100</f>
        <v>0</v>
      </c>
    </row>
    <row r="102" spans="1:10" x14ac:dyDescent="0.25">
      <c r="A102" s="645" t="str">
        <f>+'[7] E.PRECIOS'!A101</f>
        <v>Leche líquida</v>
      </c>
      <c r="B102" s="645" t="str">
        <f>+'[7] E.PRECIOS'!B101</f>
        <v>Cm3</v>
      </c>
      <c r="C102" s="646">
        <f>+'[7] E.PRECIOS'!AM101</f>
        <v>0</v>
      </c>
      <c r="D102" s="646">
        <f>+'[7] E.PRECIOS'!AN101</f>
        <v>2138.6666666666665</v>
      </c>
      <c r="E102" s="646">
        <f>+'[7] E.PRECIOS'!AO101</f>
        <v>2473.3333333333335</v>
      </c>
      <c r="F102" s="646">
        <f>+'[7] E.PRECIOS'!AP101</f>
        <v>1700</v>
      </c>
      <c r="G102" s="646">
        <f>+'[7] E.PRECIOS'!AQ101</f>
        <v>1988.6666666666667</v>
      </c>
      <c r="H102" s="646">
        <f>+'[7] E.PRECIOS'!AR101</f>
        <v>2075.1666666666665</v>
      </c>
      <c r="I102" s="648">
        <f>+'[7] E.PRECIOS'!AS101</f>
        <v>2.0751666666666666</v>
      </c>
      <c r="J102" s="644">
        <f>+'[7] E.PRECIOS'!AT101</f>
        <v>0</v>
      </c>
    </row>
    <row r="103" spans="1:10" x14ac:dyDescent="0.25">
      <c r="A103" s="645" t="str">
        <f>+'[7] E.PRECIOS'!A102</f>
        <v>Leche saborizada</v>
      </c>
      <c r="B103" s="645" t="str">
        <f>+'[7] E.PRECIOS'!B102</f>
        <v>Cm3</v>
      </c>
      <c r="C103" s="646">
        <f>+'[7] E.PRECIOS'!AM102</f>
        <v>0</v>
      </c>
      <c r="D103" s="646">
        <f>+'[7] E.PRECIOS'!AN102</f>
        <v>1051.5</v>
      </c>
      <c r="E103" s="646">
        <f>+'[7] E.PRECIOS'!AO102</f>
        <v>1444.5</v>
      </c>
      <c r="F103" s="646">
        <f>+'[7] E.PRECIOS'!AP102</f>
        <v>1230</v>
      </c>
      <c r="G103" s="646">
        <f>+'[7] E.PRECIOS'!AQ102</f>
        <v>1226</v>
      </c>
      <c r="H103" s="646">
        <f>+'[7] E.PRECIOS'!AR102</f>
        <v>1238</v>
      </c>
      <c r="I103" s="648">
        <f>+'[7] E.PRECIOS'!AS102</f>
        <v>6.19</v>
      </c>
      <c r="J103" s="644">
        <f>+'[7] E.PRECIOS'!AT102</f>
        <v>0</v>
      </c>
    </row>
    <row r="104" spans="1:10" x14ac:dyDescent="0.25">
      <c r="A104" s="645" t="str">
        <f>+'[7] E.PRECIOS'!A103</f>
        <v>Lechuga</v>
      </c>
      <c r="B104" s="645" t="str">
        <f>+'[7] E.PRECIOS'!B103</f>
        <v>Kilogramo</v>
      </c>
      <c r="C104" s="646">
        <f>+'[7] E.PRECIOS'!AM103</f>
        <v>0</v>
      </c>
      <c r="D104" s="646">
        <f>+'[7] E.PRECIOS'!AN103</f>
        <v>3200</v>
      </c>
      <c r="E104" s="646">
        <f>+'[7] E.PRECIOS'!AO103</f>
        <v>2400</v>
      </c>
      <c r="F104" s="646">
        <f>+'[7] E.PRECIOS'!AP103</f>
        <v>1660</v>
      </c>
      <c r="G104" s="646">
        <f>+'[7] E.PRECIOS'!AQ103</f>
        <v>1690</v>
      </c>
      <c r="H104" s="646">
        <f>+'[7] E.PRECIOS'!AR103</f>
        <v>2237.5</v>
      </c>
      <c r="I104" s="648">
        <f>+'[7] E.PRECIOS'!AS103</f>
        <v>2.2374999999999998</v>
      </c>
      <c r="J104" s="644">
        <f>+'[7] E.PRECIOS'!AT103</f>
        <v>0</v>
      </c>
    </row>
    <row r="105" spans="1:10" x14ac:dyDescent="0.25">
      <c r="A105" s="645" t="str">
        <f>+'[7] E.PRECIOS'!A104</f>
        <v>Lengua dulce</v>
      </c>
      <c r="B105" s="645" t="str">
        <f>+'[7] E.PRECIOS'!B104</f>
        <v>Unidades</v>
      </c>
      <c r="C105" s="646">
        <f>+'[7] E.PRECIOS'!AM104</f>
        <v>0</v>
      </c>
      <c r="D105" s="646">
        <f>+'[7] E.PRECIOS'!AN104</f>
        <v>324</v>
      </c>
      <c r="E105" s="646">
        <f>+'[7] E.PRECIOS'!AO104</f>
        <v>558</v>
      </c>
      <c r="F105" s="646">
        <f>+'[7] E.PRECIOS'!AP104</f>
        <v>0</v>
      </c>
      <c r="G105" s="646">
        <f>+'[7] E.PRECIOS'!AQ104</f>
        <v>0</v>
      </c>
      <c r="H105" s="646">
        <f>+'[7] E.PRECIOS'!AR104</f>
        <v>441</v>
      </c>
      <c r="I105" s="648">
        <f>+'[7] E.PRECIOS'!AS104</f>
        <v>441</v>
      </c>
      <c r="J105" s="644">
        <f>+'[7] E.PRECIOS'!AT104</f>
        <v>0</v>
      </c>
    </row>
    <row r="106" spans="1:10" x14ac:dyDescent="0.25">
      <c r="A106" s="645" t="str">
        <f>+'[7] E.PRECIOS'!A105</f>
        <v>Lentejas</v>
      </c>
      <c r="B106" s="645" t="str">
        <f>+'[7] E.PRECIOS'!B105</f>
        <v>Gramos</v>
      </c>
      <c r="C106" s="646">
        <f>+'[7] E.PRECIOS'!AM105</f>
        <v>0</v>
      </c>
      <c r="D106" s="646">
        <f>+'[7] E.PRECIOS'!AN105</f>
        <v>1315</v>
      </c>
      <c r="E106" s="646">
        <f>+'[7] E.PRECIOS'!AO105</f>
        <v>2100</v>
      </c>
      <c r="F106" s="646">
        <f>+'[7] E.PRECIOS'!AP105</f>
        <v>1753.3333333333333</v>
      </c>
      <c r="G106" s="646">
        <f>+'[7] E.PRECIOS'!AQ105</f>
        <v>1470</v>
      </c>
      <c r="H106" s="646">
        <f>+'[7] E.PRECIOS'!AR105</f>
        <v>1659.5833333333333</v>
      </c>
      <c r="I106" s="648">
        <f>+'[7] E.PRECIOS'!AS105</f>
        <v>3.3191666666666664</v>
      </c>
      <c r="J106" s="644">
        <f>+'[7] E.PRECIOS'!AT105</f>
        <v>0</v>
      </c>
    </row>
    <row r="107" spans="1:10" x14ac:dyDescent="0.25">
      <c r="A107" s="645" t="str">
        <f>+'[7] E.PRECIOS'!A106</f>
        <v xml:space="preserve">Limón </v>
      </c>
      <c r="B107" s="645" t="str">
        <f>+'[7] E.PRECIOS'!B106</f>
        <v>Kilogramo</v>
      </c>
      <c r="C107" s="646">
        <f>+'[7] E.PRECIOS'!AM106</f>
        <v>0</v>
      </c>
      <c r="D107" s="646">
        <f>+'[7] E.PRECIOS'!AN106</f>
        <v>2700</v>
      </c>
      <c r="E107" s="646">
        <f>+'[7] E.PRECIOS'!AO106</f>
        <v>1670</v>
      </c>
      <c r="F107" s="646">
        <f>+'[7] E.PRECIOS'!AP106</f>
        <v>1800</v>
      </c>
      <c r="G107" s="646">
        <f>+'[7] E.PRECIOS'!AQ106</f>
        <v>2286.6666666666665</v>
      </c>
      <c r="H107" s="646">
        <f>+'[7] E.PRECIOS'!AR106</f>
        <v>2114.1666666666665</v>
      </c>
      <c r="I107" s="648">
        <f>+'[7] E.PRECIOS'!AS106</f>
        <v>2.1141666666666663</v>
      </c>
      <c r="J107" s="644">
        <f>+'[7] E.PRECIOS'!AT106</f>
        <v>0</v>
      </c>
    </row>
    <row r="108" spans="1:10" x14ac:dyDescent="0.25">
      <c r="A108" s="645" t="str">
        <f>+'[7] E.PRECIOS'!A107</f>
        <v>Lulo</v>
      </c>
      <c r="B108" s="645" t="str">
        <f>+'[7] E.PRECIOS'!B107</f>
        <v>Kilogramo</v>
      </c>
      <c r="C108" s="646">
        <f>+'[7] E.PRECIOS'!AM107</f>
        <v>0</v>
      </c>
      <c r="D108" s="646">
        <f>+'[7] E.PRECIOS'!AN107</f>
        <v>3460</v>
      </c>
      <c r="E108" s="646">
        <f>+'[7] E.PRECIOS'!AO107</f>
        <v>2675</v>
      </c>
      <c r="F108" s="646">
        <f>+'[7] E.PRECIOS'!AP107</f>
        <v>2680</v>
      </c>
      <c r="G108" s="646">
        <f>+'[7] E.PRECIOS'!AQ107</f>
        <v>2980</v>
      </c>
      <c r="H108" s="646">
        <f>+'[7] E.PRECIOS'!AR107</f>
        <v>2948.75</v>
      </c>
      <c r="I108" s="648">
        <f>+'[7] E.PRECIOS'!AS107</f>
        <v>2.94875</v>
      </c>
      <c r="J108" s="644">
        <f>+'[7] E.PRECIOS'!AT107</f>
        <v>0</v>
      </c>
    </row>
    <row r="109" spans="1:10" x14ac:dyDescent="0.25">
      <c r="A109" s="645" t="str">
        <f>+'[7] E.PRECIOS'!A108</f>
        <v>Maíz pira</v>
      </c>
      <c r="B109" s="645" t="str">
        <f>+'[7] E.PRECIOS'!B108</f>
        <v>Kilogramo</v>
      </c>
      <c r="C109" s="646">
        <f>+'[7] E.PRECIOS'!AM108</f>
        <v>0</v>
      </c>
      <c r="D109" s="646">
        <f>+'[7] E.PRECIOS'!AN108</f>
        <v>2603.3333333333335</v>
      </c>
      <c r="E109" s="646">
        <f>+'[7] E.PRECIOS'!AO108</f>
        <v>3160</v>
      </c>
      <c r="F109" s="646">
        <f>+'[7] E.PRECIOS'!AP108</f>
        <v>2900</v>
      </c>
      <c r="G109" s="646">
        <f>+'[7] E.PRECIOS'!AQ108</f>
        <v>1880</v>
      </c>
      <c r="H109" s="646">
        <f>+'[7] E.PRECIOS'!AR108</f>
        <v>2635.8333333333335</v>
      </c>
      <c r="I109" s="648">
        <f>+'[7] E.PRECIOS'!AS108</f>
        <v>2.6358333333333337</v>
      </c>
      <c r="J109" s="644">
        <f>+'[7] E.PRECIOS'!AT108</f>
        <v>0</v>
      </c>
    </row>
    <row r="110" spans="1:10" x14ac:dyDescent="0.25">
      <c r="A110" s="645" t="str">
        <f>+'[7] E.PRECIOS'!A109</f>
        <v>Maíz tierno</v>
      </c>
      <c r="B110" s="645" t="str">
        <f>+'[7] E.PRECIOS'!B109</f>
        <v>Gramos</v>
      </c>
      <c r="C110" s="646">
        <f>+'[7] E.PRECIOS'!AM109</f>
        <v>0</v>
      </c>
      <c r="D110" s="646">
        <f>+'[7] E.PRECIOS'!AN109</f>
        <v>5971.333333333333</v>
      </c>
      <c r="E110" s="646">
        <f>+'[7] E.PRECIOS'!AO109</f>
        <v>6642</v>
      </c>
      <c r="F110" s="646">
        <f>+'[7] E.PRECIOS'!AP109</f>
        <v>5605.4901960784309</v>
      </c>
      <c r="G110" s="646">
        <f>+'[7] E.PRECIOS'!AQ109</f>
        <v>5348.666666666667</v>
      </c>
      <c r="H110" s="646">
        <f>+'[7] E.PRECIOS'!AR109</f>
        <v>5891.8725490196075</v>
      </c>
      <c r="I110" s="648">
        <f>+'[7] E.PRECIOS'!AS109</f>
        <v>9.8197875816993463</v>
      </c>
      <c r="J110" s="644">
        <f>+'[7] E.PRECIOS'!AT109</f>
        <v>0</v>
      </c>
    </row>
    <row r="111" spans="1:10" x14ac:dyDescent="0.25">
      <c r="A111" s="645" t="str">
        <f>+'[7] E.PRECIOS'!A110</f>
        <v>Maíz trillado</v>
      </c>
      <c r="B111" s="645" t="str">
        <f>+'[7] E.PRECIOS'!B110</f>
        <v>Kilogramo</v>
      </c>
      <c r="C111" s="646">
        <f>+'[7] E.PRECIOS'!AM110</f>
        <v>0</v>
      </c>
      <c r="D111" s="646">
        <f>+'[7] E.PRECIOS'!AN110</f>
        <v>1996</v>
      </c>
      <c r="E111" s="646">
        <f>+'[7] E.PRECIOS'!AO110</f>
        <v>2000</v>
      </c>
      <c r="F111" s="646">
        <f>+'[7] E.PRECIOS'!AP110</f>
        <v>0</v>
      </c>
      <c r="G111" s="646">
        <f>+'[7] E.PRECIOS'!AQ110</f>
        <v>9870</v>
      </c>
      <c r="H111" s="646">
        <f>+'[7] E.PRECIOS'!AR110</f>
        <v>4622</v>
      </c>
      <c r="I111" s="648">
        <f>+'[7] E.PRECIOS'!AS110</f>
        <v>4.6219999999999999</v>
      </c>
      <c r="J111" s="644">
        <f>+'[7] E.PRECIOS'!AT110</f>
        <v>0</v>
      </c>
    </row>
    <row r="112" spans="1:10" x14ac:dyDescent="0.25">
      <c r="A112" s="645" t="str">
        <f>+'[7] E.PRECIOS'!A111</f>
        <v>Malteada en polvo</v>
      </c>
      <c r="B112" s="645" t="str">
        <f>+'[7] E.PRECIOS'!B111</f>
        <v>Gramos</v>
      </c>
      <c r="C112" s="646">
        <f>+'[7] E.PRECIOS'!AM111</f>
        <v>0</v>
      </c>
      <c r="D112" s="646">
        <f>+'[7] E.PRECIOS'!AN111</f>
        <v>3000</v>
      </c>
      <c r="E112" s="646">
        <f>+'[7] E.PRECIOS'!AO111</f>
        <v>0</v>
      </c>
      <c r="F112" s="646">
        <f>+'[7] E.PRECIOS'!AP111</f>
        <v>2213.5</v>
      </c>
      <c r="G112" s="646">
        <f>+'[7] E.PRECIOS'!AQ111</f>
        <v>0</v>
      </c>
      <c r="H112" s="646">
        <f>+'[7] E.PRECIOS'!AR111</f>
        <v>2606.75</v>
      </c>
      <c r="I112" s="648">
        <f>+'[7] E.PRECIOS'!AS111</f>
        <v>6.8598684210526315</v>
      </c>
      <c r="J112" s="644">
        <f>+'[7] E.PRECIOS'!AT111</f>
        <v>0</v>
      </c>
    </row>
    <row r="113" spans="1:10" x14ac:dyDescent="0.25">
      <c r="A113" s="645" t="str">
        <f>+'[7] E.PRECIOS'!A112</f>
        <v>Mandarina</v>
      </c>
      <c r="B113" s="645" t="str">
        <f>+'[7] E.PRECIOS'!B112</f>
        <v>Kilogramo</v>
      </c>
      <c r="C113" s="646">
        <f>+'[7] E.PRECIOS'!AM112</f>
        <v>0</v>
      </c>
      <c r="D113" s="646">
        <f>+'[7] E.PRECIOS'!AN112</f>
        <v>4800</v>
      </c>
      <c r="E113" s="646">
        <f>+'[7] E.PRECIOS'!AO112</f>
        <v>4670</v>
      </c>
      <c r="F113" s="646">
        <f>+'[7] E.PRECIOS'!AP112</f>
        <v>3780</v>
      </c>
      <c r="G113" s="646">
        <f>+'[7] E.PRECIOS'!AQ112</f>
        <v>1980</v>
      </c>
      <c r="H113" s="646">
        <f>+'[7] E.PRECIOS'!AR112</f>
        <v>3807.5</v>
      </c>
      <c r="I113" s="648">
        <f>+'[7] E.PRECIOS'!AS112</f>
        <v>3.8075000000000001</v>
      </c>
      <c r="J113" s="644">
        <f>+'[7] E.PRECIOS'!AT112</f>
        <v>0</v>
      </c>
    </row>
    <row r="114" spans="1:10" x14ac:dyDescent="0.25">
      <c r="A114" s="645" t="str">
        <f>+'[7] E.PRECIOS'!A113</f>
        <v>Mango</v>
      </c>
      <c r="B114" s="645" t="str">
        <f>+'[7] E.PRECIOS'!B113</f>
        <v>Kilogramo</v>
      </c>
      <c r="C114" s="646">
        <f>+'[7] E.PRECIOS'!AM113</f>
        <v>0</v>
      </c>
      <c r="D114" s="646">
        <f>+'[7] E.PRECIOS'!AN113</f>
        <v>4200</v>
      </c>
      <c r="E114" s="646">
        <f>+'[7] E.PRECIOS'!AO113</f>
        <v>3140</v>
      </c>
      <c r="F114" s="646">
        <f>+'[7] E.PRECIOS'!AP113</f>
        <v>2700</v>
      </c>
      <c r="G114" s="646">
        <f>+'[7] E.PRECIOS'!AQ113</f>
        <v>2833.3333333333335</v>
      </c>
      <c r="H114" s="646">
        <f>+'[7] E.PRECIOS'!AR113</f>
        <v>3218.3333333333335</v>
      </c>
      <c r="I114" s="648">
        <f>+'[7] E.PRECIOS'!AS113</f>
        <v>3.2183333333333333</v>
      </c>
      <c r="J114" s="644">
        <f>+'[7] E.PRECIOS'!AT113</f>
        <v>0</v>
      </c>
    </row>
    <row r="115" spans="1:10" x14ac:dyDescent="0.25">
      <c r="A115" s="645" t="str">
        <f>+'[7] E.PRECIOS'!A114</f>
        <v>Mantequilla</v>
      </c>
      <c r="B115" s="645" t="str">
        <f>+'[7] E.PRECIOS'!B114</f>
        <v>Gramos</v>
      </c>
      <c r="C115" s="646">
        <f>+'[7] E.PRECIOS'!AM114</f>
        <v>0</v>
      </c>
      <c r="D115" s="646">
        <f>+'[7] E.PRECIOS'!AN114</f>
        <v>5973.333333333333</v>
      </c>
      <c r="E115" s="646">
        <f>+'[7] E.PRECIOS'!AO114</f>
        <v>5450</v>
      </c>
      <c r="F115" s="646">
        <f>+'[7] E.PRECIOS'!AP114</f>
        <v>5606.666666666667</v>
      </c>
      <c r="G115" s="646">
        <f>+'[7] E.PRECIOS'!AQ114</f>
        <v>4293.333333333333</v>
      </c>
      <c r="H115" s="646">
        <f>+'[7] E.PRECIOS'!AR114</f>
        <v>5330.833333333333</v>
      </c>
      <c r="I115" s="648">
        <f>+'[7] E.PRECIOS'!AS114</f>
        <v>10.661666666666665</v>
      </c>
      <c r="J115" s="644">
        <f>+'[7] E.PRECIOS'!AT114</f>
        <v>0</v>
      </c>
    </row>
    <row r="116" spans="1:10" x14ac:dyDescent="0.25">
      <c r="A116" s="645" t="str">
        <f>+'[7] E.PRECIOS'!A115</f>
        <v>Manzana</v>
      </c>
      <c r="B116" s="645" t="str">
        <f>+'[7] E.PRECIOS'!B115</f>
        <v>Kilogramo</v>
      </c>
      <c r="C116" s="646">
        <f>+'[7] E.PRECIOS'!AM115</f>
        <v>0</v>
      </c>
      <c r="D116" s="646">
        <f>+'[7] E.PRECIOS'!AN115</f>
        <v>6340</v>
      </c>
      <c r="E116" s="646">
        <f>+'[7] E.PRECIOS'!AO115</f>
        <v>0</v>
      </c>
      <c r="F116" s="646">
        <f>+'[7] E.PRECIOS'!AP115</f>
        <v>5000</v>
      </c>
      <c r="G116" s="646">
        <f>+'[7] E.PRECIOS'!AQ115</f>
        <v>3833.3333333333335</v>
      </c>
      <c r="H116" s="646">
        <f>+'[7] E.PRECIOS'!AR115</f>
        <v>5057.7777777777783</v>
      </c>
      <c r="I116" s="648">
        <f>+'[7] E.PRECIOS'!AS115</f>
        <v>5.0577777777777779</v>
      </c>
      <c r="J116" s="644">
        <f>+'[7] E.PRECIOS'!AT115</f>
        <v>0</v>
      </c>
    </row>
    <row r="117" spans="1:10" x14ac:dyDescent="0.25">
      <c r="A117" s="645" t="str">
        <f>+'[7] E.PRECIOS'!A116</f>
        <v>Maracuyá</v>
      </c>
      <c r="B117" s="645" t="str">
        <f>+'[7] E.PRECIOS'!B116</f>
        <v>Kilogramo</v>
      </c>
      <c r="C117" s="646">
        <f>+'[7] E.PRECIOS'!AM116</f>
        <v>0</v>
      </c>
      <c r="D117" s="646">
        <f>+'[7] E.PRECIOS'!AN116</f>
        <v>2650</v>
      </c>
      <c r="E117" s="646">
        <f>+'[7] E.PRECIOS'!AO116</f>
        <v>2350</v>
      </c>
      <c r="F117" s="646">
        <f>+'[7] E.PRECIOS'!AP116</f>
        <v>5100</v>
      </c>
      <c r="G117" s="646">
        <f>+'[7] E.PRECIOS'!AQ116</f>
        <v>3740</v>
      </c>
      <c r="H117" s="646">
        <f>+'[7] E.PRECIOS'!AR116</f>
        <v>3460</v>
      </c>
      <c r="I117" s="648">
        <f>+'[7] E.PRECIOS'!AS116</f>
        <v>3.46</v>
      </c>
      <c r="J117" s="644">
        <f>+'[7] E.PRECIOS'!AT116</f>
        <v>0</v>
      </c>
    </row>
    <row r="118" spans="1:10" x14ac:dyDescent="0.25">
      <c r="A118" s="645" t="str">
        <f>+'[7] E.PRECIOS'!A117</f>
        <v>Margarina</v>
      </c>
      <c r="B118" s="645" t="str">
        <f>+'[7] E.PRECIOS'!B117</f>
        <v>Gramos</v>
      </c>
      <c r="C118" s="646">
        <f>+'[7] E.PRECIOS'!AM117</f>
        <v>0</v>
      </c>
      <c r="D118" s="646">
        <f>+'[7] E.PRECIOS'!AN117</f>
        <v>2593.3333333333335</v>
      </c>
      <c r="E118" s="646">
        <f>+'[7] E.PRECIOS'!AO117</f>
        <v>3303.3333333333335</v>
      </c>
      <c r="F118" s="646">
        <f>+'[7] E.PRECIOS'!AP117</f>
        <v>2550</v>
      </c>
      <c r="G118" s="646">
        <f>+'[7] E.PRECIOS'!AQ117</f>
        <v>2926.6666666666665</v>
      </c>
      <c r="H118" s="646">
        <f>+'[7] E.PRECIOS'!AR117</f>
        <v>2843.3333333333335</v>
      </c>
      <c r="I118" s="648">
        <f>+'[7] E.PRECIOS'!AS117</f>
        <v>11.373333333333333</v>
      </c>
      <c r="J118" s="644">
        <f>+'[7] E.PRECIOS'!AT117</f>
        <v>0</v>
      </c>
    </row>
    <row r="119" spans="1:10" x14ac:dyDescent="0.25">
      <c r="A119" s="645" t="str">
        <f>+'[7] E.PRECIOS'!A118</f>
        <v>Masmelo</v>
      </c>
      <c r="B119" s="645" t="str">
        <f>+'[7] E.PRECIOS'!B118</f>
        <v>Gramos</v>
      </c>
      <c r="C119" s="646">
        <f>+'[7] E.PRECIOS'!AM118</f>
        <v>0</v>
      </c>
      <c r="D119" s="646">
        <f>+'[7] E.PRECIOS'!AN118</f>
        <v>2895</v>
      </c>
      <c r="E119" s="646">
        <f>+'[7] E.PRECIOS'!AO118</f>
        <v>4080</v>
      </c>
      <c r="F119" s="646">
        <f>+'[7] E.PRECIOS'!AP118</f>
        <v>2271.6666666666665</v>
      </c>
      <c r="G119" s="646">
        <f>+'[7] E.PRECIOS'!AQ118</f>
        <v>2903.25</v>
      </c>
      <c r="H119" s="646">
        <f>+'[7] E.PRECIOS'!AR118</f>
        <v>3037.4791666666665</v>
      </c>
      <c r="I119" s="648">
        <f>+'[7] E.PRECIOS'!AS118</f>
        <v>20.948132183908044</v>
      </c>
      <c r="J119" s="644">
        <f>+'[7] E.PRECIOS'!AT118</f>
        <v>0</v>
      </c>
    </row>
    <row r="120" spans="1:10" x14ac:dyDescent="0.25">
      <c r="A120" s="645" t="str">
        <f>+'[7] E.PRECIOS'!A119</f>
        <v>Mayonesa</v>
      </c>
      <c r="B120" s="645" t="str">
        <f>+'[7] E.PRECIOS'!B119</f>
        <v>Gramos</v>
      </c>
      <c r="C120" s="646">
        <f>+'[7] E.PRECIOS'!AM119</f>
        <v>0</v>
      </c>
      <c r="D120" s="646">
        <f>+'[7] E.PRECIOS'!AN119</f>
        <v>3220</v>
      </c>
      <c r="E120" s="646">
        <f>+'[7] E.PRECIOS'!AO119</f>
        <v>5400</v>
      </c>
      <c r="F120" s="646">
        <f>+'[7] E.PRECIOS'!AP119</f>
        <v>3126.6666666666665</v>
      </c>
      <c r="G120" s="646">
        <f>+'[7] E.PRECIOS'!AQ119</f>
        <v>4893.333333333333</v>
      </c>
      <c r="H120" s="646">
        <f>+'[7] E.PRECIOS'!AR119</f>
        <v>4160</v>
      </c>
      <c r="I120" s="648">
        <f>+'[7] E.PRECIOS'!AS119</f>
        <v>10.4</v>
      </c>
      <c r="J120" s="644">
        <f>+'[7] E.PRECIOS'!AT119</f>
        <v>0</v>
      </c>
    </row>
    <row r="121" spans="1:10" x14ac:dyDescent="0.25">
      <c r="A121" s="645" t="str">
        <f>+'[7] E.PRECIOS'!A120</f>
        <v>Mazamorra</v>
      </c>
      <c r="B121" s="645" t="str">
        <f>+'[7] E.PRECIOS'!B120</f>
        <v>Gramos</v>
      </c>
      <c r="C121" s="646">
        <f>+'[7] E.PRECIOS'!AM120</f>
        <v>0</v>
      </c>
      <c r="D121" s="646">
        <f>+'[7] E.PRECIOS'!AN120</f>
        <v>1100</v>
      </c>
      <c r="E121" s="646">
        <f>+'[7] E.PRECIOS'!AO120</f>
        <v>1100</v>
      </c>
      <c r="F121" s="646">
        <f>+'[7] E.PRECIOS'!AP120</f>
        <v>1110</v>
      </c>
      <c r="G121" s="646">
        <f>+'[7] E.PRECIOS'!AQ120</f>
        <v>1300.6666666666667</v>
      </c>
      <c r="H121" s="646">
        <f>+'[7] E.PRECIOS'!AR120</f>
        <v>1152.6666666666667</v>
      </c>
      <c r="I121" s="648">
        <f>+'[7] E.PRECIOS'!AS120</f>
        <v>2.3053333333333335</v>
      </c>
      <c r="J121" s="644">
        <f>+'[7] E.PRECIOS'!AT120</f>
        <v>0</v>
      </c>
    </row>
    <row r="122" spans="1:10" x14ac:dyDescent="0.25">
      <c r="A122" s="645" t="str">
        <f>+'[7] E.PRECIOS'!A121</f>
        <v>Melón</v>
      </c>
      <c r="B122" s="645" t="str">
        <f>+'[7] E.PRECIOS'!B121</f>
        <v>Kilogramo</v>
      </c>
      <c r="C122" s="646">
        <f>+'[7] E.PRECIOS'!AM121</f>
        <v>0</v>
      </c>
      <c r="D122" s="646">
        <f>+'[7] E.PRECIOS'!AN121</f>
        <v>1920</v>
      </c>
      <c r="E122" s="646">
        <f>+'[7] E.PRECIOS'!AO121</f>
        <v>3500</v>
      </c>
      <c r="F122" s="646">
        <f>+'[7] E.PRECIOS'!AP121</f>
        <v>2500</v>
      </c>
      <c r="G122" s="646">
        <f>+'[7] E.PRECIOS'!AQ121</f>
        <v>3040</v>
      </c>
      <c r="H122" s="646">
        <f>+'[7] E.PRECIOS'!AR121</f>
        <v>2740</v>
      </c>
      <c r="I122" s="648">
        <f>+'[7] E.PRECIOS'!AS121</f>
        <v>2.74</v>
      </c>
      <c r="J122" s="644">
        <f>+'[7] E.PRECIOS'!AT121</f>
        <v>0</v>
      </c>
    </row>
    <row r="123" spans="1:10" x14ac:dyDescent="0.25">
      <c r="A123" s="645" t="str">
        <f>+'[7] E.PRECIOS'!A122</f>
        <v>Merluza</v>
      </c>
      <c r="B123" s="645" t="str">
        <f>+'[7] E.PRECIOS'!B122</f>
        <v>Kilogramo</v>
      </c>
      <c r="C123" s="646">
        <f>+'[7] E.PRECIOS'!AM122</f>
        <v>0</v>
      </c>
      <c r="D123" s="646">
        <f>+'[7] E.PRECIOS'!AN122</f>
        <v>17690</v>
      </c>
      <c r="E123" s="646">
        <f>+'[7] E.PRECIOS'!AO122</f>
        <v>18888</v>
      </c>
      <c r="F123" s="646">
        <f>+'[7] E.PRECIOS'!AP122</f>
        <v>13300</v>
      </c>
      <c r="G123" s="646">
        <f>+'[7] E.PRECIOS'!AQ122</f>
        <v>14060</v>
      </c>
      <c r="H123" s="646">
        <f>+'[7] E.PRECIOS'!AR122</f>
        <v>15984.5</v>
      </c>
      <c r="I123" s="648">
        <f>+'[7] E.PRECIOS'!AS122</f>
        <v>15.984500000000001</v>
      </c>
      <c r="J123" s="644">
        <f>+'[7] E.PRECIOS'!AT122</f>
        <v>0</v>
      </c>
    </row>
    <row r="124" spans="1:10" x14ac:dyDescent="0.25">
      <c r="A124" s="645" t="str">
        <f>+'[7] E.PRECIOS'!A123</f>
        <v xml:space="preserve">Mermelada </v>
      </c>
      <c r="B124" s="645" t="str">
        <f>+'[7] E.PRECIOS'!B123</f>
        <v>Gramos</v>
      </c>
      <c r="C124" s="646">
        <f>+'[7] E.PRECIOS'!AM123</f>
        <v>0</v>
      </c>
      <c r="D124" s="646">
        <f>+'[7] E.PRECIOS'!AN123</f>
        <v>3718.6666666666665</v>
      </c>
      <c r="E124" s="646">
        <f>+'[7] E.PRECIOS'!AO123</f>
        <v>3044.6666666666665</v>
      </c>
      <c r="F124" s="646">
        <f>+'[7] E.PRECIOS'!AP123</f>
        <v>3708.4791666666665</v>
      </c>
      <c r="G124" s="646">
        <f>+'[7] E.PRECIOS'!AQ123</f>
        <v>3924.3333333333335</v>
      </c>
      <c r="H124" s="646">
        <f>+'[7] E.PRECIOS'!AR123</f>
        <v>3599.0364583333335</v>
      </c>
      <c r="I124" s="648">
        <f>+'[7] E.PRECIOS'!AS123</f>
        <v>11.60979502688172</v>
      </c>
      <c r="J124" s="644">
        <f>+'[7] E.PRECIOS'!AT123</f>
        <v>0</v>
      </c>
    </row>
    <row r="125" spans="1:10" x14ac:dyDescent="0.25">
      <c r="A125" s="645" t="str">
        <f>+'[7] E.PRECIOS'!A124</f>
        <v>Mezcla para buñuelo</v>
      </c>
      <c r="B125" s="645" t="str">
        <f>+'[7] E.PRECIOS'!B124</f>
        <v>Gramos</v>
      </c>
      <c r="C125" s="646">
        <f>+'[7] E.PRECIOS'!AM124</f>
        <v>0</v>
      </c>
      <c r="D125" s="646">
        <f>+'[7] E.PRECIOS'!AN124</f>
        <v>9173.3333333333339</v>
      </c>
      <c r="E125" s="646">
        <f>+'[7] E.PRECIOS'!AO124</f>
        <v>10490</v>
      </c>
      <c r="F125" s="646">
        <f>+'[7] E.PRECIOS'!AP124</f>
        <v>10168</v>
      </c>
      <c r="G125" s="646">
        <f>+'[7] E.PRECIOS'!AQ124</f>
        <v>10148.57142857144</v>
      </c>
      <c r="H125" s="646">
        <f>+'[7] E.PRECIOS'!AR124</f>
        <v>9994.9761904761945</v>
      </c>
      <c r="I125" s="648">
        <f>+'[7] E.PRECIOS'!AS124</f>
        <v>12.493720238095243</v>
      </c>
      <c r="J125" s="644">
        <f>+'[7] E.PRECIOS'!AT124</f>
        <v>0</v>
      </c>
    </row>
    <row r="126" spans="1:10" x14ac:dyDescent="0.25">
      <c r="A126" s="645" t="str">
        <f>+'[7] E.PRECIOS'!A125</f>
        <v xml:space="preserve">Miga de pan </v>
      </c>
      <c r="B126" s="645" t="str">
        <f>+'[7] E.PRECIOS'!B125</f>
        <v>Gramos</v>
      </c>
      <c r="C126" s="646">
        <f>+'[7] E.PRECIOS'!AM125</f>
        <v>0</v>
      </c>
      <c r="D126" s="646">
        <f>+'[7] E.PRECIOS'!AN125</f>
        <v>3140</v>
      </c>
      <c r="E126" s="646">
        <f>+'[7] E.PRECIOS'!AO125</f>
        <v>3440</v>
      </c>
      <c r="F126" s="646">
        <f>+'[7] E.PRECIOS'!AP125</f>
        <v>3020</v>
      </c>
      <c r="G126" s="646">
        <f>+'[7] E.PRECIOS'!AQ125</f>
        <v>1420</v>
      </c>
      <c r="H126" s="646">
        <f>+'[7] E.PRECIOS'!AR125</f>
        <v>2755</v>
      </c>
      <c r="I126" s="648">
        <f>+'[7] E.PRECIOS'!AS125</f>
        <v>5.51</v>
      </c>
      <c r="J126" s="644">
        <f>+'[7] E.PRECIOS'!AT125</f>
        <v>0</v>
      </c>
    </row>
    <row r="127" spans="1:10" x14ac:dyDescent="0.25">
      <c r="A127" s="645" t="str">
        <f>+'[7] E.PRECIOS'!A126</f>
        <v>Mora</v>
      </c>
      <c r="B127" s="645" t="str">
        <f>+'[7] E.PRECIOS'!B126</f>
        <v>Gramos</v>
      </c>
      <c r="C127" s="646">
        <f>+'[7] E.PRECIOS'!AM126</f>
        <v>0</v>
      </c>
      <c r="D127" s="646">
        <f>+'[7] E.PRECIOS'!AN126</f>
        <v>6728</v>
      </c>
      <c r="E127" s="646">
        <f>+'[7] E.PRECIOS'!AO126</f>
        <v>2335</v>
      </c>
      <c r="F127" s="646">
        <f>+'[7] E.PRECIOS'!AP126</f>
        <v>3850</v>
      </c>
      <c r="G127" s="646">
        <f>+'[7] E.PRECIOS'!AQ126</f>
        <v>2500</v>
      </c>
      <c r="H127" s="646">
        <f>+'[7] E.PRECIOS'!AR126</f>
        <v>3853.25</v>
      </c>
      <c r="I127" s="648">
        <f>+'[7] E.PRECIOS'!AS126</f>
        <v>3.8532500000000001</v>
      </c>
      <c r="J127" s="644">
        <f>+'[7] E.PRECIOS'!AT126</f>
        <v>0</v>
      </c>
    </row>
    <row r="128" spans="1:10" x14ac:dyDescent="0.25">
      <c r="A128" s="645" t="str">
        <f>+'[7] E.PRECIOS'!A127</f>
        <v>Mortadela</v>
      </c>
      <c r="B128" s="645" t="str">
        <f>+'[7] E.PRECIOS'!B127</f>
        <v>Gramos</v>
      </c>
      <c r="C128" s="646">
        <f>+'[7] E.PRECIOS'!AM127</f>
        <v>0</v>
      </c>
      <c r="D128" s="646">
        <f>+'[7] E.PRECIOS'!AN127</f>
        <v>5550.333333333333</v>
      </c>
      <c r="E128" s="646">
        <f>+'[7] E.PRECIOS'!AO127</f>
        <v>4410</v>
      </c>
      <c r="F128" s="646">
        <f>+'[7] E.PRECIOS'!AP127</f>
        <v>5285</v>
      </c>
      <c r="G128" s="646">
        <f>+'[7] E.PRECIOS'!AQ127</f>
        <v>4743.333333333333</v>
      </c>
      <c r="H128" s="646">
        <f>+'[7] E.PRECIOS'!AR127</f>
        <v>4997.1666666666661</v>
      </c>
      <c r="I128" s="648">
        <f>+'[7] E.PRECIOS'!AS127</f>
        <v>11.104814814814814</v>
      </c>
      <c r="J128" s="644">
        <f>+'[7] E.PRECIOS'!AT127</f>
        <v>0</v>
      </c>
    </row>
    <row r="129" spans="1:10" x14ac:dyDescent="0.25">
      <c r="A129" s="645" t="str">
        <f>+'[7] E.PRECIOS'!A128</f>
        <v>Muchacho</v>
      </c>
      <c r="B129" s="645" t="str">
        <f>+'[7] E.PRECIOS'!B128</f>
        <v>Kilogramo</v>
      </c>
      <c r="C129" s="646">
        <f>+'[7] E.PRECIOS'!AM128</f>
        <v>0</v>
      </c>
      <c r="D129" s="646">
        <f>+'[7] E.PRECIOS'!AN128</f>
        <v>13640</v>
      </c>
      <c r="E129" s="646">
        <f>+'[7] E.PRECIOS'!AO128</f>
        <v>14420</v>
      </c>
      <c r="F129" s="646">
        <f>+'[7] E.PRECIOS'!AP128</f>
        <v>0</v>
      </c>
      <c r="G129" s="646">
        <f>+'[7] E.PRECIOS'!AQ128</f>
        <v>0</v>
      </c>
      <c r="H129" s="646">
        <f>+'[7] E.PRECIOS'!AR128</f>
        <v>14030</v>
      </c>
      <c r="I129" s="648">
        <f>+'[7] E.PRECIOS'!AS128</f>
        <v>14.03</v>
      </c>
      <c r="J129" s="644">
        <f>+'[7] E.PRECIOS'!AT128</f>
        <v>0</v>
      </c>
    </row>
    <row r="130" spans="1:10" x14ac:dyDescent="0.25">
      <c r="A130" s="645" t="str">
        <f>+'[7] E.PRECIOS'!A129</f>
        <v>Murrapo</v>
      </c>
      <c r="B130" s="645" t="str">
        <f>+'[7] E.PRECIOS'!B129</f>
        <v>Kilogramo</v>
      </c>
      <c r="C130" s="646">
        <f>+'[7] E.PRECIOS'!AM129</f>
        <v>0</v>
      </c>
      <c r="D130" s="646">
        <f>+'[7] E.PRECIOS'!AN129</f>
        <v>1130</v>
      </c>
      <c r="E130" s="646">
        <f>+'[7] E.PRECIOS'!AO129</f>
        <v>1350</v>
      </c>
      <c r="F130" s="646">
        <f>+'[7] E.PRECIOS'!AP129</f>
        <v>0</v>
      </c>
      <c r="G130" s="646">
        <f>+'[7] E.PRECIOS'!AQ129</f>
        <v>1050</v>
      </c>
      <c r="H130" s="646">
        <f>+'[7] E.PRECIOS'!AR129</f>
        <v>1176.6666666666667</v>
      </c>
      <c r="I130" s="648">
        <f>+'[7] E.PRECIOS'!AS129</f>
        <v>1.1766666666666667</v>
      </c>
      <c r="J130" s="644">
        <f>+'[7] E.PRECIOS'!AT129</f>
        <v>0</v>
      </c>
    </row>
    <row r="131" spans="1:10" x14ac:dyDescent="0.25">
      <c r="A131" s="645" t="str">
        <f>+'[7] E.PRECIOS'!A130</f>
        <v>Muslos de pollo</v>
      </c>
      <c r="B131" s="645" t="str">
        <f>+'[7] E.PRECIOS'!B130</f>
        <v>Kilogramo</v>
      </c>
      <c r="C131" s="646">
        <f>+'[7] E.PRECIOS'!AM130</f>
        <v>0</v>
      </c>
      <c r="D131" s="646">
        <f>+'[7] E.PRECIOS'!AN130</f>
        <v>10280</v>
      </c>
      <c r="E131" s="646">
        <f>+'[7] E.PRECIOS'!AO130</f>
        <v>8300</v>
      </c>
      <c r="F131" s="646">
        <f>+'[7] E.PRECIOS'!AP130</f>
        <v>9320</v>
      </c>
      <c r="G131" s="646">
        <f>+'[7] E.PRECIOS'!AQ130</f>
        <v>9744.5</v>
      </c>
      <c r="H131" s="646">
        <f>+'[7] E.PRECIOS'!AR130</f>
        <v>9411.125</v>
      </c>
      <c r="I131" s="648">
        <f>+'[7] E.PRECIOS'!AS130</f>
        <v>9.4111250000000002</v>
      </c>
      <c r="J131" s="644">
        <f>+'[7] E.PRECIOS'!AT130</f>
        <v>0</v>
      </c>
    </row>
    <row r="132" spans="1:10" x14ac:dyDescent="0.25">
      <c r="A132" s="645" t="str">
        <f>+'[7] E.PRECIOS'!A131</f>
        <v>Naranja</v>
      </c>
      <c r="B132" s="645" t="str">
        <f>+'[7] E.PRECIOS'!B131</f>
        <v>Kilogramo</v>
      </c>
      <c r="C132" s="646">
        <f>+'[7] E.PRECIOS'!AM131</f>
        <v>0</v>
      </c>
      <c r="D132" s="646">
        <f>+'[7] E.PRECIOS'!AN131</f>
        <v>2720</v>
      </c>
      <c r="E132" s="646">
        <f>+'[7] E.PRECIOS'!AO131</f>
        <v>4000</v>
      </c>
      <c r="F132" s="646">
        <f>+'[7] E.PRECIOS'!AP131</f>
        <v>2180</v>
      </c>
      <c r="G132" s="646">
        <f>+'[7] E.PRECIOS'!AQ131</f>
        <v>2140</v>
      </c>
      <c r="H132" s="646">
        <f>+'[7] E.PRECIOS'!AR131</f>
        <v>2760</v>
      </c>
      <c r="I132" s="648">
        <f>+'[7] E.PRECIOS'!AS131</f>
        <v>2.76</v>
      </c>
      <c r="J132" s="644">
        <f>+'[7] E.PRECIOS'!AT131</f>
        <v>0</v>
      </c>
    </row>
    <row r="133" spans="1:10" x14ac:dyDescent="0.25">
      <c r="A133" s="645" t="str">
        <f>+'[7] E.PRECIOS'!A132</f>
        <v>Nucita</v>
      </c>
      <c r="B133" s="645" t="str">
        <f>+'[7] E.PRECIOS'!B132</f>
        <v>Gramos</v>
      </c>
      <c r="C133" s="646">
        <f>+'[7] E.PRECIOS'!AM132</f>
        <v>0</v>
      </c>
      <c r="D133" s="646">
        <f>+'[7] E.PRECIOS'!AN132</f>
        <v>2130</v>
      </c>
      <c r="E133" s="646">
        <f>+'[7] E.PRECIOS'!AO132</f>
        <v>2060</v>
      </c>
      <c r="F133" s="646">
        <f>+'[7] E.PRECIOS'!AP132</f>
        <v>2534</v>
      </c>
      <c r="G133" s="646">
        <f>+'[7] E.PRECIOS'!AQ132</f>
        <v>1790</v>
      </c>
      <c r="H133" s="646">
        <f>+'[7] E.PRECIOS'!AR132</f>
        <v>2128.5</v>
      </c>
      <c r="I133" s="648">
        <f>+'[7] E.PRECIOS'!AS132</f>
        <v>25.339285714285715</v>
      </c>
      <c r="J133" s="644">
        <f>+'[7] E.PRECIOS'!AT132</f>
        <v>0</v>
      </c>
    </row>
    <row r="134" spans="1:10" x14ac:dyDescent="0.25">
      <c r="A134" s="645" t="str">
        <f>+'[7] E.PRECIOS'!A133</f>
        <v>Palito de queso</v>
      </c>
      <c r="B134" s="645" t="str">
        <f>+'[7] E.PRECIOS'!B133</f>
        <v>Unidades</v>
      </c>
      <c r="C134" s="646">
        <f>+'[7] E.PRECIOS'!AM133</f>
        <v>0</v>
      </c>
      <c r="D134" s="646">
        <f>+'[7] E.PRECIOS'!AN133</f>
        <v>1850</v>
      </c>
      <c r="E134" s="646">
        <f>+'[7] E.PRECIOS'!AO133</f>
        <v>0</v>
      </c>
      <c r="F134" s="646">
        <f>+'[7] E.PRECIOS'!AP133</f>
        <v>0</v>
      </c>
      <c r="G134" s="646">
        <f>+'[7] E.PRECIOS'!AQ133</f>
        <v>0</v>
      </c>
      <c r="H134" s="646">
        <f>+'[7] E.PRECIOS'!AR133</f>
        <v>1850</v>
      </c>
      <c r="I134" s="648">
        <f>+'[7] E.PRECIOS'!AS133</f>
        <v>1850</v>
      </c>
      <c r="J134" s="644">
        <f>+'[7] E.PRECIOS'!AT133</f>
        <v>0</v>
      </c>
    </row>
    <row r="135" spans="1:10" x14ac:dyDescent="0.25">
      <c r="A135" s="645" t="str">
        <f>+'[7] E.PRECIOS'!A134</f>
        <v>Palitroque</v>
      </c>
      <c r="B135" s="645" t="str">
        <f>+'[7] E.PRECIOS'!B134</f>
        <v>Gramos</v>
      </c>
      <c r="C135" s="646">
        <f>+'[7] E.PRECIOS'!AM134</f>
        <v>0</v>
      </c>
      <c r="D135" s="646">
        <f>+'[7] E.PRECIOS'!AN134</f>
        <v>1350</v>
      </c>
      <c r="E135" s="646">
        <f>+'[7] E.PRECIOS'!AO134</f>
        <v>2900</v>
      </c>
      <c r="F135" s="646">
        <f>+'[7] E.PRECIOS'!AP134</f>
        <v>1529.75</v>
      </c>
      <c r="G135" s="646">
        <f>+'[7] E.PRECIOS'!AQ134</f>
        <v>906.66666666666663</v>
      </c>
      <c r="H135" s="646">
        <f>+'[7] E.PRECIOS'!AR134</f>
        <v>1671.6041666666667</v>
      </c>
      <c r="I135" s="648">
        <f>+'[7] E.PRECIOS'!AS134</f>
        <v>18.573379629629631</v>
      </c>
      <c r="J135" s="644">
        <f>+'[7] E.PRECIOS'!AT134</f>
        <v>0</v>
      </c>
    </row>
    <row r="136" spans="1:10" x14ac:dyDescent="0.25">
      <c r="A136" s="645" t="str">
        <f>+'[7] E.PRECIOS'!A135</f>
        <v>Pan bola</v>
      </c>
      <c r="B136" s="645" t="str">
        <f>+'[7] E.PRECIOS'!B135</f>
        <v>Gramos</v>
      </c>
      <c r="C136" s="646">
        <f>+'[7] E.PRECIOS'!AM135</f>
        <v>0</v>
      </c>
      <c r="D136" s="646">
        <f>+'[7] E.PRECIOS'!AN135</f>
        <v>2000</v>
      </c>
      <c r="E136" s="646">
        <f>+'[7] E.PRECIOS'!AO135</f>
        <v>2820</v>
      </c>
      <c r="F136" s="646">
        <f>+'[7] E.PRECIOS'!AP135</f>
        <v>5110</v>
      </c>
      <c r="G136" s="646">
        <f>+'[7] E.PRECIOS'!AQ135</f>
        <v>1236</v>
      </c>
      <c r="H136" s="646">
        <f>+'[7] E.PRECIOS'!AR135</f>
        <v>2791.5</v>
      </c>
      <c r="I136" s="648">
        <f>+'[7] E.PRECIOS'!AS135</f>
        <v>13.292857142857143</v>
      </c>
      <c r="J136" s="644">
        <f>+'[7] E.PRECIOS'!AT135</f>
        <v>0</v>
      </c>
    </row>
    <row r="137" spans="1:10" x14ac:dyDescent="0.25">
      <c r="A137" s="645" t="str">
        <f>+'[7] E.PRECIOS'!A136</f>
        <v>Pan leche</v>
      </c>
      <c r="B137" s="645" t="str">
        <f>+'[7] E.PRECIOS'!B136</f>
        <v>Gramos</v>
      </c>
      <c r="C137" s="646">
        <f>+'[7] E.PRECIOS'!AM136</f>
        <v>0</v>
      </c>
      <c r="D137" s="646">
        <f>+'[7] E.PRECIOS'!AN136</f>
        <v>750</v>
      </c>
      <c r="E137" s="646">
        <f>+'[7] E.PRECIOS'!AO136</f>
        <v>1799.5</v>
      </c>
      <c r="F137" s="646">
        <f>+'[7] E.PRECIOS'!AP136</f>
        <v>2393.3333333333335</v>
      </c>
      <c r="G137" s="646">
        <f>+'[7] E.PRECIOS'!AQ136</f>
        <v>0</v>
      </c>
      <c r="H137" s="646">
        <f>+'[7] E.PRECIOS'!AR136</f>
        <v>1647.6111111111113</v>
      </c>
      <c r="I137" s="648">
        <f>+'[7] E.PRECIOS'!AS136</f>
        <v>9.1533950617283963</v>
      </c>
      <c r="J137" s="644">
        <f>+'[7] E.PRECIOS'!AT136</f>
        <v>0</v>
      </c>
    </row>
    <row r="138" spans="1:10" x14ac:dyDescent="0.25">
      <c r="A138" s="645" t="str">
        <f>+'[7] E.PRECIOS'!A137</f>
        <v>Pan perro</v>
      </c>
      <c r="B138" s="645" t="str">
        <f>+'[7] E.PRECIOS'!B137</f>
        <v>Gramos</v>
      </c>
      <c r="C138" s="646">
        <f>+'[7] E.PRECIOS'!AM137</f>
        <v>0</v>
      </c>
      <c r="D138" s="646">
        <f>+'[7] E.PRECIOS'!AN137</f>
        <v>351.66666666666669</v>
      </c>
      <c r="E138" s="646">
        <f>+'[7] E.PRECIOS'!AO137</f>
        <v>1537</v>
      </c>
      <c r="F138" s="646">
        <f>+'[7] E.PRECIOS'!AP137</f>
        <v>2087.4444444444448</v>
      </c>
      <c r="G138" s="646">
        <f>+'[7] E.PRECIOS'!AQ137</f>
        <v>2633</v>
      </c>
      <c r="H138" s="646">
        <f>+'[7] E.PRECIOS'!AR137</f>
        <v>1652.2777777777778</v>
      </c>
      <c r="I138" s="648">
        <f>+'[7] E.PRECIOS'!AS137</f>
        <v>4.859640522875817</v>
      </c>
      <c r="J138" s="644">
        <f>+'[7] E.PRECIOS'!AT137</f>
        <v>0</v>
      </c>
    </row>
    <row r="139" spans="1:10" x14ac:dyDescent="0.25">
      <c r="A139" s="645" t="str">
        <f>+'[7] E.PRECIOS'!A138</f>
        <v>Pan Queso</v>
      </c>
      <c r="B139" s="645" t="str">
        <f>+'[7] E.PRECIOS'!B138</f>
        <v>Unidades</v>
      </c>
      <c r="C139" s="646">
        <f>+'[7] E.PRECIOS'!AM138</f>
        <v>0</v>
      </c>
      <c r="D139" s="646">
        <f>+'[7] E.PRECIOS'!AN138</f>
        <v>683</v>
      </c>
      <c r="E139" s="646">
        <f>+'[7] E.PRECIOS'!AO138</f>
        <v>0</v>
      </c>
      <c r="F139" s="646">
        <f>+'[7] E.PRECIOS'!AP138</f>
        <v>0</v>
      </c>
      <c r="G139" s="646">
        <f>+'[7] E.PRECIOS'!AQ138</f>
        <v>0</v>
      </c>
      <c r="H139" s="646">
        <f>+'[7] E.PRECIOS'!AR138</f>
        <v>683</v>
      </c>
      <c r="I139" s="648">
        <f>+'[7] E.PRECIOS'!AS138</f>
        <v>683</v>
      </c>
      <c r="J139" s="644">
        <f>+'[7] E.PRECIOS'!AT138</f>
        <v>0</v>
      </c>
    </row>
    <row r="140" spans="1:10" x14ac:dyDescent="0.25">
      <c r="A140" s="645" t="str">
        <f>+'[7] E.PRECIOS'!A139</f>
        <v>Pan tajado</v>
      </c>
      <c r="B140" s="645" t="str">
        <f>+'[7] E.PRECIOS'!B139</f>
        <v>Gramos</v>
      </c>
      <c r="C140" s="646">
        <f>+'[7] E.PRECIOS'!AM139</f>
        <v>0</v>
      </c>
      <c r="D140" s="646">
        <f>+'[7] E.PRECIOS'!AN139</f>
        <v>3627</v>
      </c>
      <c r="E140" s="646">
        <f>+'[7] E.PRECIOS'!AO139</f>
        <v>4067</v>
      </c>
      <c r="F140" s="646">
        <f>+'[7] E.PRECIOS'!AP139</f>
        <v>3108.0059523809523</v>
      </c>
      <c r="G140" s="646">
        <f>+'[7] E.PRECIOS'!AQ139</f>
        <v>3155</v>
      </c>
      <c r="H140" s="646">
        <f>+'[7] E.PRECIOS'!AR139</f>
        <v>3489.2514880952381</v>
      </c>
      <c r="I140" s="648">
        <f>+'[7] E.PRECIOS'!AS139</f>
        <v>5.3680792124542123</v>
      </c>
      <c r="J140" s="644">
        <f>+'[7] E.PRECIOS'!AT139</f>
        <v>0</v>
      </c>
    </row>
    <row r="141" spans="1:10" x14ac:dyDescent="0.25">
      <c r="A141" s="645" t="str">
        <f>+'[7] E.PRECIOS'!A140</f>
        <v>Pandebono</v>
      </c>
      <c r="B141" s="645" t="str">
        <f>+'[7] E.PRECIOS'!B140</f>
        <v>Unidades</v>
      </c>
      <c r="C141" s="646">
        <f>+'[7] E.PRECIOS'!AM140</f>
        <v>0</v>
      </c>
      <c r="D141" s="646">
        <f>+'[7] E.PRECIOS'!AN140</f>
        <v>0</v>
      </c>
      <c r="E141" s="646">
        <f>+'[7] E.PRECIOS'!AO140</f>
        <v>1148</v>
      </c>
      <c r="F141" s="646">
        <f>+'[7] E.PRECIOS'!AP140</f>
        <v>0</v>
      </c>
      <c r="G141" s="646">
        <f>+'[7] E.PRECIOS'!AQ140</f>
        <v>0</v>
      </c>
      <c r="H141" s="646">
        <f>+'[7] E.PRECIOS'!AR140</f>
        <v>1148</v>
      </c>
      <c r="I141" s="648">
        <f>+'[7] E.PRECIOS'!AS140</f>
        <v>1148</v>
      </c>
      <c r="J141" s="644">
        <f>+'[7] E.PRECIOS'!AT140</f>
        <v>0</v>
      </c>
    </row>
    <row r="142" spans="1:10" x14ac:dyDescent="0.25">
      <c r="A142" s="645" t="str">
        <f>+'[7] E.PRECIOS'!A141</f>
        <v>Pandequeso</v>
      </c>
      <c r="B142" s="645" t="str">
        <f>+'[7] E.PRECIOS'!B141</f>
        <v>Gramos</v>
      </c>
      <c r="C142" s="646">
        <f>+'[7] E.PRECIOS'!AM141</f>
        <v>0</v>
      </c>
      <c r="D142" s="646">
        <f>+'[7] E.PRECIOS'!AN141</f>
        <v>370</v>
      </c>
      <c r="E142" s="646">
        <f>+'[7] E.PRECIOS'!AO141</f>
        <v>4168.3666666666668</v>
      </c>
      <c r="F142" s="646">
        <f>+'[7] E.PRECIOS'!AP141</f>
        <v>3886.3636363636365</v>
      </c>
      <c r="G142" s="646">
        <f>+'[7] E.PRECIOS'!AQ141</f>
        <v>0</v>
      </c>
      <c r="H142" s="646">
        <f>+'[7] E.PRECIOS'!AR141</f>
        <v>2808.2434343434343</v>
      </c>
      <c r="I142" s="648">
        <f>+'[7] E.PRECIOS'!AS141</f>
        <v>20.801803217358774</v>
      </c>
      <c r="J142" s="644">
        <f>+'[7] E.PRECIOS'!AT141</f>
        <v>0</v>
      </c>
    </row>
    <row r="143" spans="1:10" x14ac:dyDescent="0.25">
      <c r="A143" s="645" t="str">
        <f>+'[7] E.PRECIOS'!A142</f>
        <v>Pandeyuca</v>
      </c>
      <c r="B143" s="645" t="str">
        <f>+'[7] E.PRECIOS'!B142</f>
        <v>Gramos</v>
      </c>
      <c r="C143" s="646">
        <f>+'[7] E.PRECIOS'!AM142</f>
        <v>0</v>
      </c>
      <c r="D143" s="646">
        <f>+'[7] E.PRECIOS'!AN142</f>
        <v>1131</v>
      </c>
      <c r="E143" s="646">
        <f>+'[7] E.PRECIOS'!AO142</f>
        <v>1128.6458333333335</v>
      </c>
      <c r="F143" s="646">
        <f>+'[7] E.PRECIOS'!AP142</f>
        <v>0</v>
      </c>
      <c r="G143" s="646">
        <f>+'[7] E.PRECIOS'!AQ142</f>
        <v>337.5</v>
      </c>
      <c r="H143" s="646">
        <f>+'[7] E.PRECIOS'!AR142</f>
        <v>865.71527777777783</v>
      </c>
      <c r="I143" s="648">
        <f>+'[7] E.PRECIOS'!AS142</f>
        <v>865.71527777777783</v>
      </c>
      <c r="J143" s="644">
        <f>+'[7] E.PRECIOS'!AT142</f>
        <v>0</v>
      </c>
    </row>
    <row r="144" spans="1:10" x14ac:dyDescent="0.25">
      <c r="A144" s="645" t="str">
        <f>+'[7] E.PRECIOS'!A143</f>
        <v>Panela</v>
      </c>
      <c r="B144" s="645" t="str">
        <f>+'[7] E.PRECIOS'!B143</f>
        <v>Kilogramo</v>
      </c>
      <c r="C144" s="646">
        <f>+'[7] E.PRECIOS'!AM143</f>
        <v>0</v>
      </c>
      <c r="D144" s="646">
        <f>+'[7] E.PRECIOS'!AN143</f>
        <v>3100</v>
      </c>
      <c r="E144" s="646">
        <f>+'[7] E.PRECIOS'!AO143</f>
        <v>2395</v>
      </c>
      <c r="F144" s="646">
        <f>+'[7] E.PRECIOS'!AP143</f>
        <v>2870</v>
      </c>
      <c r="G144" s="646">
        <f>+'[7] E.PRECIOS'!AQ143</f>
        <v>2430</v>
      </c>
      <c r="H144" s="646">
        <f>+'[7] E.PRECIOS'!AR143</f>
        <v>2698.75</v>
      </c>
      <c r="I144" s="648">
        <f>+'[7] E.PRECIOS'!AS143</f>
        <v>2.69875</v>
      </c>
      <c r="J144" s="644">
        <f>+'[7] E.PRECIOS'!AT143</f>
        <v>0</v>
      </c>
    </row>
    <row r="145" spans="1:10" x14ac:dyDescent="0.25">
      <c r="A145" s="645" t="str">
        <f>+'[7] E.PRECIOS'!A144</f>
        <v xml:space="preserve">Panelita </v>
      </c>
      <c r="B145" s="645" t="str">
        <f>+'[7] E.PRECIOS'!B144</f>
        <v>Gramos</v>
      </c>
      <c r="C145" s="646">
        <f>+'[7] E.PRECIOS'!AM144</f>
        <v>0</v>
      </c>
      <c r="D145" s="646">
        <f>+'[7] E.PRECIOS'!AN144</f>
        <v>7061.75</v>
      </c>
      <c r="E145" s="646">
        <f>+'[7] E.PRECIOS'!AO144</f>
        <v>9700</v>
      </c>
      <c r="F145" s="646">
        <f>+'[7] E.PRECIOS'!AP144</f>
        <v>10260.869565217392</v>
      </c>
      <c r="G145" s="646">
        <f>+'[7] E.PRECIOS'!AQ144</f>
        <v>9717.391304347826</v>
      </c>
      <c r="H145" s="646">
        <f>+'[7] E.PRECIOS'!AR144</f>
        <v>9185.002717391304</v>
      </c>
      <c r="I145" s="648">
        <f>+'[7] E.PRECIOS'!AS144</f>
        <v>30.61667572463768</v>
      </c>
      <c r="J145" s="644">
        <f>+'[7] E.PRECIOS'!AT144</f>
        <v>0</v>
      </c>
    </row>
    <row r="146" spans="1:10" x14ac:dyDescent="0.25">
      <c r="A146" s="645" t="str">
        <f>+'[7] E.PRECIOS'!A145</f>
        <v>Panelita de coco</v>
      </c>
      <c r="B146" s="645" t="str">
        <f>+'[7] E.PRECIOS'!B145</f>
        <v>Gramos</v>
      </c>
      <c r="C146" s="646">
        <f>+'[7] E.PRECIOS'!AM145</f>
        <v>0</v>
      </c>
      <c r="D146" s="646">
        <f>+'[7] E.PRECIOS'!AN145</f>
        <v>7525</v>
      </c>
      <c r="E146" s="646">
        <f>+'[7] E.PRECIOS'!AO145</f>
        <v>0</v>
      </c>
      <c r="F146" s="646">
        <f>+'[7] E.PRECIOS'!AP145</f>
        <v>3390</v>
      </c>
      <c r="G146" s="646">
        <f>+'[7] E.PRECIOS'!AQ145</f>
        <v>10021.739130434782</v>
      </c>
      <c r="H146" s="646">
        <f>+'[7] E.PRECIOS'!AR145</f>
        <v>6978.913043478261</v>
      </c>
      <c r="I146" s="648">
        <f>+'[7] E.PRECIOS'!AS145</f>
        <v>23.263043478260869</v>
      </c>
      <c r="J146" s="644">
        <f>+'[7] E.PRECIOS'!AT145</f>
        <v>0</v>
      </c>
    </row>
    <row r="147" spans="1:10" x14ac:dyDescent="0.25">
      <c r="A147" s="645" t="str">
        <f>+'[7] E.PRECIOS'!A146</f>
        <v>Panelita de leche</v>
      </c>
      <c r="B147" s="645" t="str">
        <f>+'[7] E.PRECIOS'!B146</f>
        <v>Gramos</v>
      </c>
      <c r="C147" s="646">
        <f>+'[7] E.PRECIOS'!AM146</f>
        <v>0</v>
      </c>
      <c r="D147" s="646">
        <f>+'[7] E.PRECIOS'!AN146</f>
        <v>5818.5</v>
      </c>
      <c r="E147" s="646">
        <f>+'[7] E.PRECIOS'!AO146</f>
        <v>9700</v>
      </c>
      <c r="F147" s="646">
        <f>+'[7] E.PRECIOS'!AP146</f>
        <v>0</v>
      </c>
      <c r="G147" s="646">
        <f>+'[7] E.PRECIOS'!AQ146</f>
        <v>10021.739130434782</v>
      </c>
      <c r="H147" s="646">
        <f>+'[7] E.PRECIOS'!AR146</f>
        <v>8513.4130434782619</v>
      </c>
      <c r="I147" s="648">
        <f>+'[7] E.PRECIOS'!AS146</f>
        <v>24.324037267080747</v>
      </c>
      <c r="J147" s="644">
        <f>+'[7] E.PRECIOS'!AT146</f>
        <v>0</v>
      </c>
    </row>
    <row r="148" spans="1:10" x14ac:dyDescent="0.25">
      <c r="A148" s="645" t="str">
        <f>+'[7] E.PRECIOS'!A147</f>
        <v>Panelita de arequipe  y coco</v>
      </c>
      <c r="B148" s="645" t="str">
        <f>+'[7] E.PRECIOS'!B147</f>
        <v>Gramos</v>
      </c>
      <c r="C148" s="646">
        <f>+'[7] E.PRECIOS'!AM147</f>
        <v>0</v>
      </c>
      <c r="D148" s="646">
        <f>+'[7] E.PRECIOS'!AN147</f>
        <v>9380</v>
      </c>
      <c r="E148" s="646">
        <f>+'[7] E.PRECIOS'!AO147</f>
        <v>7189</v>
      </c>
      <c r="F148" s="646">
        <f>+'[7] E.PRECIOS'!AP147</f>
        <v>7720</v>
      </c>
      <c r="G148" s="646">
        <f>+'[7] E.PRECIOS'!AQ147</f>
        <v>7550</v>
      </c>
      <c r="H148" s="646">
        <f>+'[7] E.PRECIOS'!AR147</f>
        <v>7959.75</v>
      </c>
      <c r="I148" s="648">
        <f>+'[7] E.PRECIOS'!AS147</f>
        <v>28.839673913043477</v>
      </c>
      <c r="J148" s="644">
        <f>+'[7] E.PRECIOS'!AT147</f>
        <v>0</v>
      </c>
    </row>
    <row r="149" spans="1:10" x14ac:dyDescent="0.25">
      <c r="A149" s="645" t="str">
        <f>+'[7] E.PRECIOS'!A148</f>
        <v>Papa capira</v>
      </c>
      <c r="B149" s="645" t="str">
        <f>+'[7] E.PRECIOS'!B148</f>
        <v>Kilogramo</v>
      </c>
      <c r="C149" s="646">
        <f>+'[7] E.PRECIOS'!AM148</f>
        <v>0</v>
      </c>
      <c r="D149" s="646">
        <f>+'[7] E.PRECIOS'!AN148</f>
        <v>1490</v>
      </c>
      <c r="E149" s="646">
        <f>+'[7] E.PRECIOS'!AO148</f>
        <v>1450</v>
      </c>
      <c r="F149" s="646">
        <f>+'[7] E.PRECIOS'!AP148</f>
        <v>980</v>
      </c>
      <c r="G149" s="646">
        <f>+'[7] E.PRECIOS'!AQ148</f>
        <v>0</v>
      </c>
      <c r="H149" s="646">
        <f>+'[7] E.PRECIOS'!AR148</f>
        <v>1306.6666666666667</v>
      </c>
      <c r="I149" s="648">
        <f>+'[7] E.PRECIOS'!AS148</f>
        <v>1.3066666666666666</v>
      </c>
      <c r="J149" s="644">
        <f>+'[7] E.PRECIOS'!AT148</f>
        <v>0</v>
      </c>
    </row>
    <row r="150" spans="1:10" x14ac:dyDescent="0.25">
      <c r="A150" s="645" t="str">
        <f>+'[7] E.PRECIOS'!A149</f>
        <v>Papa común</v>
      </c>
      <c r="B150" s="645" t="str">
        <f>+'[7] E.PRECIOS'!B149</f>
        <v>Kilogramo</v>
      </c>
      <c r="C150" s="646">
        <f>+'[7] E.PRECIOS'!AM149</f>
        <v>0</v>
      </c>
      <c r="D150" s="646">
        <f>+'[7] E.PRECIOS'!AN149</f>
        <v>0</v>
      </c>
      <c r="E150" s="646">
        <f>+'[7] E.PRECIOS'!AO149</f>
        <v>0</v>
      </c>
      <c r="F150" s="646">
        <f>+'[7] E.PRECIOS'!AP149</f>
        <v>0</v>
      </c>
      <c r="G150" s="646">
        <f>+'[7] E.PRECIOS'!AQ149</f>
        <v>0</v>
      </c>
      <c r="H150" s="646">
        <f>+'[7] E.PRECIOS'!AR149</f>
        <v>0</v>
      </c>
      <c r="I150" s="648">
        <f>+'[7] E.PRECIOS'!AS149</f>
        <v>0</v>
      </c>
      <c r="J150" s="644">
        <f>+'[7] E.PRECIOS'!AT149</f>
        <v>0</v>
      </c>
    </row>
    <row r="151" spans="1:10" x14ac:dyDescent="0.25">
      <c r="A151" s="645" t="str">
        <f>+'[7] E.PRECIOS'!A150</f>
        <v>Papa Criolla</v>
      </c>
      <c r="B151" s="645" t="str">
        <f>+'[7] E.PRECIOS'!B150</f>
        <v>Kilogramo</v>
      </c>
      <c r="C151" s="646">
        <f>+'[7] E.PRECIOS'!AM150</f>
        <v>0</v>
      </c>
      <c r="D151" s="646">
        <f>+'[7] E.PRECIOS'!AN150</f>
        <v>3360</v>
      </c>
      <c r="E151" s="646">
        <f>+'[7] E.PRECIOS'!AO150</f>
        <v>2800</v>
      </c>
      <c r="F151" s="646">
        <f>+'[7] E.PRECIOS'!AP150</f>
        <v>3100</v>
      </c>
      <c r="G151" s="646">
        <f>+'[7] E.PRECIOS'!AQ150</f>
        <v>2940</v>
      </c>
      <c r="H151" s="646">
        <f>+'[7] E.PRECIOS'!AR150</f>
        <v>3050</v>
      </c>
      <c r="I151" s="648">
        <f>+'[7] E.PRECIOS'!AS150</f>
        <v>3.05</v>
      </c>
      <c r="J151" s="644">
        <f>+'[7] E.PRECIOS'!AT150</f>
        <v>0</v>
      </c>
    </row>
    <row r="152" spans="1:10" x14ac:dyDescent="0.25">
      <c r="A152" s="645" t="str">
        <f>+'[7] E.PRECIOS'!A151</f>
        <v>Papa nevada</v>
      </c>
      <c r="B152" s="645" t="str">
        <f>+'[7] E.PRECIOS'!B151</f>
        <v>Kilogramo</v>
      </c>
      <c r="C152" s="646">
        <f>+'[7] E.PRECIOS'!AM151</f>
        <v>0</v>
      </c>
      <c r="D152" s="646">
        <f>+'[7] E.PRECIOS'!AN151</f>
        <v>3005</v>
      </c>
      <c r="E152" s="646">
        <f>+'[7] E.PRECIOS'!AO151</f>
        <v>1800</v>
      </c>
      <c r="F152" s="646">
        <f>+'[7] E.PRECIOS'!AP151</f>
        <v>1180</v>
      </c>
      <c r="G152" s="646">
        <f>+'[7] E.PRECIOS'!AQ151</f>
        <v>1380</v>
      </c>
      <c r="H152" s="646">
        <f>+'[7] E.PRECIOS'!AR151</f>
        <v>1841.25</v>
      </c>
      <c r="I152" s="648">
        <f>+'[7] E.PRECIOS'!AS151</f>
        <v>1.8412500000000001</v>
      </c>
      <c r="J152" s="644">
        <f>+'[7] E.PRECIOS'!AT151</f>
        <v>0</v>
      </c>
    </row>
    <row r="153" spans="1:10" x14ac:dyDescent="0.25">
      <c r="A153" s="645" t="str">
        <f>+'[7] E.PRECIOS'!A152</f>
        <v>Papaya</v>
      </c>
      <c r="B153" s="645" t="str">
        <f>+'[7] E.PRECIOS'!B152</f>
        <v>Kilogramo</v>
      </c>
      <c r="C153" s="646">
        <f>+'[7] E.PRECIOS'!AM152</f>
        <v>0</v>
      </c>
      <c r="D153" s="646">
        <f>+'[7] E.PRECIOS'!AN152</f>
        <v>1650</v>
      </c>
      <c r="E153" s="646">
        <f>+'[7] E.PRECIOS'!AO152</f>
        <v>4250</v>
      </c>
      <c r="F153" s="646">
        <f>+'[7] E.PRECIOS'!AP152</f>
        <v>1670</v>
      </c>
      <c r="G153" s="646">
        <f>+'[7] E.PRECIOS'!AQ152</f>
        <v>2440</v>
      </c>
      <c r="H153" s="646">
        <f>+'[7] E.PRECIOS'!AR152</f>
        <v>2502.5</v>
      </c>
      <c r="I153" s="648">
        <f>+'[7] E.PRECIOS'!AS152</f>
        <v>2.5024999999999999</v>
      </c>
      <c r="J153" s="644">
        <f>+'[7] E.PRECIOS'!AT152</f>
        <v>0</v>
      </c>
    </row>
    <row r="154" spans="1:10" x14ac:dyDescent="0.25">
      <c r="A154" s="645" t="str">
        <f>+'[7] E.PRECIOS'!A153</f>
        <v>Pasas</v>
      </c>
      <c r="B154" s="645" t="str">
        <f>+'[7] E.PRECIOS'!B153</f>
        <v>Gramos</v>
      </c>
      <c r="C154" s="646">
        <f>+'[7] E.PRECIOS'!AM153</f>
        <v>0</v>
      </c>
      <c r="D154" s="646">
        <f>+'[7] E.PRECIOS'!AN153</f>
        <v>2690</v>
      </c>
      <c r="E154" s="646">
        <f>+'[7] E.PRECIOS'!AO153</f>
        <v>2000</v>
      </c>
      <c r="F154" s="646">
        <f>+'[7] E.PRECIOS'!AP153</f>
        <v>1935.5555555555554</v>
      </c>
      <c r="G154" s="646">
        <f>+'[7] E.PRECIOS'!AQ153</f>
        <v>2210</v>
      </c>
      <c r="H154" s="646">
        <f>+'[7] E.PRECIOS'!AR153</f>
        <v>2208.8888888888887</v>
      </c>
      <c r="I154" s="648">
        <f>+'[7] E.PRECIOS'!AS153</f>
        <v>11.044444444444444</v>
      </c>
      <c r="J154" s="644">
        <f>+'[7] E.PRECIOS'!AT153</f>
        <v>0</v>
      </c>
    </row>
    <row r="155" spans="1:10" x14ac:dyDescent="0.25">
      <c r="A155" s="645" t="str">
        <f>+'[7] E.PRECIOS'!A154</f>
        <v>Pasta Cabello de ángel</v>
      </c>
      <c r="B155" s="645" t="str">
        <f>+'[7] E.PRECIOS'!B154</f>
        <v>Gramos</v>
      </c>
      <c r="C155" s="646">
        <f>+'[7] E.PRECIOS'!AM154</f>
        <v>0</v>
      </c>
      <c r="D155" s="646">
        <f>+'[7] E.PRECIOS'!AN154</f>
        <v>1382.5</v>
      </c>
      <c r="E155" s="646">
        <f>+'[7] E.PRECIOS'!AO154</f>
        <v>1650</v>
      </c>
      <c r="F155" s="646">
        <f>+'[7] E.PRECIOS'!AP154</f>
        <v>1945</v>
      </c>
      <c r="G155" s="646">
        <f>+'[7] E.PRECIOS'!AQ154</f>
        <v>1255</v>
      </c>
      <c r="H155" s="646">
        <f>+'[7] E.PRECIOS'!AR154</f>
        <v>1558.125</v>
      </c>
      <c r="I155" s="648">
        <f>+'[7] E.PRECIOS'!AS154</f>
        <v>6.2324999999999999</v>
      </c>
      <c r="J155" s="644">
        <f>+'[7] E.PRECIOS'!AT154</f>
        <v>0</v>
      </c>
    </row>
    <row r="156" spans="1:10" x14ac:dyDescent="0.25">
      <c r="A156" s="645" t="str">
        <f>+'[7] E.PRECIOS'!A155</f>
        <v>Pasta fideo</v>
      </c>
      <c r="B156" s="645" t="str">
        <f>+'[7] E.PRECIOS'!B155</f>
        <v>Gramos</v>
      </c>
      <c r="C156" s="646">
        <f>+'[7] E.PRECIOS'!AM155</f>
        <v>0</v>
      </c>
      <c r="D156" s="646">
        <f>+'[7] E.PRECIOS'!AN155</f>
        <v>1265</v>
      </c>
      <c r="E156" s="646">
        <f>+'[7] E.PRECIOS'!AO155</f>
        <v>1510</v>
      </c>
      <c r="F156" s="646">
        <f>+'[7] E.PRECIOS'!AP155</f>
        <v>1275</v>
      </c>
      <c r="G156" s="646">
        <f>+'[7] E.PRECIOS'!AQ155</f>
        <v>1255</v>
      </c>
      <c r="H156" s="646">
        <f>+'[7] E.PRECIOS'!AR155</f>
        <v>1326.25</v>
      </c>
      <c r="I156" s="648">
        <f>+'[7] E.PRECIOS'!AS155</f>
        <v>5.3049999999999997</v>
      </c>
      <c r="J156" s="644">
        <f>+'[7] E.PRECIOS'!AT155</f>
        <v>0</v>
      </c>
    </row>
    <row r="157" spans="1:10" x14ac:dyDescent="0.25">
      <c r="A157" s="645" t="str">
        <f>+'[7] E.PRECIOS'!A156</f>
        <v>Pastas Conchitas</v>
      </c>
      <c r="B157" s="645" t="str">
        <f>+'[7] E.PRECIOS'!B156</f>
        <v>Gramos</v>
      </c>
      <c r="C157" s="646">
        <f>+'[7] E.PRECIOS'!AM156</f>
        <v>0</v>
      </c>
      <c r="D157" s="646">
        <f>+'[7] E.PRECIOS'!AN156</f>
        <v>1300</v>
      </c>
      <c r="E157" s="646">
        <f>+'[7] E.PRECIOS'!AO156</f>
        <v>1415</v>
      </c>
      <c r="F157" s="646">
        <f>+'[7] E.PRECIOS'!AP156</f>
        <v>1320</v>
      </c>
      <c r="G157" s="646">
        <f>+'[7] E.PRECIOS'!AQ156</f>
        <v>1255</v>
      </c>
      <c r="H157" s="646">
        <f>+'[7] E.PRECIOS'!AR156</f>
        <v>1322.5</v>
      </c>
      <c r="I157" s="648">
        <f>+'[7] E.PRECIOS'!AS156</f>
        <v>5.29</v>
      </c>
      <c r="J157" s="644">
        <f>+'[7] E.PRECIOS'!AT156</f>
        <v>0</v>
      </c>
    </row>
    <row r="158" spans="1:10" x14ac:dyDescent="0.25">
      <c r="A158" s="645" t="str">
        <f>+'[7] E.PRECIOS'!A157</f>
        <v>Pastas letras</v>
      </c>
      <c r="B158" s="645" t="str">
        <f>+'[7] E.PRECIOS'!B157</f>
        <v>Gramos</v>
      </c>
      <c r="C158" s="646">
        <f>+'[7] E.PRECIOS'!AM157</f>
        <v>0</v>
      </c>
      <c r="D158" s="646">
        <f>+'[7] E.PRECIOS'!AN157</f>
        <v>1305</v>
      </c>
      <c r="E158" s="646">
        <f>+'[7] E.PRECIOS'!AO157</f>
        <v>1450</v>
      </c>
      <c r="F158" s="646">
        <f>+'[7] E.PRECIOS'!AP157</f>
        <v>1275</v>
      </c>
      <c r="G158" s="646">
        <f>+'[7] E.PRECIOS'!AQ157</f>
        <v>1255</v>
      </c>
      <c r="H158" s="646">
        <f>+'[7] E.PRECIOS'!AR157</f>
        <v>1321.25</v>
      </c>
      <c r="I158" s="648">
        <f>+'[7] E.PRECIOS'!AS157</f>
        <v>5.2850000000000001</v>
      </c>
      <c r="J158" s="644">
        <f>+'[7] E.PRECIOS'!AT157</f>
        <v>0</v>
      </c>
    </row>
    <row r="159" spans="1:10" x14ac:dyDescent="0.25">
      <c r="A159" s="645" t="str">
        <f>+'[7] E.PRECIOS'!A158</f>
        <v>Pastel de arequipe</v>
      </c>
      <c r="B159" s="645" t="str">
        <f>+'[7] E.PRECIOS'!B158</f>
        <v>Unidades</v>
      </c>
      <c r="C159" s="646">
        <f>+'[7] E.PRECIOS'!AM158</f>
        <v>0</v>
      </c>
      <c r="D159" s="646">
        <f>+'[7] E.PRECIOS'!AN158</f>
        <v>555</v>
      </c>
      <c r="E159" s="646">
        <f>+'[7] E.PRECIOS'!AO158</f>
        <v>670</v>
      </c>
      <c r="F159" s="646">
        <f>+'[7] E.PRECIOS'!AP158</f>
        <v>517.5</v>
      </c>
      <c r="G159" s="646">
        <f>+'[7] E.PRECIOS'!AQ158</f>
        <v>566.66666666666663</v>
      </c>
      <c r="H159" s="646">
        <f>+'[7] E.PRECIOS'!AR158</f>
        <v>577.29166666666663</v>
      </c>
      <c r="I159" s="648">
        <f>+'[7] E.PRECIOS'!AS158</f>
        <v>577.29166666666663</v>
      </c>
      <c r="J159" s="644">
        <f>+'[7] E.PRECIOS'!AT158</f>
        <v>0</v>
      </c>
    </row>
    <row r="160" spans="1:10" x14ac:dyDescent="0.25">
      <c r="A160" s="645" t="str">
        <f>+'[7] E.PRECIOS'!A159</f>
        <v>Pastel de guayaba</v>
      </c>
      <c r="B160" s="645" t="str">
        <f>+'[7] E.PRECIOS'!B159</f>
        <v>Unidades</v>
      </c>
      <c r="C160" s="646">
        <f>+'[7] E.PRECIOS'!AM159</f>
        <v>0</v>
      </c>
      <c r="D160" s="646">
        <f>+'[7] E.PRECIOS'!AN159</f>
        <v>645</v>
      </c>
      <c r="E160" s="646">
        <f>+'[7] E.PRECIOS'!AO159</f>
        <v>503.66666666666669</v>
      </c>
      <c r="F160" s="646">
        <f>+'[7] E.PRECIOS'!AP159</f>
        <v>517.5</v>
      </c>
      <c r="G160" s="646">
        <f>+'[7] E.PRECIOS'!AQ159</f>
        <v>646.25</v>
      </c>
      <c r="H160" s="646">
        <f>+'[7] E.PRECIOS'!AR159</f>
        <v>578.10416666666674</v>
      </c>
      <c r="I160" s="648">
        <f>+'[7] E.PRECIOS'!AS159</f>
        <v>578.10416666666674</v>
      </c>
      <c r="J160" s="644">
        <f>+'[7] E.PRECIOS'!AT159</f>
        <v>0</v>
      </c>
    </row>
    <row r="161" spans="1:10" x14ac:dyDescent="0.25">
      <c r="A161" s="645" t="str">
        <f>+'[7] E.PRECIOS'!A160</f>
        <v>Pastel de Jamón y queso</v>
      </c>
      <c r="B161" s="645" t="str">
        <f>+'[7] E.PRECIOS'!B160</f>
        <v>Unidades</v>
      </c>
      <c r="C161" s="646">
        <f>+'[7] E.PRECIOS'!AM160</f>
        <v>0</v>
      </c>
      <c r="D161" s="646">
        <f>+'[7] E.PRECIOS'!AN160</f>
        <v>2000</v>
      </c>
      <c r="E161" s="646">
        <f>+'[7] E.PRECIOS'!AO160</f>
        <v>0</v>
      </c>
      <c r="F161" s="646">
        <f>+'[7] E.PRECIOS'!AP160</f>
        <v>0</v>
      </c>
      <c r="G161" s="646">
        <f>+'[7] E.PRECIOS'!AQ160</f>
        <v>0</v>
      </c>
      <c r="H161" s="646">
        <f>+'[7] E.PRECIOS'!AR160</f>
        <v>2000</v>
      </c>
      <c r="I161" s="648">
        <f>+'[7] E.PRECIOS'!AS160</f>
        <v>2000</v>
      </c>
      <c r="J161" s="644">
        <f>+'[7] E.PRECIOS'!AT160</f>
        <v>0</v>
      </c>
    </row>
    <row r="162" spans="1:10" x14ac:dyDescent="0.25">
      <c r="A162" s="645" t="str">
        <f>+'[7] E.PRECIOS'!A161</f>
        <v>Pastel de queso</v>
      </c>
      <c r="B162" s="645" t="str">
        <f>+'[7] E.PRECIOS'!B161</f>
        <v>Unidades</v>
      </c>
      <c r="C162" s="646">
        <f>+'[7] E.PRECIOS'!AM161</f>
        <v>0</v>
      </c>
      <c r="D162" s="646">
        <f>+'[7] E.PRECIOS'!AN161</f>
        <v>1816</v>
      </c>
      <c r="E162" s="646">
        <f>+'[7] E.PRECIOS'!AO161</f>
        <v>0</v>
      </c>
      <c r="F162" s="646">
        <f>+'[7] E.PRECIOS'!AP161</f>
        <v>0</v>
      </c>
      <c r="G162" s="646">
        <f>+'[7] E.PRECIOS'!AQ161</f>
        <v>0</v>
      </c>
      <c r="H162" s="646">
        <f>+'[7] E.PRECIOS'!AR161</f>
        <v>1816</v>
      </c>
      <c r="I162" s="648">
        <f>+'[7] E.PRECIOS'!AS161</f>
        <v>1816</v>
      </c>
      <c r="J162" s="644">
        <f>+'[7] E.PRECIOS'!AT161</f>
        <v>0</v>
      </c>
    </row>
    <row r="163" spans="1:10" x14ac:dyDescent="0.25">
      <c r="A163" s="645" t="str">
        <f>+'[7] E.PRECIOS'!A162</f>
        <v>Pastelitos</v>
      </c>
      <c r="B163" s="645" t="str">
        <f>+'[7] E.PRECIOS'!B162</f>
        <v>Unidades</v>
      </c>
      <c r="C163" s="646">
        <f>+'[7] E.PRECIOS'!AM162</f>
        <v>0</v>
      </c>
      <c r="D163" s="646">
        <f>+'[7] E.PRECIOS'!AN162</f>
        <v>850</v>
      </c>
      <c r="E163" s="646">
        <f>+'[7] E.PRECIOS'!AO162</f>
        <v>0</v>
      </c>
      <c r="F163" s="646">
        <f>+'[7] E.PRECIOS'!AP162</f>
        <v>0</v>
      </c>
      <c r="G163" s="646">
        <f>+'[7] E.PRECIOS'!AQ162</f>
        <v>0</v>
      </c>
      <c r="H163" s="646">
        <f>+'[7] E.PRECIOS'!AR162</f>
        <v>850</v>
      </c>
      <c r="I163" s="648">
        <f>+'[7] E.PRECIOS'!AS162</f>
        <v>850</v>
      </c>
      <c r="J163" s="644">
        <f>+'[7] E.PRECIOS'!AT162</f>
        <v>0</v>
      </c>
    </row>
    <row r="164" spans="1:10" x14ac:dyDescent="0.25">
      <c r="A164" s="645" t="str">
        <f>+'[7] E.PRECIOS'!A163</f>
        <v>Pechuga</v>
      </c>
      <c r="B164" s="645" t="str">
        <f>+'[7] E.PRECIOS'!B163</f>
        <v>Kilogramo</v>
      </c>
      <c r="C164" s="646">
        <f>+'[7] E.PRECIOS'!AM163</f>
        <v>0</v>
      </c>
      <c r="D164" s="646">
        <f>+'[7] E.PRECIOS'!AN163</f>
        <v>10903.333333333334</v>
      </c>
      <c r="E164" s="646">
        <f>+'[7] E.PRECIOS'!AO163</f>
        <v>9333.3333333333339</v>
      </c>
      <c r="F164" s="646">
        <f>+'[7] E.PRECIOS'!AP163</f>
        <v>13360</v>
      </c>
      <c r="G164" s="646">
        <f>+'[7] E.PRECIOS'!AQ163</f>
        <v>9915</v>
      </c>
      <c r="H164" s="646">
        <f>+'[7] E.PRECIOS'!AR163</f>
        <v>10877.916666666668</v>
      </c>
      <c r="I164" s="648">
        <f>+'[7] E.PRECIOS'!AS163</f>
        <v>10.877916666666668</v>
      </c>
      <c r="J164" s="644">
        <f>+'[7] E.PRECIOS'!AT163</f>
        <v>0</v>
      </c>
    </row>
    <row r="165" spans="1:10" x14ac:dyDescent="0.25">
      <c r="A165" s="645" t="str">
        <f>+'[7] E.PRECIOS'!A164</f>
        <v>Pepino</v>
      </c>
      <c r="B165" s="645" t="str">
        <f>+'[7] E.PRECIOS'!B164</f>
        <v>Kilogramo</v>
      </c>
      <c r="C165" s="646">
        <f>+'[7] E.PRECIOS'!AM164</f>
        <v>0</v>
      </c>
      <c r="D165" s="646">
        <f>+'[7] E.PRECIOS'!AN164</f>
        <v>2150</v>
      </c>
      <c r="E165" s="646">
        <f>+'[7] E.PRECIOS'!AO164</f>
        <v>1135</v>
      </c>
      <c r="F165" s="646">
        <f>+'[7] E.PRECIOS'!AP164</f>
        <v>1100</v>
      </c>
      <c r="G165" s="646">
        <f>+'[7] E.PRECIOS'!AQ164</f>
        <v>780</v>
      </c>
      <c r="H165" s="646">
        <f>+'[7] E.PRECIOS'!AR164</f>
        <v>1291.25</v>
      </c>
      <c r="I165" s="648">
        <f>+'[7] E.PRECIOS'!AS164</f>
        <v>1.29125</v>
      </c>
      <c r="J165" s="644">
        <f>+'[7] E.PRECIOS'!AT164</f>
        <v>0</v>
      </c>
    </row>
    <row r="166" spans="1:10" x14ac:dyDescent="0.25">
      <c r="A166" s="645" t="str">
        <f>+'[7] E.PRECIOS'!A165</f>
        <v>Pera</v>
      </c>
      <c r="B166" s="645" t="str">
        <f>+'[7] E.PRECIOS'!B165</f>
        <v>Kilogramo</v>
      </c>
      <c r="C166" s="646">
        <f>+'[7] E.PRECIOS'!AM165</f>
        <v>0</v>
      </c>
      <c r="D166" s="646">
        <f>+'[7] E.PRECIOS'!AN165</f>
        <v>5795</v>
      </c>
      <c r="E166" s="646">
        <f>+'[7] E.PRECIOS'!AO165</f>
        <v>2400</v>
      </c>
      <c r="F166" s="646">
        <f>+'[7] E.PRECIOS'!AP165</f>
        <v>4200</v>
      </c>
      <c r="G166" s="646">
        <f>+'[7] E.PRECIOS'!AQ165</f>
        <v>3640</v>
      </c>
      <c r="H166" s="646">
        <f>+'[7] E.PRECIOS'!AR165</f>
        <v>4008.75</v>
      </c>
      <c r="I166" s="648">
        <f>+'[7] E.PRECIOS'!AS165</f>
        <v>4.00875</v>
      </c>
      <c r="J166" s="644">
        <f>+'[7] E.PRECIOS'!AT165</f>
        <v>0</v>
      </c>
    </row>
    <row r="167" spans="1:10" x14ac:dyDescent="0.25">
      <c r="A167" s="645" t="str">
        <f>+'[7] E.PRECIOS'!A166</f>
        <v>Pimentón</v>
      </c>
      <c r="B167" s="645" t="str">
        <f>+'[7] E.PRECIOS'!B166</f>
        <v>Kilogramo</v>
      </c>
      <c r="C167" s="646">
        <f>+'[7] E.PRECIOS'!AM166</f>
        <v>0</v>
      </c>
      <c r="D167" s="646">
        <f>+'[7] E.PRECIOS'!AN166</f>
        <v>3450</v>
      </c>
      <c r="E167" s="646">
        <f>+'[7] E.PRECIOS'!AO166</f>
        <v>3470</v>
      </c>
      <c r="F167" s="646">
        <f>+'[7] E.PRECIOS'!AP166</f>
        <v>2380</v>
      </c>
      <c r="G167" s="646">
        <f>+'[7] E.PRECIOS'!AQ166</f>
        <v>2980</v>
      </c>
      <c r="H167" s="646">
        <f>+'[7] E.PRECIOS'!AR166</f>
        <v>3070</v>
      </c>
      <c r="I167" s="648">
        <f>+'[7] E.PRECIOS'!AS166</f>
        <v>3.07</v>
      </c>
      <c r="J167" s="644">
        <f>+'[7] E.PRECIOS'!AT166</f>
        <v>0</v>
      </c>
    </row>
    <row r="168" spans="1:10" x14ac:dyDescent="0.25">
      <c r="A168" s="645" t="str">
        <f>+'[7] E.PRECIOS'!A167</f>
        <v>Piña</v>
      </c>
      <c r="B168" s="645" t="str">
        <f>+'[7] E.PRECIOS'!B167</f>
        <v>Kilogramo</v>
      </c>
      <c r="C168" s="646">
        <f>+'[7] E.PRECIOS'!AM167</f>
        <v>0</v>
      </c>
      <c r="D168" s="646">
        <f>+'[7] E.PRECIOS'!AN167</f>
        <v>940</v>
      </c>
      <c r="E168" s="646">
        <f>+'[7] E.PRECIOS'!AO167</f>
        <v>2950</v>
      </c>
      <c r="F168" s="646">
        <f>+'[7] E.PRECIOS'!AP167</f>
        <v>0</v>
      </c>
      <c r="G168" s="646">
        <f>+'[7] E.PRECIOS'!AQ167</f>
        <v>0</v>
      </c>
      <c r="H168" s="646">
        <f>+'[7] E.PRECIOS'!AR167</f>
        <v>1945</v>
      </c>
      <c r="I168" s="648">
        <f>+'[7] E.PRECIOS'!AS167</f>
        <v>1.9450000000000001</v>
      </c>
      <c r="J168" s="644">
        <f>+'[7] E.PRECIOS'!AT167</f>
        <v>0</v>
      </c>
    </row>
    <row r="169" spans="1:10" x14ac:dyDescent="0.25">
      <c r="A169" s="645" t="str">
        <f>+'[7] E.PRECIOS'!A168</f>
        <v>Pirulito</v>
      </c>
      <c r="B169" s="645" t="str">
        <f>+'[7] E.PRECIOS'!B168</f>
        <v>Gramos</v>
      </c>
      <c r="C169" s="646">
        <f>+'[7] E.PRECIOS'!AM168</f>
        <v>0</v>
      </c>
      <c r="D169" s="646">
        <f>+'[7] E.PRECIOS'!AN168</f>
        <v>1690</v>
      </c>
      <c r="E169" s="646">
        <f>+'[7] E.PRECIOS'!AO168</f>
        <v>0</v>
      </c>
      <c r="F169" s="646">
        <f>+'[7] E.PRECIOS'!AP168</f>
        <v>2010</v>
      </c>
      <c r="G169" s="646">
        <f>+'[7] E.PRECIOS'!AQ168</f>
        <v>0</v>
      </c>
      <c r="H169" s="646">
        <f>+'[7] E.PRECIOS'!AR168</f>
        <v>1850</v>
      </c>
      <c r="I169" s="648">
        <f>+'[7] E.PRECIOS'!AS168</f>
        <v>10.571428571428571</v>
      </c>
      <c r="J169" s="644">
        <f>+'[7] E.PRECIOS'!AT168</f>
        <v>0</v>
      </c>
    </row>
    <row r="170" spans="1:10" x14ac:dyDescent="0.25">
      <c r="A170" s="645" t="str">
        <f>+'[7] E.PRECIOS'!A169</f>
        <v>Plátano maduro</v>
      </c>
      <c r="B170" s="645" t="str">
        <f>+'[7] E.PRECIOS'!B169</f>
        <v>Kilogramo</v>
      </c>
      <c r="C170" s="646">
        <f>+'[7] E.PRECIOS'!AM169</f>
        <v>0</v>
      </c>
      <c r="D170" s="646">
        <f>+'[7] E.PRECIOS'!AN169</f>
        <v>1580</v>
      </c>
      <c r="E170" s="646">
        <f>+'[7] E.PRECIOS'!AO169</f>
        <v>1600</v>
      </c>
      <c r="F170" s="646">
        <f>+'[7] E.PRECIOS'!AP169</f>
        <v>1240</v>
      </c>
      <c r="G170" s="646">
        <f>+'[7] E.PRECIOS'!AQ169</f>
        <v>1198</v>
      </c>
      <c r="H170" s="646">
        <f>+'[7] E.PRECIOS'!AR169</f>
        <v>1404.5</v>
      </c>
      <c r="I170" s="648">
        <f>+'[7] E.PRECIOS'!AS169</f>
        <v>1.4045000000000001</v>
      </c>
      <c r="J170" s="644">
        <f>+'[7] E.PRECIOS'!AT169</f>
        <v>0</v>
      </c>
    </row>
    <row r="171" spans="1:10" x14ac:dyDescent="0.25">
      <c r="A171" s="645" t="str">
        <f>+'[7] E.PRECIOS'!A170</f>
        <v>Plátano verde</v>
      </c>
      <c r="B171" s="645" t="str">
        <f>+'[7] E.PRECIOS'!B170</f>
        <v>Kilogramo</v>
      </c>
      <c r="C171" s="646">
        <f>+'[7] E.PRECIOS'!AM170</f>
        <v>0</v>
      </c>
      <c r="D171" s="646">
        <f>+'[7] E.PRECIOS'!AN170</f>
        <v>1010</v>
      </c>
      <c r="E171" s="646">
        <f>+'[7] E.PRECIOS'!AO170</f>
        <v>1600</v>
      </c>
      <c r="F171" s="646">
        <f>+'[7] E.PRECIOS'!AP170</f>
        <v>1180</v>
      </c>
      <c r="G171" s="646">
        <f>+'[7] E.PRECIOS'!AQ170</f>
        <v>980</v>
      </c>
      <c r="H171" s="646">
        <f>+'[7] E.PRECIOS'!AR170</f>
        <v>1192.5</v>
      </c>
      <c r="I171" s="648">
        <f>+'[7] E.PRECIOS'!AS170</f>
        <v>1.1924999999999999</v>
      </c>
      <c r="J171" s="644">
        <f>+'[7] E.PRECIOS'!AT170</f>
        <v>0</v>
      </c>
    </row>
    <row r="172" spans="1:10" x14ac:dyDescent="0.25">
      <c r="A172" s="645" t="str">
        <f>+'[7] E.PRECIOS'!A171</f>
        <v>Pollo</v>
      </c>
      <c r="B172" s="645" t="str">
        <f>+'[7] E.PRECIOS'!B171</f>
        <v>Kilogramo</v>
      </c>
      <c r="C172" s="646">
        <f>+'[7] E.PRECIOS'!AM171</f>
        <v>0</v>
      </c>
      <c r="D172" s="646">
        <f>+'[7] E.PRECIOS'!AN171</f>
        <v>8900</v>
      </c>
      <c r="E172" s="646">
        <f>+'[7] E.PRECIOS'!AO171</f>
        <v>11000</v>
      </c>
      <c r="F172" s="646">
        <f>+'[7] E.PRECIOS'!AP171</f>
        <v>2590</v>
      </c>
      <c r="G172" s="646">
        <f>+'[7] E.PRECIOS'!AQ171</f>
        <v>5850</v>
      </c>
      <c r="H172" s="646">
        <f>+'[7] E.PRECIOS'!AR171</f>
        <v>7085</v>
      </c>
      <c r="I172" s="648">
        <f>+'[7] E.PRECIOS'!AS171</f>
        <v>7.085</v>
      </c>
      <c r="J172" s="644">
        <f>+'[7] E.PRECIOS'!AT171</f>
        <v>0</v>
      </c>
    </row>
    <row r="173" spans="1:10" x14ac:dyDescent="0.25">
      <c r="A173" s="645" t="str">
        <f>+'[7] E.PRECIOS'!A172</f>
        <v>Polvo de bizcocho</v>
      </c>
      <c r="B173" s="645" t="str">
        <f>+'[7] E.PRECIOS'!B172</f>
        <v>Gramos</v>
      </c>
      <c r="C173" s="646">
        <f>+'[7] E.PRECIOS'!AM172</f>
        <v>0</v>
      </c>
      <c r="D173" s="646">
        <f>+'[7] E.PRECIOS'!AN172</f>
        <v>1750</v>
      </c>
      <c r="E173" s="646">
        <f>+'[7] E.PRECIOS'!AO172</f>
        <v>1400</v>
      </c>
      <c r="F173" s="646">
        <f>+'[7] E.PRECIOS'!AP172</f>
        <v>1504</v>
      </c>
      <c r="G173" s="646">
        <f>+'[7] E.PRECIOS'!AQ172</f>
        <v>1875</v>
      </c>
      <c r="H173" s="646">
        <f>+'[7] E.PRECIOS'!AR172</f>
        <v>1632.25</v>
      </c>
      <c r="I173" s="648">
        <f>+'[7] E.PRECIOS'!AS172</f>
        <v>8.1612500000000008</v>
      </c>
      <c r="J173" s="644">
        <f>+'[7] E.PRECIOS'!AT172</f>
        <v>0</v>
      </c>
    </row>
    <row r="174" spans="1:10" x14ac:dyDescent="0.25">
      <c r="A174" s="645" t="str">
        <f>+'[7] E.PRECIOS'!A173</f>
        <v>Ponqué</v>
      </c>
      <c r="B174" s="645" t="str">
        <f>+'[7] E.PRECIOS'!B173</f>
        <v>Gramos</v>
      </c>
      <c r="C174" s="646">
        <f>+'[7] E.PRECIOS'!AM173</f>
        <v>0</v>
      </c>
      <c r="D174" s="646">
        <f>+'[7] E.PRECIOS'!AN173</f>
        <v>2197</v>
      </c>
      <c r="E174" s="646">
        <f>+'[7] E.PRECIOS'!AO173</f>
        <v>2130</v>
      </c>
      <c r="F174" s="646">
        <f>+'[7] E.PRECIOS'!AP173</f>
        <v>2735</v>
      </c>
      <c r="G174" s="646">
        <f>+'[7] E.PRECIOS'!AQ173</f>
        <v>2293.6507936507933</v>
      </c>
      <c r="H174" s="646">
        <f>+'[7] E.PRECIOS'!AR173</f>
        <v>2338.9126984126983</v>
      </c>
      <c r="I174" s="648">
        <f>+'[7] E.PRECIOS'!AS173</f>
        <v>9.3556507936507938</v>
      </c>
      <c r="J174" s="644">
        <f>+'[7] E.PRECIOS'!AT173</f>
        <v>0</v>
      </c>
    </row>
    <row r="175" spans="1:10" x14ac:dyDescent="0.25">
      <c r="A175" s="645" t="str">
        <f>+'[7] E.PRECIOS'!A174</f>
        <v>Ponqué ramito</v>
      </c>
      <c r="B175" s="645" t="str">
        <f>+'[7] E.PRECIOS'!B174</f>
        <v>Gramos</v>
      </c>
      <c r="C175" s="646">
        <f>+'[7] E.PRECIOS'!AM174</f>
        <v>0</v>
      </c>
      <c r="D175" s="646">
        <f>+'[7] E.PRECIOS'!AN174</f>
        <v>321</v>
      </c>
      <c r="E175" s="646">
        <f>+'[7] E.PRECIOS'!AO174</f>
        <v>1644</v>
      </c>
      <c r="F175" s="646">
        <f>+'[7] E.PRECIOS'!AP174</f>
        <v>1690</v>
      </c>
      <c r="G175" s="646">
        <f>+'[7] E.PRECIOS'!AQ174</f>
        <v>1650</v>
      </c>
      <c r="H175" s="646">
        <f>+'[7] E.PRECIOS'!AR174</f>
        <v>1326.25</v>
      </c>
      <c r="I175" s="648">
        <f>+'[7] E.PRECIOS'!AS174</f>
        <v>8.8416666666666668</v>
      </c>
      <c r="J175" s="644">
        <f>+'[7] E.PRECIOS'!AT174</f>
        <v>0</v>
      </c>
    </row>
    <row r="176" spans="1:10" x14ac:dyDescent="0.25">
      <c r="A176" s="645" t="str">
        <f>+'[7] E.PRECIOS'!A175</f>
        <v>Pulpa de fresa</v>
      </c>
      <c r="B176" s="645" t="str">
        <f>+'[7] E.PRECIOS'!B175</f>
        <v>Gramos</v>
      </c>
      <c r="C176" s="646">
        <f>+'[7] E.PRECIOS'!AM175</f>
        <v>0</v>
      </c>
      <c r="D176" s="646">
        <f>+'[7] E.PRECIOS'!AN175</f>
        <v>1890</v>
      </c>
      <c r="E176" s="646">
        <f>+'[7] E.PRECIOS'!AO175</f>
        <v>2900</v>
      </c>
      <c r="F176" s="646">
        <f>+'[7] E.PRECIOS'!AP175</f>
        <v>2320</v>
      </c>
      <c r="G176" s="646">
        <f>+'[7] E.PRECIOS'!AQ175</f>
        <v>2003.3333333333333</v>
      </c>
      <c r="H176" s="646">
        <f>+'[7] E.PRECIOS'!AR175</f>
        <v>2278.3333333333335</v>
      </c>
      <c r="I176" s="648">
        <f>+'[7] E.PRECIOS'!AS175</f>
        <v>9.9057971014492754</v>
      </c>
      <c r="J176" s="644">
        <f>+'[7] E.PRECIOS'!AT175</f>
        <v>0</v>
      </c>
    </row>
    <row r="177" spans="1:10" x14ac:dyDescent="0.25">
      <c r="A177" s="645" t="str">
        <f>+'[7] E.PRECIOS'!A176</f>
        <v>Pulpa de guanábana</v>
      </c>
      <c r="B177" s="645" t="str">
        <f>+'[7] E.PRECIOS'!B176</f>
        <v>Gramos</v>
      </c>
      <c r="C177" s="646">
        <f>+'[7] E.PRECIOS'!AM176</f>
        <v>0</v>
      </c>
      <c r="D177" s="646">
        <f>+'[7] E.PRECIOS'!AN176</f>
        <v>2263</v>
      </c>
      <c r="E177" s="646">
        <f>+'[7] E.PRECIOS'!AO176</f>
        <v>2806</v>
      </c>
      <c r="F177" s="646">
        <f>+'[7] E.PRECIOS'!AP176</f>
        <v>5520</v>
      </c>
      <c r="G177" s="646">
        <f>+'[7] E.PRECIOS'!AQ176</f>
        <v>0</v>
      </c>
      <c r="H177" s="646">
        <f>+'[7] E.PRECIOS'!AR176</f>
        <v>3529.6666666666665</v>
      </c>
      <c r="I177" s="648">
        <f>+'[7] E.PRECIOS'!AS176</f>
        <v>7.059333333333333</v>
      </c>
      <c r="J177" s="644">
        <f>+'[7] E.PRECIOS'!AT176</f>
        <v>0</v>
      </c>
    </row>
    <row r="178" spans="1:10" x14ac:dyDescent="0.25">
      <c r="A178" s="645" t="str">
        <f>+'[7] E.PRECIOS'!A177</f>
        <v>Pulpa de guayaba</v>
      </c>
      <c r="B178" s="645" t="str">
        <f>+'[7] E.PRECIOS'!B177</f>
        <v>Gramos</v>
      </c>
      <c r="C178" s="646">
        <f>+'[7] E.PRECIOS'!AM177</f>
        <v>0</v>
      </c>
      <c r="D178" s="646">
        <f>+'[7] E.PRECIOS'!AN177</f>
        <v>1619</v>
      </c>
      <c r="E178" s="646">
        <f>+'[7] E.PRECIOS'!AO177</f>
        <v>0</v>
      </c>
      <c r="F178" s="646">
        <f>+'[7] E.PRECIOS'!AP177</f>
        <v>2160</v>
      </c>
      <c r="G178" s="646">
        <f>+'[7] E.PRECIOS'!AQ177</f>
        <v>2159</v>
      </c>
      <c r="H178" s="646">
        <f>+'[7] E.PRECIOS'!AR177</f>
        <v>1979.3333333333333</v>
      </c>
      <c r="I178" s="648">
        <f>+'[7] E.PRECIOS'!AS177</f>
        <v>8.6057971014492747</v>
      </c>
      <c r="J178" s="644">
        <f>+'[7] E.PRECIOS'!AT177</f>
        <v>0</v>
      </c>
    </row>
    <row r="179" spans="1:10" x14ac:dyDescent="0.25">
      <c r="A179" s="645" t="str">
        <f>+'[7] E.PRECIOS'!A178</f>
        <v>Pulpa de lulo</v>
      </c>
      <c r="B179" s="645" t="str">
        <f>+'[7] E.PRECIOS'!B178</f>
        <v>Gramos</v>
      </c>
      <c r="C179" s="646">
        <f>+'[7] E.PRECIOS'!AM178</f>
        <v>0</v>
      </c>
      <c r="D179" s="646">
        <f>+'[7] E.PRECIOS'!AN178</f>
        <v>2150</v>
      </c>
      <c r="E179" s="646">
        <f>+'[7] E.PRECIOS'!AO178</f>
        <v>2414</v>
      </c>
      <c r="F179" s="646">
        <f>+'[7] E.PRECIOS'!AP178</f>
        <v>2550</v>
      </c>
      <c r="G179" s="646">
        <f>+'[7] E.PRECIOS'!AQ178</f>
        <v>2345.3333333333335</v>
      </c>
      <c r="H179" s="646">
        <f>+'[7] E.PRECIOS'!AR178</f>
        <v>2364.8333333333335</v>
      </c>
      <c r="I179" s="648">
        <f>+'[7] E.PRECIOS'!AS178</f>
        <v>10.281884057971014</v>
      </c>
      <c r="J179" s="644">
        <f>+'[7] E.PRECIOS'!AT178</f>
        <v>0</v>
      </c>
    </row>
    <row r="180" spans="1:10" x14ac:dyDescent="0.25">
      <c r="A180" s="645" t="str">
        <f>+'[7] E.PRECIOS'!A179</f>
        <v>Pulpa de mango</v>
      </c>
      <c r="B180" s="645" t="str">
        <f>+'[7] E.PRECIOS'!B179</f>
        <v>Gramos</v>
      </c>
      <c r="C180" s="646">
        <f>+'[7] E.PRECIOS'!AM179</f>
        <v>0</v>
      </c>
      <c r="D180" s="646">
        <f>+'[7] E.PRECIOS'!AN179</f>
        <v>2146</v>
      </c>
      <c r="E180" s="646">
        <f>+'[7] E.PRECIOS'!AO179</f>
        <v>0</v>
      </c>
      <c r="F180" s="646">
        <f>+'[7] E.PRECIOS'!AP179</f>
        <v>2435</v>
      </c>
      <c r="G180" s="646">
        <f>+'[7] E.PRECIOS'!AQ179</f>
        <v>2352</v>
      </c>
      <c r="H180" s="646">
        <f>+'[7] E.PRECIOS'!AR179</f>
        <v>2311</v>
      </c>
      <c r="I180" s="648">
        <f>+'[7] E.PRECIOS'!AS179</f>
        <v>10.047826086956523</v>
      </c>
      <c r="J180" s="644">
        <f>+'[7] E.PRECIOS'!AT179</f>
        <v>0</v>
      </c>
    </row>
    <row r="181" spans="1:10" x14ac:dyDescent="0.25">
      <c r="A181" s="645" t="str">
        <f>+'[7] E.PRECIOS'!A180</f>
        <v>Pulpa de maracuyá</v>
      </c>
      <c r="B181" s="645" t="str">
        <f>+'[7] E.PRECIOS'!B180</f>
        <v>Gramos</v>
      </c>
      <c r="C181" s="646">
        <f>+'[7] E.PRECIOS'!AM180</f>
        <v>0</v>
      </c>
      <c r="D181" s="646">
        <f>+'[7] E.PRECIOS'!AN180</f>
        <v>2838</v>
      </c>
      <c r="E181" s="646">
        <f>+'[7] E.PRECIOS'!AO180</f>
        <v>0</v>
      </c>
      <c r="F181" s="646">
        <f>+'[7] E.PRECIOS'!AP180</f>
        <v>2705</v>
      </c>
      <c r="G181" s="646">
        <f>+'[7] E.PRECIOS'!AQ180</f>
        <v>2365.3333333333335</v>
      </c>
      <c r="H181" s="646">
        <f>+'[7] E.PRECIOS'!AR180</f>
        <v>2636.1111111111113</v>
      </c>
      <c r="I181" s="648">
        <f>+'[7] E.PRECIOS'!AS180</f>
        <v>11.461352657004833</v>
      </c>
      <c r="J181" s="644">
        <f>+'[7] E.PRECIOS'!AT180</f>
        <v>0</v>
      </c>
    </row>
    <row r="182" spans="1:10" x14ac:dyDescent="0.25">
      <c r="A182" s="645" t="str">
        <f>+'[7] E.PRECIOS'!A181</f>
        <v>Pulpa de mora</v>
      </c>
      <c r="B182" s="645" t="str">
        <f>+'[7] E.PRECIOS'!B181</f>
        <v>Gramos</v>
      </c>
      <c r="C182" s="646">
        <f>+'[7] E.PRECIOS'!AM181</f>
        <v>0</v>
      </c>
      <c r="D182" s="646">
        <f>+'[7] E.PRECIOS'!AN181</f>
        <v>2171</v>
      </c>
      <c r="E182" s="646">
        <f>+'[7] E.PRECIOS'!AO181</f>
        <v>0</v>
      </c>
      <c r="F182" s="646">
        <f>+'[7] E.PRECIOS'!AP181</f>
        <v>0</v>
      </c>
      <c r="G182" s="646">
        <f>+'[7] E.PRECIOS'!AQ181</f>
        <v>2352</v>
      </c>
      <c r="H182" s="646">
        <f>+'[7] E.PRECIOS'!AR181</f>
        <v>2261.5</v>
      </c>
      <c r="I182" s="648">
        <f>+'[7] E.PRECIOS'!AS181</f>
        <v>9.8326086956521745</v>
      </c>
      <c r="J182" s="644">
        <f>+'[7] E.PRECIOS'!AT181</f>
        <v>0</v>
      </c>
    </row>
    <row r="183" spans="1:10" x14ac:dyDescent="0.25">
      <c r="A183" s="645" t="str">
        <f>+'[7] E.PRECIOS'!A182</f>
        <v xml:space="preserve">Pulpa de Naranja </v>
      </c>
      <c r="B183" s="645" t="str">
        <f>+'[7] E.PRECIOS'!B182</f>
        <v>Gramos</v>
      </c>
      <c r="C183" s="646">
        <f>+'[7] E.PRECIOS'!AM182</f>
        <v>0</v>
      </c>
      <c r="D183" s="646">
        <f>+'[7] E.PRECIOS'!AN182</f>
        <v>0</v>
      </c>
      <c r="E183" s="646">
        <f>+'[7] E.PRECIOS'!AO182</f>
        <v>0</v>
      </c>
      <c r="F183" s="646">
        <f>+'[7] E.PRECIOS'!AP182</f>
        <v>0</v>
      </c>
      <c r="G183" s="646">
        <f>+'[7] E.PRECIOS'!AQ182</f>
        <v>1840</v>
      </c>
      <c r="H183" s="646">
        <f>+'[7] E.PRECIOS'!AR182</f>
        <v>1840</v>
      </c>
      <c r="I183" s="648">
        <f>+'[7] E.PRECIOS'!AS182</f>
        <v>8</v>
      </c>
      <c r="J183" s="644">
        <f>+'[7] E.PRECIOS'!AT182</f>
        <v>0</v>
      </c>
    </row>
    <row r="184" spans="1:10" x14ac:dyDescent="0.25">
      <c r="A184" s="645" t="str">
        <f>+'[7] E.PRECIOS'!A183</f>
        <v>Pulpa de piña</v>
      </c>
      <c r="B184" s="645" t="str">
        <f>+'[7] E.PRECIOS'!B183</f>
        <v>Gramos</v>
      </c>
      <c r="C184" s="646">
        <f>+'[7] E.PRECIOS'!AM183</f>
        <v>0</v>
      </c>
      <c r="D184" s="646">
        <f>+'[7] E.PRECIOS'!AN183</f>
        <v>0</v>
      </c>
      <c r="E184" s="646">
        <f>+'[7] E.PRECIOS'!AO183</f>
        <v>0</v>
      </c>
      <c r="F184" s="646">
        <f>+'[7] E.PRECIOS'!AP183</f>
        <v>0</v>
      </c>
      <c r="G184" s="646">
        <f>+'[7] E.PRECIOS'!AQ183</f>
        <v>1780</v>
      </c>
      <c r="H184" s="646">
        <f>+'[7] E.PRECIOS'!AR183</f>
        <v>1780</v>
      </c>
      <c r="I184" s="648">
        <f>+'[7] E.PRECIOS'!AS183</f>
        <v>7.7391304347826084</v>
      </c>
      <c r="J184" s="644">
        <f>+'[7] E.PRECIOS'!AT183</f>
        <v>0</v>
      </c>
    </row>
    <row r="185" spans="1:10" x14ac:dyDescent="0.25">
      <c r="A185" s="645" t="str">
        <f>+'[7] E.PRECIOS'!A184</f>
        <v>Pulpa de tomate de árbol</v>
      </c>
      <c r="B185" s="645" t="str">
        <f>+'[7] E.PRECIOS'!B184</f>
        <v>Gramos</v>
      </c>
      <c r="C185" s="646">
        <f>+'[7] E.PRECIOS'!AM184</f>
        <v>0</v>
      </c>
      <c r="D185" s="646">
        <f>+'[7] E.PRECIOS'!AN184</f>
        <v>0</v>
      </c>
      <c r="E185" s="646">
        <f>+'[7] E.PRECIOS'!AO184</f>
        <v>0</v>
      </c>
      <c r="F185" s="646">
        <f>+'[7] E.PRECIOS'!AP184</f>
        <v>0</v>
      </c>
      <c r="G185" s="646">
        <f>+'[7] E.PRECIOS'!AQ184</f>
        <v>1214</v>
      </c>
      <c r="H185" s="646">
        <f>+'[7] E.PRECIOS'!AR184</f>
        <v>1214</v>
      </c>
      <c r="I185" s="648">
        <f>+'[7] E.PRECIOS'!AS184</f>
        <v>5.2782608695652176</v>
      </c>
      <c r="J185" s="644">
        <f>+'[7] E.PRECIOS'!AT184</f>
        <v>0</v>
      </c>
    </row>
    <row r="186" spans="1:10" x14ac:dyDescent="0.25">
      <c r="A186" s="645" t="str">
        <f>+'[7] E.PRECIOS'!A185</f>
        <v>Quesito</v>
      </c>
      <c r="B186" s="645" t="str">
        <f>+'[7] E.PRECIOS'!B185</f>
        <v>Gramos</v>
      </c>
      <c r="C186" s="646">
        <f>+'[7] E.PRECIOS'!AM185</f>
        <v>0</v>
      </c>
      <c r="D186" s="646">
        <f>+'[7] E.PRECIOS'!AN185</f>
        <v>2146.6666666666665</v>
      </c>
      <c r="E186" s="646">
        <f>+'[7] E.PRECIOS'!AO185</f>
        <v>2807</v>
      </c>
      <c r="F186" s="646">
        <f>+'[7] E.PRECIOS'!AP185</f>
        <v>1760</v>
      </c>
      <c r="G186" s="646">
        <f>+'[7] E.PRECIOS'!AQ185</f>
        <v>2250.3333333333335</v>
      </c>
      <c r="H186" s="646">
        <f>+'[7] E.PRECIOS'!AR185</f>
        <v>2241</v>
      </c>
      <c r="I186" s="648">
        <f>+'[7] E.PRECIOS'!AS185</f>
        <v>10.186363636363636</v>
      </c>
      <c r="J186" s="644">
        <f>+'[7] E.PRECIOS'!AT185</f>
        <v>0</v>
      </c>
    </row>
    <row r="187" spans="1:10" x14ac:dyDescent="0.25">
      <c r="A187" s="645" t="str">
        <f>+'[7] E.PRECIOS'!A186</f>
        <v>Queso</v>
      </c>
      <c r="B187" s="645" t="str">
        <f>+'[7] E.PRECIOS'!B186</f>
        <v>Gramos</v>
      </c>
      <c r="C187" s="646">
        <f>+'[7] E.PRECIOS'!AM186</f>
        <v>0</v>
      </c>
      <c r="D187" s="646">
        <f>+'[7] E.PRECIOS'!AN186</f>
        <v>5855.333333333333</v>
      </c>
      <c r="E187" s="646">
        <f>+'[7] E.PRECIOS'!AO186</f>
        <v>5586</v>
      </c>
      <c r="F187" s="646">
        <f>+'[7] E.PRECIOS'!AP186</f>
        <v>5936</v>
      </c>
      <c r="G187" s="646">
        <f>+'[7] E.PRECIOS'!AQ186</f>
        <v>5904</v>
      </c>
      <c r="H187" s="646">
        <f>+'[7] E.PRECIOS'!AR186</f>
        <v>5820.333333333333</v>
      </c>
      <c r="I187" s="648">
        <f>+'[7] E.PRECIOS'!AS186</f>
        <v>14.550833333333333</v>
      </c>
      <c r="J187" s="644">
        <f>+'[7] E.PRECIOS'!AT186</f>
        <v>0</v>
      </c>
    </row>
    <row r="188" spans="1:10" x14ac:dyDescent="0.25">
      <c r="A188" s="645" t="str">
        <f>+'[7] E.PRECIOS'!A187</f>
        <v>Queso mozarella</v>
      </c>
      <c r="B188" s="645" t="str">
        <f>+'[7] E.PRECIOS'!B187</f>
        <v>Gramos</v>
      </c>
      <c r="C188" s="646">
        <f>+'[7] E.PRECIOS'!AM187</f>
        <v>0</v>
      </c>
      <c r="D188" s="646">
        <f>+'[7] E.PRECIOS'!AN187</f>
        <v>4620.666666666667</v>
      </c>
      <c r="E188" s="646">
        <f>+'[7] E.PRECIOS'!AO187</f>
        <v>4114</v>
      </c>
      <c r="F188" s="646">
        <f>+'[7] E.PRECIOS'!AP187</f>
        <v>4555</v>
      </c>
      <c r="G188" s="646">
        <f>+'[7] E.PRECIOS'!AQ187</f>
        <v>4616.666666666667</v>
      </c>
      <c r="H188" s="646">
        <f>+'[7] E.PRECIOS'!AR187</f>
        <v>4476.5833333333339</v>
      </c>
      <c r="I188" s="648">
        <f>+'[7] E.PRECIOS'!AS187</f>
        <v>17.906333333333336</v>
      </c>
      <c r="J188" s="644">
        <f>+'[7] E.PRECIOS'!AT187</f>
        <v>0</v>
      </c>
    </row>
    <row r="189" spans="1:10" x14ac:dyDescent="0.25">
      <c r="A189" s="645" t="str">
        <f>+'[7] E.PRECIOS'!A188</f>
        <v>Refresco</v>
      </c>
      <c r="B189" s="645" t="str">
        <f>+'[7] E.PRECIOS'!B188</f>
        <v>Cm3</v>
      </c>
      <c r="C189" s="646">
        <f>+'[7] E.PRECIOS'!AM188</f>
        <v>0</v>
      </c>
      <c r="D189" s="646">
        <f>+'[7] E.PRECIOS'!AN188</f>
        <v>900</v>
      </c>
      <c r="E189" s="646">
        <f>+'[7] E.PRECIOS'!AO188</f>
        <v>1063.3333333333333</v>
      </c>
      <c r="F189" s="646">
        <f>+'[7] E.PRECIOS'!AP188</f>
        <v>717</v>
      </c>
      <c r="G189" s="646">
        <f>+'[7] E.PRECIOS'!AQ188</f>
        <v>0</v>
      </c>
      <c r="H189" s="646">
        <f>+'[7] E.PRECIOS'!AR188</f>
        <v>893.44444444444434</v>
      </c>
      <c r="I189" s="648">
        <f>+'[7] E.PRECIOS'!AS188</f>
        <v>4.4672222222222215</v>
      </c>
      <c r="J189" s="644">
        <f>+'[7] E.PRECIOS'!AT188</f>
        <v>0</v>
      </c>
    </row>
    <row r="190" spans="1:10" x14ac:dyDescent="0.25">
      <c r="A190" s="645" t="str">
        <f>+'[7] E.PRECIOS'!A189</f>
        <v>Refresco en polvo</v>
      </c>
      <c r="B190" s="645" t="str">
        <f>+'[7] E.PRECIOS'!B189</f>
        <v>Gramos</v>
      </c>
      <c r="C190" s="646">
        <f>+'[7] E.PRECIOS'!AM189</f>
        <v>0</v>
      </c>
      <c r="D190" s="646">
        <f>+'[7] E.PRECIOS'!AN189</f>
        <v>17419.333333333332</v>
      </c>
      <c r="E190" s="646">
        <f>+'[7] E.PRECIOS'!AO189</f>
        <v>6916.333333333333</v>
      </c>
      <c r="F190" s="646">
        <f>+'[7] E.PRECIOS'!AP189</f>
        <v>0</v>
      </c>
      <c r="G190" s="646">
        <f>+'[7] E.PRECIOS'!AQ189</f>
        <v>7280</v>
      </c>
      <c r="H190" s="646">
        <f>+'[7] E.PRECIOS'!AR189</f>
        <v>10538.555555555555</v>
      </c>
      <c r="I190" s="648">
        <f>+'[7] E.PRECIOS'!AS189</f>
        <v>13.010562414266117</v>
      </c>
      <c r="J190" s="644">
        <f>+'[7] E.PRECIOS'!AT189</f>
        <v>0</v>
      </c>
    </row>
    <row r="191" spans="1:10" x14ac:dyDescent="0.25">
      <c r="A191" s="645" t="str">
        <f>+'[7] E.PRECIOS'!A190</f>
        <v>Remolacha</v>
      </c>
      <c r="B191" s="645" t="str">
        <f>+'[7] E.PRECIOS'!B190</f>
        <v>Kilogramo</v>
      </c>
      <c r="C191" s="646">
        <f>+'[7] E.PRECIOS'!AM190</f>
        <v>0</v>
      </c>
      <c r="D191" s="646">
        <f>+'[7] E.PRECIOS'!AN190</f>
        <v>1300</v>
      </c>
      <c r="E191" s="646">
        <f>+'[7] E.PRECIOS'!AO190</f>
        <v>2700</v>
      </c>
      <c r="F191" s="646">
        <f>+'[7] E.PRECIOS'!AP190</f>
        <v>960</v>
      </c>
      <c r="G191" s="646">
        <f>+'[7] E.PRECIOS'!AQ190</f>
        <v>1100</v>
      </c>
      <c r="H191" s="646">
        <f>+'[7] E.PRECIOS'!AR190</f>
        <v>1515</v>
      </c>
      <c r="I191" s="648">
        <f>+'[7] E.PRECIOS'!AS190</f>
        <v>1.5149999999999999</v>
      </c>
      <c r="J191" s="644">
        <f>+'[7] E.PRECIOS'!AT190</f>
        <v>0</v>
      </c>
    </row>
    <row r="192" spans="1:10" x14ac:dyDescent="0.25">
      <c r="A192" s="645" t="str">
        <f>+'[7] E.PRECIOS'!A191</f>
        <v xml:space="preserve">Repollo </v>
      </c>
      <c r="B192" s="645" t="str">
        <f>+'[7] E.PRECIOS'!B191</f>
        <v>Kilogramo</v>
      </c>
      <c r="C192" s="646">
        <f>+'[7] E.PRECIOS'!AM191</f>
        <v>0</v>
      </c>
      <c r="D192" s="646">
        <f>+'[7] E.PRECIOS'!AN191</f>
        <v>1460</v>
      </c>
      <c r="E192" s="646">
        <f>+'[7] E.PRECIOS'!AO191</f>
        <v>1675</v>
      </c>
      <c r="F192" s="646">
        <f>+'[7] E.PRECIOS'!AP191</f>
        <v>820</v>
      </c>
      <c r="G192" s="646">
        <f>+'[7] E.PRECIOS'!AQ191</f>
        <v>910</v>
      </c>
      <c r="H192" s="646">
        <f>+'[7] E.PRECIOS'!AR191</f>
        <v>1216.25</v>
      </c>
      <c r="I192" s="648">
        <f>+'[7] E.PRECIOS'!AS191</f>
        <v>1.2162500000000001</v>
      </c>
      <c r="J192" s="644">
        <f>+'[7] E.PRECIOS'!AT191</f>
        <v>0</v>
      </c>
    </row>
    <row r="193" spans="1:10" x14ac:dyDescent="0.25">
      <c r="A193" s="645" t="str">
        <f>+'[7] E.PRECIOS'!A192</f>
        <v>Rollo dulce</v>
      </c>
      <c r="B193" s="645" t="str">
        <f>+'[7] E.PRECIOS'!B192</f>
        <v>Unidades</v>
      </c>
      <c r="C193" s="646">
        <f>+'[7] E.PRECIOS'!AM192</f>
        <v>0</v>
      </c>
      <c r="D193" s="646">
        <f>+'[7] E.PRECIOS'!AN192</f>
        <v>704</v>
      </c>
      <c r="E193" s="646">
        <f>+'[7] E.PRECIOS'!AO192</f>
        <v>0</v>
      </c>
      <c r="F193" s="646">
        <f>+'[7] E.PRECIOS'!AP192</f>
        <v>0</v>
      </c>
      <c r="G193" s="646">
        <f>+'[7] E.PRECIOS'!AQ192</f>
        <v>0</v>
      </c>
      <c r="H193" s="646">
        <f>+'[7] E.PRECIOS'!AR192</f>
        <v>704</v>
      </c>
      <c r="I193" s="648">
        <f>+'[7] E.PRECIOS'!AS192</f>
        <v>704</v>
      </c>
      <c r="J193" s="644">
        <f>+'[7] E.PRECIOS'!AT192</f>
        <v>0</v>
      </c>
    </row>
    <row r="194" spans="1:10" x14ac:dyDescent="0.25">
      <c r="A194" s="645" t="str">
        <f>+'[7] E.PRECIOS'!A193</f>
        <v>Roscón</v>
      </c>
      <c r="B194" s="645" t="str">
        <f>+'[7] E.PRECIOS'!B193</f>
        <v>Unidades</v>
      </c>
      <c r="C194" s="646">
        <f>+'[7] E.PRECIOS'!AM193</f>
        <v>800</v>
      </c>
      <c r="D194" s="646">
        <f>+'[7] E.PRECIOS'!AN193</f>
        <v>1700</v>
      </c>
      <c r="E194" s="646">
        <f>+'[7] E.PRECIOS'!AO193</f>
        <v>0</v>
      </c>
      <c r="F194" s="646">
        <f>+'[7] E.PRECIOS'!AP193</f>
        <v>4460</v>
      </c>
      <c r="G194" s="646">
        <f>+'[7] E.PRECIOS'!AQ193</f>
        <v>0</v>
      </c>
      <c r="H194" s="646">
        <f>+'[7] E.PRECIOS'!AR193</f>
        <v>2320</v>
      </c>
      <c r="I194" s="648">
        <f>+'[7] E.PRECIOS'!AS193</f>
        <v>2320</v>
      </c>
      <c r="J194" s="644">
        <f>+'[7] E.PRECIOS'!AT193</f>
        <v>0</v>
      </c>
    </row>
    <row r="195" spans="1:10" x14ac:dyDescent="0.25">
      <c r="A195" s="645" t="str">
        <f>+'[7] E.PRECIOS'!A194</f>
        <v>Sal</v>
      </c>
      <c r="B195" s="645" t="str">
        <f>+'[7] E.PRECIOS'!B194</f>
        <v>Gramos</v>
      </c>
      <c r="C195" s="646">
        <f>+'[7] E.PRECIOS'!AM194</f>
        <v>0</v>
      </c>
      <c r="D195" s="646">
        <f>+'[7] E.PRECIOS'!AN194</f>
        <v>365.33333333333331</v>
      </c>
      <c r="E195" s="646">
        <f>+'[7] E.PRECIOS'!AO194</f>
        <v>435</v>
      </c>
      <c r="F195" s="646">
        <f>+'[7] E.PRECIOS'!AP194</f>
        <v>430</v>
      </c>
      <c r="G195" s="646">
        <f>+'[7] E.PRECIOS'!AQ194</f>
        <v>440</v>
      </c>
      <c r="H195" s="646">
        <f>+'[7] E.PRECIOS'!AR194</f>
        <v>417.58333333333331</v>
      </c>
      <c r="I195" s="648">
        <f>+'[7] E.PRECIOS'!AS194</f>
        <v>0.83516666666666661</v>
      </c>
      <c r="J195" s="644">
        <f>+'[7] E.PRECIOS'!AT194</f>
        <v>0</v>
      </c>
    </row>
    <row r="196" spans="1:10" x14ac:dyDescent="0.25">
      <c r="A196" s="645" t="str">
        <f>+'[7] E.PRECIOS'!A195</f>
        <v>Salchicha</v>
      </c>
      <c r="B196" s="645" t="str">
        <f>+'[7] E.PRECIOS'!B195</f>
        <v>Gramos</v>
      </c>
      <c r="C196" s="646">
        <f>+'[7] E.PRECIOS'!AM195</f>
        <v>0</v>
      </c>
      <c r="D196" s="646">
        <f>+'[7] E.PRECIOS'!AN195</f>
        <v>4103.333333333333</v>
      </c>
      <c r="E196" s="646">
        <f>+'[7] E.PRECIOS'!AO195</f>
        <v>6223.333333333333</v>
      </c>
      <c r="F196" s="646">
        <f>+'[7] E.PRECIOS'!AP195</f>
        <v>5845</v>
      </c>
      <c r="G196" s="646">
        <f>+'[7] E.PRECIOS'!AQ195</f>
        <v>6216</v>
      </c>
      <c r="H196" s="646">
        <f>+'[7] E.PRECIOS'!AR195</f>
        <v>5596.9166666666661</v>
      </c>
      <c r="I196" s="648">
        <f>+'[7] E.PRECIOS'!AS195</f>
        <v>12.437592592592591</v>
      </c>
      <c r="J196" s="644">
        <f>+'[7] E.PRECIOS'!AT195</f>
        <v>0</v>
      </c>
    </row>
    <row r="197" spans="1:10" x14ac:dyDescent="0.25">
      <c r="A197" s="645" t="str">
        <f>+'[7] E.PRECIOS'!A196</f>
        <v>Salchichón</v>
      </c>
      <c r="B197" s="645" t="str">
        <f>+'[7] E.PRECIOS'!B196</f>
        <v>Gramos</v>
      </c>
      <c r="C197" s="646">
        <f>+'[7] E.PRECIOS'!AM196</f>
        <v>0</v>
      </c>
      <c r="D197" s="646">
        <f>+'[7] E.PRECIOS'!AN196</f>
        <v>3783.3333333333335</v>
      </c>
      <c r="E197" s="646">
        <f>+'[7] E.PRECIOS'!AO196</f>
        <v>5852.666666666667</v>
      </c>
      <c r="F197" s="646">
        <f>+'[7] E.PRECIOS'!AP196</f>
        <v>3895</v>
      </c>
      <c r="G197" s="646">
        <f>+'[7] E.PRECIOS'!AQ196</f>
        <v>4010</v>
      </c>
      <c r="H197" s="646">
        <f>+'[7] E.PRECIOS'!AR196</f>
        <v>4385.25</v>
      </c>
      <c r="I197" s="648">
        <f>+'[7] E.PRECIOS'!AS196</f>
        <v>9.7449999999999992</v>
      </c>
      <c r="J197" s="644">
        <f>+'[7] E.PRECIOS'!AT196</f>
        <v>0</v>
      </c>
    </row>
    <row r="198" spans="1:10" x14ac:dyDescent="0.25">
      <c r="A198" s="645" t="str">
        <f>+'[7] E.PRECIOS'!A197</f>
        <v>Salsa de piña</v>
      </c>
      <c r="B198" s="645" t="str">
        <f>+'[7] E.PRECIOS'!B197</f>
        <v>Gramos</v>
      </c>
      <c r="C198" s="646">
        <f>+'[7] E.PRECIOS'!AM197</f>
        <v>0</v>
      </c>
      <c r="D198" s="646">
        <f>+'[7] E.PRECIOS'!AN197</f>
        <v>1630</v>
      </c>
      <c r="E198" s="646">
        <f>+'[7] E.PRECIOS'!AO197</f>
        <v>2520.6666666666665</v>
      </c>
      <c r="F198" s="646">
        <f>+'[7] E.PRECIOS'!AP197</f>
        <v>0</v>
      </c>
      <c r="G198" s="646">
        <f>+'[7] E.PRECIOS'!AQ197</f>
        <v>1752.3333333333333</v>
      </c>
      <c r="H198" s="646">
        <f>+'[7] E.PRECIOS'!AR197</f>
        <v>1967.6666666666663</v>
      </c>
      <c r="I198" s="648">
        <f>+'[7] E.PRECIOS'!AS197</f>
        <v>7.8706666666666649</v>
      </c>
      <c r="J198" s="644">
        <f>+'[7] E.PRECIOS'!AT197</f>
        <v>0</v>
      </c>
    </row>
    <row r="199" spans="1:10" x14ac:dyDescent="0.25">
      <c r="A199" s="645" t="str">
        <f>+'[7] E.PRECIOS'!A198</f>
        <v>Salsa de tomate</v>
      </c>
      <c r="B199" s="645" t="str">
        <f>+'[7] E.PRECIOS'!B198</f>
        <v>Gramos</v>
      </c>
      <c r="C199" s="646">
        <f>+'[7] E.PRECIOS'!AM198</f>
        <v>0</v>
      </c>
      <c r="D199" s="646">
        <f>+'[7] E.PRECIOS'!AN198</f>
        <v>3130</v>
      </c>
      <c r="E199" s="646">
        <f>+'[7] E.PRECIOS'!AO198</f>
        <v>3771.6666666666665</v>
      </c>
      <c r="F199" s="646">
        <f>+'[7] E.PRECIOS'!AP198</f>
        <v>4065</v>
      </c>
      <c r="G199" s="646">
        <f>+'[7] E.PRECIOS'!AQ198</f>
        <v>2906.6666666666665</v>
      </c>
      <c r="H199" s="646">
        <f>+'[7] E.PRECIOS'!AR198</f>
        <v>3468.333333333333</v>
      </c>
      <c r="I199" s="648">
        <f>+'[7] E.PRECIOS'!AS198</f>
        <v>8.6708333333333325</v>
      </c>
      <c r="J199" s="644">
        <f>+'[7] E.PRECIOS'!AT198</f>
        <v>0</v>
      </c>
    </row>
    <row r="200" spans="1:10" x14ac:dyDescent="0.25">
      <c r="A200" s="645" t="str">
        <f>+'[7] E.PRECIOS'!A199</f>
        <v>Salsa rosada</v>
      </c>
      <c r="B200" s="645" t="str">
        <f>+'[7] E.PRECIOS'!B199</f>
        <v>Gramos</v>
      </c>
      <c r="C200" s="646">
        <f>+'[7] E.PRECIOS'!AM199</f>
        <v>0</v>
      </c>
      <c r="D200" s="646">
        <f>+'[7] E.PRECIOS'!AN199</f>
        <v>2169</v>
      </c>
      <c r="E200" s="646">
        <f>+'[7] E.PRECIOS'!AO199</f>
        <v>2397.6666666666665</v>
      </c>
      <c r="F200" s="646">
        <f>+'[7] E.PRECIOS'!AP199</f>
        <v>1975</v>
      </c>
      <c r="G200" s="646">
        <f>+'[7] E.PRECIOS'!AQ199</f>
        <v>2240</v>
      </c>
      <c r="H200" s="646">
        <f>+'[7] E.PRECIOS'!AR199</f>
        <v>2195.4166666666665</v>
      </c>
      <c r="I200" s="648">
        <f>+'[7] E.PRECIOS'!AS199</f>
        <v>10.977083333333333</v>
      </c>
      <c r="J200" s="644">
        <f>+'[7] E.PRECIOS'!AT199</f>
        <v>0</v>
      </c>
    </row>
    <row r="201" spans="1:10" x14ac:dyDescent="0.25">
      <c r="A201" s="645" t="str">
        <f>+'[7] E.PRECIOS'!A200</f>
        <v>Sandía</v>
      </c>
      <c r="B201" s="645" t="str">
        <f>+'[7] E.PRECIOS'!B200</f>
        <v>Kilogramo</v>
      </c>
      <c r="C201" s="646">
        <f>+'[7] E.PRECIOS'!AM200</f>
        <v>0</v>
      </c>
      <c r="D201" s="646">
        <f>+'[7] E.PRECIOS'!AN200</f>
        <v>2450</v>
      </c>
      <c r="E201" s="646">
        <f>+'[7] E.PRECIOS'!AO200</f>
        <v>1200</v>
      </c>
      <c r="F201" s="646">
        <f>+'[7] E.PRECIOS'!AP200</f>
        <v>1800</v>
      </c>
      <c r="G201" s="646">
        <f>+'[7] E.PRECIOS'!AQ200</f>
        <v>1180</v>
      </c>
      <c r="H201" s="646">
        <f>+'[7] E.PRECIOS'!AR200</f>
        <v>1657.5</v>
      </c>
      <c r="I201" s="648">
        <f>+'[7] E.PRECIOS'!AS200</f>
        <v>1.6575</v>
      </c>
      <c r="J201" s="644">
        <f>+'[7] E.PRECIOS'!AT200</f>
        <v>0</v>
      </c>
    </row>
    <row r="202" spans="1:10" x14ac:dyDescent="0.25">
      <c r="A202" s="645" t="str">
        <f>+'[7] E.PRECIOS'!A201</f>
        <v xml:space="preserve">Sanduche de Jamon y queso </v>
      </c>
      <c r="B202" s="645" t="str">
        <f>+'[7] E.PRECIOS'!B201</f>
        <v>Gramos</v>
      </c>
      <c r="C202" s="646">
        <f>+'[7] E.PRECIOS'!AM201</f>
        <v>0</v>
      </c>
      <c r="D202" s="646">
        <f>+'[7] E.PRECIOS'!AN201</f>
        <v>2000</v>
      </c>
      <c r="E202" s="646">
        <f>+'[7] E.PRECIOS'!AO201</f>
        <v>0</v>
      </c>
      <c r="F202" s="646">
        <f>+'[7] E.PRECIOS'!AP201</f>
        <v>0</v>
      </c>
      <c r="G202" s="646">
        <f>+'[7] E.PRECIOS'!AQ201</f>
        <v>0</v>
      </c>
      <c r="H202" s="646">
        <f>+'[7] E.PRECIOS'!AR201</f>
        <v>2000</v>
      </c>
      <c r="I202" s="648">
        <f>+'[7] E.PRECIOS'!AS201</f>
        <v>40</v>
      </c>
      <c r="J202" s="644">
        <f>+'[7] E.PRECIOS'!AT201</f>
        <v>0</v>
      </c>
    </row>
    <row r="203" spans="1:10" x14ac:dyDescent="0.25">
      <c r="A203" s="645" t="str">
        <f>+'[7] E.PRECIOS'!A202</f>
        <v>Spaguetti</v>
      </c>
      <c r="B203" s="645" t="str">
        <f>+'[7] E.PRECIOS'!B202</f>
        <v>Gramos</v>
      </c>
      <c r="C203" s="646">
        <f>+'[7] E.PRECIOS'!AM202</f>
        <v>0</v>
      </c>
      <c r="D203" s="646">
        <f>+'[7] E.PRECIOS'!AN202</f>
        <v>1645</v>
      </c>
      <c r="E203" s="646">
        <f>+'[7] E.PRECIOS'!AO202</f>
        <v>1223.3333333333333</v>
      </c>
      <c r="F203" s="646">
        <f>+'[7] E.PRECIOS'!AP202</f>
        <v>1700</v>
      </c>
      <c r="G203" s="646">
        <f>+'[7] E.PRECIOS'!AQ202</f>
        <v>3395</v>
      </c>
      <c r="H203" s="646">
        <f>+'[7] E.PRECIOS'!AR202</f>
        <v>1990.8333333333333</v>
      </c>
      <c r="I203" s="648">
        <f>+'[7] E.PRECIOS'!AS202</f>
        <v>7.9633333333333329</v>
      </c>
      <c r="J203" s="644">
        <f>+'[7] E.PRECIOS'!AT202</f>
        <v>0</v>
      </c>
    </row>
    <row r="204" spans="1:10" x14ac:dyDescent="0.25">
      <c r="A204" s="645" t="str">
        <f>+'[7] E.PRECIOS'!A203</f>
        <v>Tomate</v>
      </c>
      <c r="B204" s="645" t="str">
        <f>+'[7] E.PRECIOS'!B203</f>
        <v>Kilogramo</v>
      </c>
      <c r="C204" s="646">
        <f>+'[7] E.PRECIOS'!AM203</f>
        <v>0</v>
      </c>
      <c r="D204" s="646">
        <f>+'[7] E.PRECIOS'!AN203</f>
        <v>2780</v>
      </c>
      <c r="E204" s="646">
        <f>+'[7] E.PRECIOS'!AO203</f>
        <v>4000</v>
      </c>
      <c r="F204" s="646">
        <f>+'[7] E.PRECIOS'!AP203</f>
        <v>2520</v>
      </c>
      <c r="G204" s="646">
        <f>+'[7] E.PRECIOS'!AQ203</f>
        <v>3026.6666666666665</v>
      </c>
      <c r="H204" s="646">
        <f>+'[7] E.PRECIOS'!AR203</f>
        <v>3081.6666666666665</v>
      </c>
      <c r="I204" s="648">
        <f>+'[7] E.PRECIOS'!AS203</f>
        <v>3.0816666666666666</v>
      </c>
      <c r="J204" s="644">
        <f>+'[7] E.PRECIOS'!AT203</f>
        <v>0</v>
      </c>
    </row>
    <row r="205" spans="1:10" x14ac:dyDescent="0.25">
      <c r="A205" s="645" t="str">
        <f>+'[7] E.PRECIOS'!A204</f>
        <v>Tomate de árbol</v>
      </c>
      <c r="B205" s="645" t="str">
        <f>+'[7] E.PRECIOS'!B204</f>
        <v>Kilogramo</v>
      </c>
      <c r="C205" s="646">
        <f>+'[7] E.PRECIOS'!AM204</f>
        <v>0</v>
      </c>
      <c r="D205" s="646">
        <f>+'[7] E.PRECIOS'!AN204</f>
        <v>2112</v>
      </c>
      <c r="E205" s="646">
        <f>+'[7] E.PRECIOS'!AO204</f>
        <v>2400</v>
      </c>
      <c r="F205" s="646">
        <f>+'[7] E.PRECIOS'!AP204</f>
        <v>2380</v>
      </c>
      <c r="G205" s="646">
        <f>+'[7] E.PRECIOS'!AQ204</f>
        <v>2740</v>
      </c>
      <c r="H205" s="646">
        <f>+'[7] E.PRECIOS'!AR204</f>
        <v>2408</v>
      </c>
      <c r="I205" s="648">
        <f>+'[7] E.PRECIOS'!AS204</f>
        <v>2.4079999999999999</v>
      </c>
      <c r="J205" s="644">
        <f>+'[7] E.PRECIOS'!AT204</f>
        <v>0</v>
      </c>
    </row>
    <row r="206" spans="1:10" x14ac:dyDescent="0.25">
      <c r="A206" s="645" t="str">
        <f>+'[7] E.PRECIOS'!A205</f>
        <v>Tostadas</v>
      </c>
      <c r="B206" s="645" t="str">
        <f>+'[7] E.PRECIOS'!B205</f>
        <v>Gramos</v>
      </c>
      <c r="C206" s="646">
        <f>+'[7] E.PRECIOS'!AM205</f>
        <v>0</v>
      </c>
      <c r="D206" s="646">
        <f>+'[7] E.PRECIOS'!AN205</f>
        <v>1870</v>
      </c>
      <c r="E206" s="646">
        <f>+'[7] E.PRECIOS'!AO205</f>
        <v>2142.3333333333335</v>
      </c>
      <c r="F206" s="646">
        <f>+'[7] E.PRECIOS'!AP205</f>
        <v>1756.1111111111113</v>
      </c>
      <c r="G206" s="646">
        <f>+'[7] E.PRECIOS'!AQ205</f>
        <v>1868.6666666666667</v>
      </c>
      <c r="H206" s="646">
        <f>+'[7] E.PRECIOS'!AR205</f>
        <v>1909.2777777777781</v>
      </c>
      <c r="I206" s="648">
        <f>+'[7] E.PRECIOS'!AS205</f>
        <v>10.048830409356727</v>
      </c>
      <c r="J206" s="644">
        <f>+'[7] E.PRECIOS'!AT205</f>
        <v>0</v>
      </c>
    </row>
    <row r="207" spans="1:10" x14ac:dyDescent="0.25">
      <c r="A207" s="645" t="str">
        <f>+'[7] E.PRECIOS'!A206</f>
        <v>Uvas</v>
      </c>
      <c r="B207" s="645" t="str">
        <f>+'[7] E.PRECIOS'!B206</f>
        <v>Kilogramo</v>
      </c>
      <c r="C207" s="646">
        <f>+'[7] E.PRECIOS'!AM206</f>
        <v>0</v>
      </c>
      <c r="D207" s="646">
        <f>+'[7] E.PRECIOS'!AN206</f>
        <v>7860</v>
      </c>
      <c r="E207" s="646">
        <f>+'[7] E.PRECIOS'!AO206</f>
        <v>7450</v>
      </c>
      <c r="F207" s="646">
        <f>+'[7] E.PRECIOS'!AP206</f>
        <v>6240</v>
      </c>
      <c r="G207" s="646">
        <f>+'[7] E.PRECIOS'!AQ206</f>
        <v>0</v>
      </c>
      <c r="H207" s="646">
        <f>+'[7] E.PRECIOS'!AR206</f>
        <v>7183.333333333333</v>
      </c>
      <c r="I207" s="648">
        <f>+'[7] E.PRECIOS'!AS206</f>
        <v>7.1833333333333327</v>
      </c>
      <c r="J207" s="644">
        <f>+'[7] E.PRECIOS'!AT206</f>
        <v>0</v>
      </c>
    </row>
    <row r="208" spans="1:10" x14ac:dyDescent="0.25">
      <c r="A208" s="645" t="str">
        <f>+'[7] E.PRECIOS'!A208</f>
        <v>Vinagre</v>
      </c>
      <c r="B208" s="645" t="str">
        <f>+'[7] E.PRECIOS'!B208</f>
        <v>Cm3</v>
      </c>
      <c r="C208" s="646">
        <f>+'[7] E.PRECIOS'!AM208</f>
        <v>0</v>
      </c>
      <c r="D208" s="646">
        <f>+'[7] E.PRECIOS'!AN208</f>
        <v>1733.3333333333333</v>
      </c>
      <c r="E208" s="646">
        <f>+'[7] E.PRECIOS'!AO208</f>
        <v>2030</v>
      </c>
      <c r="F208" s="646">
        <f>+'[7] E.PRECIOS'!AP208</f>
        <v>1376.6666666666667</v>
      </c>
      <c r="G208" s="646">
        <f>+'[7] E.PRECIOS'!AQ208</f>
        <v>2096.6666666666665</v>
      </c>
      <c r="H208" s="646">
        <f>+'[7] E.PRECIOS'!AR208</f>
        <v>1809.1666666666665</v>
      </c>
      <c r="I208" s="648">
        <f>+'[7] E.PRECIOS'!AS208</f>
        <v>3.6183333333333332</v>
      </c>
      <c r="J208" s="644">
        <f>+'[7] E.PRECIOS'!AT208</f>
        <v>0</v>
      </c>
    </row>
    <row r="209" spans="1:10" x14ac:dyDescent="0.25">
      <c r="A209" s="645" t="str">
        <f>+'[7] E.PRECIOS'!A209</f>
        <v>Vinagreta</v>
      </c>
      <c r="B209" s="645" t="str">
        <f>+'[7] E.PRECIOS'!B209</f>
        <v>Gramos</v>
      </c>
      <c r="C209" s="646">
        <f>+'[7] E.PRECIOS'!AM209</f>
        <v>0</v>
      </c>
      <c r="D209" s="646">
        <f>+'[7] E.PRECIOS'!AN209</f>
        <v>4520</v>
      </c>
      <c r="E209" s="646">
        <f>+'[7] E.PRECIOS'!AO209</f>
        <v>3704.2222222222222</v>
      </c>
      <c r="F209" s="646">
        <f>+'[7] E.PRECIOS'!AP209</f>
        <v>1347.159090909091</v>
      </c>
      <c r="G209" s="646">
        <f>+'[7] E.PRECIOS'!AQ209</f>
        <v>1774.3333333333333</v>
      </c>
      <c r="H209" s="646">
        <f>+'[7] E.PRECIOS'!AR209</f>
        <v>2836.4286616161621</v>
      </c>
      <c r="I209" s="648">
        <f>+'[7] E.PRECIOS'!AS209</f>
        <v>11.345714646464648</v>
      </c>
      <c r="J209" s="644">
        <f>+'[7] E.PRECIOS'!AT209</f>
        <v>0</v>
      </c>
    </row>
    <row r="210" spans="1:10" x14ac:dyDescent="0.25">
      <c r="A210" s="645" t="str">
        <f>+'[7] E.PRECIOS'!A210</f>
        <v>Vinagreta de mago</v>
      </c>
      <c r="B210" s="645" t="str">
        <f>+'[7] E.PRECIOS'!B210</f>
        <v>Gramos</v>
      </c>
      <c r="C210" s="646">
        <f>+'[7] E.PRECIOS'!AM210</f>
        <v>0</v>
      </c>
      <c r="D210" s="646">
        <f>+'[7] E.PRECIOS'!AN210</f>
        <v>6735</v>
      </c>
      <c r="E210" s="646">
        <f>+'[7] E.PRECIOS'!AO210</f>
        <v>9350</v>
      </c>
      <c r="F210" s="646">
        <f>+'[7] E.PRECIOS'!AP210</f>
        <v>0</v>
      </c>
      <c r="G210" s="646">
        <f>+'[7] E.PRECIOS'!AQ210</f>
        <v>0</v>
      </c>
      <c r="H210" s="646">
        <f>+'[7] E.PRECIOS'!AR210</f>
        <v>8042.5</v>
      </c>
      <c r="I210" s="648">
        <f>+'[7] E.PRECIOS'!AS210</f>
        <v>33.934599156118146</v>
      </c>
      <c r="J210" s="644">
        <f>+'[7] E.PRECIOS'!AT210</f>
        <v>0</v>
      </c>
    </row>
    <row r="211" spans="1:10" x14ac:dyDescent="0.25">
      <c r="A211" s="645" t="str">
        <f>+'[7] E.PRECIOS'!A211</f>
        <v>Yogurt</v>
      </c>
      <c r="B211" s="645" t="str">
        <f>+'[7] E.PRECIOS'!B211</f>
        <v>Cm3</v>
      </c>
      <c r="C211" s="646">
        <f>+'[7] E.PRECIOS'!AM211</f>
        <v>0</v>
      </c>
      <c r="D211" s="646">
        <f>+'[7] E.PRECIOS'!AN211</f>
        <v>5536.666666666667</v>
      </c>
      <c r="E211" s="646">
        <f>+'[7] E.PRECIOS'!AO211</f>
        <v>3785.6666666666665</v>
      </c>
      <c r="F211" s="646">
        <f>+'[7] E.PRECIOS'!AP211</f>
        <v>2535</v>
      </c>
      <c r="G211" s="646">
        <f>+'[7] E.PRECIOS'!AQ211</f>
        <v>3360</v>
      </c>
      <c r="H211" s="646">
        <f>+'[7] E.PRECIOS'!AR211</f>
        <v>3804.3333333333335</v>
      </c>
      <c r="I211" s="648">
        <f>+'[7] E.PRECIOS'!AS211</f>
        <v>3.8043333333333336</v>
      </c>
      <c r="J211" s="644">
        <f>+'[7] E.PRECIOS'!AT211</f>
        <v>0</v>
      </c>
    </row>
    <row r="212" spans="1:10" x14ac:dyDescent="0.25">
      <c r="A212" s="645" t="str">
        <f>+'[7] E.PRECIOS'!A212</f>
        <v>Yuca</v>
      </c>
      <c r="B212" s="645" t="str">
        <f>+'[7] E.PRECIOS'!B212</f>
        <v>Kilogramo</v>
      </c>
      <c r="C212" s="646">
        <f>+'[7] E.PRECIOS'!AM212</f>
        <v>0</v>
      </c>
      <c r="D212" s="646">
        <f>+'[7] E.PRECIOS'!AN212</f>
        <v>1430</v>
      </c>
      <c r="E212" s="646">
        <f>+'[7] E.PRECIOS'!AO212</f>
        <v>2800</v>
      </c>
      <c r="F212" s="646">
        <f>+'[7] E.PRECIOS'!AP212</f>
        <v>1460</v>
      </c>
      <c r="G212" s="646">
        <f>+'[7] E.PRECIOS'!AQ212</f>
        <v>1740</v>
      </c>
      <c r="H212" s="646">
        <f>+'[7] E.PRECIOS'!AR212</f>
        <v>1857.5</v>
      </c>
      <c r="I212" s="648">
        <f>+'[7] E.PRECIOS'!AS212</f>
        <v>1.8574999999999999</v>
      </c>
      <c r="J212" s="644">
        <f>+'[7] E.PRECIOS'!AT212</f>
        <v>0</v>
      </c>
    </row>
    <row r="213" spans="1:10" x14ac:dyDescent="0.25">
      <c r="A213" s="645" t="str">
        <f>+'[7] E.PRECIOS'!A213</f>
        <v>Zanahoria</v>
      </c>
      <c r="B213" s="645" t="str">
        <f>+'[7] E.PRECIOS'!B213</f>
        <v>Kilogramo</v>
      </c>
      <c r="C213" s="646">
        <f>+'[7] E.PRECIOS'!AM213</f>
        <v>0</v>
      </c>
      <c r="D213" s="646">
        <f>+'[7] E.PRECIOS'!AN213</f>
        <v>930</v>
      </c>
      <c r="E213" s="646">
        <f>+'[7] E.PRECIOS'!AO213</f>
        <v>1350</v>
      </c>
      <c r="F213" s="646">
        <f>+'[7] E.PRECIOS'!AP213</f>
        <v>880</v>
      </c>
      <c r="G213" s="646">
        <f>+'[7] E.PRECIOS'!AQ213</f>
        <v>1040</v>
      </c>
      <c r="H213" s="646">
        <f>+'[7] E.PRECIOS'!AR213</f>
        <v>1050</v>
      </c>
      <c r="I213" s="648">
        <f>+'[7] E.PRECIOS'!AS213</f>
        <v>1.05</v>
      </c>
      <c r="J213" s="644">
        <f>+'[7] E.PRECIOS'!AT213</f>
        <v>0</v>
      </c>
    </row>
    <row r="214" spans="1:10" x14ac:dyDescent="0.25">
      <c r="A214" s="645" t="str">
        <f>+'[7] E.PRECIOS'!A214</f>
        <v>Zucaritas</v>
      </c>
      <c r="B214" s="645" t="str">
        <f>+'[7] E.PRECIOS'!B214</f>
        <v>Gramos</v>
      </c>
      <c r="C214" s="646">
        <f>+'[7] E.PRECIOS'!AM214</f>
        <v>0</v>
      </c>
      <c r="D214" s="646">
        <f>+'[7] E.PRECIOS'!AN214</f>
        <v>9490</v>
      </c>
      <c r="E214" s="646">
        <f>+'[7] E.PRECIOS'!AO214</f>
        <v>8699</v>
      </c>
      <c r="F214" s="646">
        <f>+'[7] E.PRECIOS'!AP214</f>
        <v>9540</v>
      </c>
      <c r="G214" s="646">
        <f>+'[7] E.PRECIOS'!AQ214</f>
        <v>9390</v>
      </c>
      <c r="H214" s="646">
        <f>+'[7] E.PRECIOS'!AR214</f>
        <v>9279.75</v>
      </c>
      <c r="I214" s="648">
        <f>+'[7] E.PRECIOS'!AS214</f>
        <v>22.094642857142858</v>
      </c>
      <c r="J214" s="644">
        <f>+'[7] E.PRECIOS'!AT214</f>
        <v>0</v>
      </c>
    </row>
    <row r="215" spans="1:10" x14ac:dyDescent="0.25">
      <c r="A215" s="645" t="str">
        <f>+'[7] E.PRECIOS'!A215</f>
        <v>Rosquitas</v>
      </c>
      <c r="B215" s="645" t="str">
        <f>+'[7] E.PRECIOS'!B215</f>
        <v>Gramos</v>
      </c>
      <c r="C215" s="646">
        <f>+'[7] E.PRECIOS'!AM215</f>
        <v>0</v>
      </c>
      <c r="D215" s="646">
        <f>+'[7] E.PRECIOS'!AN215</f>
        <v>454.941176470588</v>
      </c>
      <c r="E215" s="646">
        <f>+'[7] E.PRECIOS'!AO215</f>
        <v>501.2</v>
      </c>
      <c r="F215" s="646">
        <f>+'[7] E.PRECIOS'!AP215</f>
        <v>0</v>
      </c>
      <c r="G215" s="646">
        <f>+'[7] E.PRECIOS'!AQ215</f>
        <v>420.3944444444445</v>
      </c>
      <c r="H215" s="646">
        <f>+'[7] E.PRECIOS'!AR215</f>
        <v>458.8452069716775</v>
      </c>
      <c r="I215" s="648">
        <f>+'[7] E.PRECIOS'!AS215</f>
        <v>30.5896804647785</v>
      </c>
      <c r="J215" s="644">
        <f>+'[7] E.PRECIOS'!AT215</f>
        <v>0</v>
      </c>
    </row>
    <row r="216" spans="1:10" x14ac:dyDescent="0.25">
      <c r="A216" s="645" t="str">
        <f>+'[7] E.PRECIOS'!A216</f>
        <v>Tocino</v>
      </c>
      <c r="B216" s="645" t="str">
        <f>+'[7] E.PRECIOS'!B216</f>
        <v>Kilogramo</v>
      </c>
      <c r="C216" s="646">
        <f>+'[7] E.PRECIOS'!AM216</f>
        <v>11425</v>
      </c>
      <c r="D216" s="646">
        <f>+'[7] E.PRECIOS'!AN216</f>
        <v>0</v>
      </c>
      <c r="E216" s="646">
        <f>+'[7] E.PRECIOS'!AO216</f>
        <v>0</v>
      </c>
      <c r="F216" s="646">
        <f>+'[7] E.PRECIOS'!AP216</f>
        <v>0</v>
      </c>
      <c r="G216" s="646">
        <f>+'[7] E.PRECIOS'!AQ216</f>
        <v>0</v>
      </c>
      <c r="H216" s="646">
        <f>+'[7] E.PRECIOS'!AR216</f>
        <v>11425</v>
      </c>
      <c r="I216" s="648">
        <f>+'[7] E.PRECIOS'!AS216</f>
        <v>11.425000000000001</v>
      </c>
      <c r="J216" s="644">
        <f>+'[7] E.PRECIOS'!AT216</f>
        <v>0</v>
      </c>
    </row>
    <row r="217" spans="1:10" x14ac:dyDescent="0.25">
      <c r="A217" s="645" t="str">
        <f>+'[7] E.PRECIOS'!A217</f>
        <v xml:space="preserve">Pierna </v>
      </c>
      <c r="B217" s="645" t="str">
        <f>+'[7] E.PRECIOS'!B217</f>
        <v>Kilogramo</v>
      </c>
      <c r="C217" s="646">
        <f>+'[7] E.PRECIOS'!AM217</f>
        <v>11755</v>
      </c>
      <c r="D217" s="646">
        <f>+'[7] E.PRECIOS'!AN217</f>
        <v>0</v>
      </c>
      <c r="E217" s="646">
        <f>+'[7] E.PRECIOS'!AO217</f>
        <v>0</v>
      </c>
      <c r="F217" s="646">
        <f>+'[7] E.PRECIOS'!AP217</f>
        <v>0</v>
      </c>
      <c r="G217" s="646">
        <f>+'[7] E.PRECIOS'!AQ217</f>
        <v>0</v>
      </c>
      <c r="H217" s="646">
        <f>+'[7] E.PRECIOS'!AR217</f>
        <v>11755</v>
      </c>
      <c r="I217" s="648">
        <f>+'[7] E.PRECIOS'!AS217</f>
        <v>11.755000000000001</v>
      </c>
      <c r="J217" s="644">
        <f>+'[7] E.PRECIOS'!AT217</f>
        <v>0</v>
      </c>
    </row>
    <row r="218" spans="1:10" x14ac:dyDescent="0.25">
      <c r="A218" s="645" t="str">
        <f>+'[7] E.PRECIOS'!A218</f>
        <v>Tocino</v>
      </c>
      <c r="B218" s="645" t="str">
        <f>+'[7] E.PRECIOS'!B218</f>
        <v>Kilogramo</v>
      </c>
      <c r="C218" s="646">
        <f>+'[7] E.PRECIOS'!AM218</f>
        <v>11425</v>
      </c>
      <c r="D218" s="646">
        <f>+'[7] E.PRECIOS'!AN218</f>
        <v>0</v>
      </c>
      <c r="E218" s="646">
        <f>+'[7] E.PRECIOS'!AO218</f>
        <v>0</v>
      </c>
      <c r="F218" s="646">
        <f>+'[7] E.PRECIOS'!AP218</f>
        <v>0</v>
      </c>
      <c r="G218" s="646">
        <f>+'[7] E.PRECIOS'!AQ218</f>
        <v>0</v>
      </c>
      <c r="H218" s="646">
        <f>+'[7] E.PRECIOS'!AR218</f>
        <v>11425</v>
      </c>
      <c r="I218" s="648">
        <f>+'[7] E.PRECIOS'!AS218</f>
        <v>11.425000000000001</v>
      </c>
      <c r="J218" s="644">
        <f>+'[7] E.PRECIOS'!AT218</f>
        <v>0</v>
      </c>
    </row>
    <row r="219" spans="1:10" x14ac:dyDescent="0.25">
      <c r="A219" s="645" t="str">
        <f>+'[7] E.PRECIOS'!A219</f>
        <v>Carne de cerdo</v>
      </c>
      <c r="B219" s="645" t="str">
        <f>+'[7] E.PRECIOS'!B219</f>
        <v>Kilogramo</v>
      </c>
      <c r="C219" s="646">
        <f>+'[7] E.PRECIOS'!AM219</f>
        <v>11590</v>
      </c>
      <c r="D219" s="646">
        <f>+'[7] E.PRECIOS'!AN219</f>
        <v>0</v>
      </c>
      <c r="E219" s="646">
        <f>+'[7] E.PRECIOS'!AO219</f>
        <v>0</v>
      </c>
      <c r="F219" s="646">
        <f>+'[7] E.PRECIOS'!AP219</f>
        <v>0</v>
      </c>
      <c r="G219" s="646">
        <f>+'[7] E.PRECIOS'!AQ219</f>
        <v>0</v>
      </c>
      <c r="H219" s="646">
        <f>+'[7] E.PRECIOS'!AR219</f>
        <v>11590</v>
      </c>
      <c r="I219" s="648">
        <f>+'[7] E.PRECIOS'!AS219</f>
        <v>11.59</v>
      </c>
      <c r="J219" s="644">
        <f>+'[7] E.PRECIOS'!AT219</f>
        <v>0</v>
      </c>
    </row>
    <row r="220" spans="1:10" x14ac:dyDescent="0.25">
      <c r="A220" s="645">
        <f>+'[7] E.PRECIOS'!A220</f>
        <v>0</v>
      </c>
      <c r="B220" s="645">
        <f>+'[7] E.PRECIOS'!B220</f>
        <v>0</v>
      </c>
      <c r="C220" s="647">
        <f>+'[7] E.PRECIOS'!AM220</f>
        <v>0</v>
      </c>
      <c r="D220" s="647">
        <f>+'[7] E.PRECIOS'!AN220</f>
        <v>0</v>
      </c>
      <c r="E220" s="647">
        <f>+'[7] E.PRECIOS'!AO220</f>
        <v>0</v>
      </c>
      <c r="F220" s="647">
        <f>+'[7] E.PRECIOS'!AP220</f>
        <v>0</v>
      </c>
      <c r="G220" s="647">
        <f>+'[7] E.PRECIOS'!AQ220</f>
        <v>0</v>
      </c>
      <c r="H220" s="647">
        <f>+'[7] E.PRECIOS'!AR220</f>
        <v>0</v>
      </c>
      <c r="I220" s="649">
        <f>+'[7] E.PRECIOS'!AS220</f>
        <v>0</v>
      </c>
      <c r="J220" s="644">
        <f>+'[7] E.PRECIOS'!AT220</f>
        <v>0</v>
      </c>
    </row>
    <row r="221" spans="1:10" x14ac:dyDescent="0.25">
      <c r="A221" s="645">
        <f>+'[7] E.PRECIOS'!A221</f>
        <v>0</v>
      </c>
      <c r="B221" s="645">
        <f>+'[7] E.PRECIOS'!B221</f>
        <v>0</v>
      </c>
      <c r="C221" s="647">
        <f>+'[7] E.PRECIOS'!AM221</f>
        <v>0</v>
      </c>
      <c r="D221" s="647">
        <f>+'[7] E.PRECIOS'!AN221</f>
        <v>0</v>
      </c>
      <c r="E221" s="647">
        <f>+'[7] E.PRECIOS'!AO221</f>
        <v>0</v>
      </c>
      <c r="F221" s="647">
        <f>+'[7] E.PRECIOS'!AP221</f>
        <v>0</v>
      </c>
      <c r="G221" s="647">
        <f>+'[7] E.PRECIOS'!AQ221</f>
        <v>0</v>
      </c>
      <c r="H221" s="647">
        <f>+'[7] E.PRECIOS'!AR221</f>
        <v>0</v>
      </c>
      <c r="I221" s="647">
        <f>+'[7] E.PRECIOS'!AS221</f>
        <v>0</v>
      </c>
      <c r="J221" s="644">
        <f>+'[7] E.PRECIOS'!AT221</f>
        <v>0</v>
      </c>
    </row>
    <row r="222" spans="1:10" x14ac:dyDescent="0.25">
      <c r="A222" s="645">
        <f>+'[7] E.PRECIOS'!A222</f>
        <v>0</v>
      </c>
      <c r="B222" s="645">
        <f>+'[7] E.PRECIOS'!B222</f>
        <v>0</v>
      </c>
      <c r="C222" s="647">
        <f>+'[7] E.PRECIOS'!AM222</f>
        <v>0</v>
      </c>
      <c r="D222" s="647">
        <f>+'[7] E.PRECIOS'!AN222</f>
        <v>0</v>
      </c>
      <c r="E222" s="647">
        <f>+'[7] E.PRECIOS'!AO222</f>
        <v>0</v>
      </c>
      <c r="F222" s="647">
        <f>+'[7] E.PRECIOS'!AP222</f>
        <v>0</v>
      </c>
      <c r="G222" s="647">
        <f>+'[7] E.PRECIOS'!AQ222</f>
        <v>0</v>
      </c>
      <c r="H222" s="647">
        <f>+'[7] E.PRECIOS'!AR222</f>
        <v>0</v>
      </c>
      <c r="I222" s="647">
        <f>+'[7] E.PRECIOS'!AS222</f>
        <v>0</v>
      </c>
      <c r="J222" s="644">
        <f>+'[7] E.PRECIOS'!AT222</f>
        <v>0</v>
      </c>
    </row>
    <row r="223" spans="1:10" x14ac:dyDescent="0.25">
      <c r="A223" s="645">
        <f>+'[7] E.PRECIOS'!A223</f>
        <v>0</v>
      </c>
      <c r="B223" s="645">
        <f>+'[7] E.PRECIOS'!B223</f>
        <v>0</v>
      </c>
      <c r="C223" s="647">
        <f>+'[7] E.PRECIOS'!AM223</f>
        <v>0</v>
      </c>
      <c r="D223" s="647">
        <f>+'[7] E.PRECIOS'!AN223</f>
        <v>0</v>
      </c>
      <c r="E223" s="647">
        <f>+'[7] E.PRECIOS'!AO223</f>
        <v>0</v>
      </c>
      <c r="F223" s="647">
        <f>+'[7] E.PRECIOS'!AP223</f>
        <v>0</v>
      </c>
      <c r="G223" s="647">
        <f>+'[7] E.PRECIOS'!AQ223</f>
        <v>0</v>
      </c>
      <c r="H223" s="647">
        <f>+'[7] E.PRECIOS'!AR223</f>
        <v>0</v>
      </c>
      <c r="I223" s="647">
        <f>+'[7] E.PRECIOS'!AS223</f>
        <v>0</v>
      </c>
      <c r="J223" s="644">
        <f>+'[7] E.PRECIOS'!AT223</f>
        <v>0</v>
      </c>
    </row>
    <row r="224" spans="1:10" x14ac:dyDescent="0.25">
      <c r="A224" s="645">
        <f>+'[7] E.PRECIOS'!A224</f>
        <v>0</v>
      </c>
      <c r="B224" s="645">
        <f>+'[7] E.PRECIOS'!B224</f>
        <v>0</v>
      </c>
      <c r="C224" s="647">
        <f>+'[7] E.PRECIOS'!AM224</f>
        <v>0</v>
      </c>
      <c r="D224" s="647">
        <f>+'[7] E.PRECIOS'!AN224</f>
        <v>0</v>
      </c>
      <c r="E224" s="647">
        <f>+'[7] E.PRECIOS'!AO224</f>
        <v>0</v>
      </c>
      <c r="F224" s="647">
        <f>+'[7] E.PRECIOS'!AP224</f>
        <v>0</v>
      </c>
      <c r="G224" s="647">
        <f>+'[7] E.PRECIOS'!AQ224</f>
        <v>0</v>
      </c>
      <c r="H224" s="647">
        <f>+'[7] E.PRECIOS'!AR224</f>
        <v>0</v>
      </c>
      <c r="I224" s="647">
        <f>+'[7] E.PRECIOS'!AS224</f>
        <v>0</v>
      </c>
      <c r="J224" s="644">
        <f>+'[7] E.PRECIOS'!AT224</f>
        <v>0</v>
      </c>
    </row>
    <row r="225" spans="1:10" x14ac:dyDescent="0.25">
      <c r="A225" s="645">
        <f>+'[7] E.PRECIOS'!A225</f>
        <v>0</v>
      </c>
      <c r="B225" s="645">
        <f>+'[7] E.PRECIOS'!B225</f>
        <v>0</v>
      </c>
      <c r="C225" s="647">
        <f>+'[7] E.PRECIOS'!AM225</f>
        <v>0</v>
      </c>
      <c r="D225" s="647">
        <f>+'[7] E.PRECIOS'!AN225</f>
        <v>0</v>
      </c>
      <c r="E225" s="647">
        <f>+'[7] E.PRECIOS'!AO225</f>
        <v>0</v>
      </c>
      <c r="F225" s="647">
        <f>+'[7] E.PRECIOS'!AP225</f>
        <v>0</v>
      </c>
      <c r="G225" s="647">
        <f>+'[7] E.PRECIOS'!AQ225</f>
        <v>0</v>
      </c>
      <c r="H225" s="647">
        <f>+'[7] E.PRECIOS'!AR225</f>
        <v>0</v>
      </c>
      <c r="I225" s="647">
        <f>+'[7] E.PRECIOS'!AS225</f>
        <v>0</v>
      </c>
      <c r="J225" s="644">
        <f>+'[7] E.PRECIOS'!AT225</f>
        <v>0</v>
      </c>
    </row>
    <row r="226" spans="1:10" x14ac:dyDescent="0.25">
      <c r="A226" s="645">
        <f>+'[7] E.PRECIOS'!A226</f>
        <v>0</v>
      </c>
      <c r="B226" s="645">
        <f>+'[7] E.PRECIOS'!B226</f>
        <v>0</v>
      </c>
      <c r="C226" s="647">
        <f>+'[7] E.PRECIOS'!AM226</f>
        <v>0</v>
      </c>
      <c r="D226" s="647">
        <f>+'[7] E.PRECIOS'!AN226</f>
        <v>0</v>
      </c>
      <c r="E226" s="647">
        <f>+'[7] E.PRECIOS'!AO226</f>
        <v>0</v>
      </c>
      <c r="F226" s="647">
        <f>+'[7] E.PRECIOS'!AP226</f>
        <v>0</v>
      </c>
      <c r="G226" s="647">
        <f>+'[7] E.PRECIOS'!AQ226</f>
        <v>0</v>
      </c>
      <c r="H226" s="647">
        <f>+'[7] E.PRECIOS'!AR226</f>
        <v>0</v>
      </c>
      <c r="I226" s="647">
        <f>+'[7] E.PRECIOS'!AS226</f>
        <v>0</v>
      </c>
      <c r="J226" s="644">
        <f>+'[7] E.PRECIOS'!AT226</f>
        <v>0</v>
      </c>
    </row>
    <row r="227" spans="1:10" x14ac:dyDescent="0.25">
      <c r="A227" s="645">
        <f>+'[7] E.PRECIOS'!A227</f>
        <v>0</v>
      </c>
      <c r="B227" s="645">
        <f>+'[7] E.PRECIOS'!B227</f>
        <v>0</v>
      </c>
      <c r="C227" s="647">
        <f>+'[7] E.PRECIOS'!AM227</f>
        <v>0</v>
      </c>
      <c r="D227" s="647">
        <f>+'[7] E.PRECIOS'!AN227</f>
        <v>0</v>
      </c>
      <c r="E227" s="647">
        <f>+'[7] E.PRECIOS'!AO227</f>
        <v>0</v>
      </c>
      <c r="F227" s="647">
        <f>+'[7] E.PRECIOS'!AP227</f>
        <v>0</v>
      </c>
      <c r="G227" s="647">
        <f>+'[7] E.PRECIOS'!AQ227</f>
        <v>0</v>
      </c>
      <c r="H227" s="647">
        <f>+'[7] E.PRECIOS'!AR227</f>
        <v>0</v>
      </c>
      <c r="I227" s="647">
        <f>+'[7] E.PRECIOS'!AS227</f>
        <v>0</v>
      </c>
      <c r="J227" s="644">
        <f>+'[7] E.PRECIOS'!AT227</f>
        <v>0</v>
      </c>
    </row>
  </sheetData>
  <mergeCells count="11">
    <mergeCell ref="A2:J2"/>
    <mergeCell ref="A5:A6"/>
    <mergeCell ref="B5:B6"/>
    <mergeCell ref="C5:C6"/>
    <mergeCell ref="D5:D6"/>
    <mergeCell ref="E5:E6"/>
    <mergeCell ref="F5:F6"/>
    <mergeCell ref="G5:G6"/>
    <mergeCell ref="H5:H6"/>
    <mergeCell ref="I5:I6"/>
    <mergeCell ref="J5:J6"/>
  </mergeCells>
  <pageMargins left="0.7" right="0.7" top="0.75" bottom="0.75" header="0.3" footer="0.3"/>
  <pageSetup orientation="portrait"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62"/>
  <sheetViews>
    <sheetView showGridLines="0" topLeftCell="A76" workbookViewId="0">
      <selection activeCell="D30" sqref="D30"/>
    </sheetView>
  </sheetViews>
  <sheetFormatPr baseColWidth="10" defaultColWidth="11.375" defaultRowHeight="12" x14ac:dyDescent="0.2"/>
  <cols>
    <col min="1" max="1" width="18.125" style="352" customWidth="1"/>
    <col min="2" max="2" width="21.875" style="352" customWidth="1"/>
    <col min="3" max="3" width="13.125" style="352" customWidth="1"/>
    <col min="4" max="4" width="10.375" style="352" customWidth="1"/>
    <col min="5" max="5" width="6" style="352" customWidth="1"/>
    <col min="6" max="6" width="10.25" style="352" customWidth="1"/>
    <col min="7" max="7" width="7.75" style="352" customWidth="1"/>
    <col min="8" max="8" width="5.25" style="352" customWidth="1"/>
    <col min="9" max="9" width="2.875" style="352" customWidth="1"/>
    <col min="10" max="10" width="22" style="352" customWidth="1"/>
    <col min="11" max="11" width="1.875" style="352" customWidth="1"/>
    <col min="12" max="12" width="5.125" style="352" customWidth="1"/>
    <col min="13" max="13" width="6.875" style="352" customWidth="1"/>
    <col min="14" max="14" width="7" style="352" customWidth="1"/>
    <col min="15" max="15" width="4.875" style="352" customWidth="1"/>
    <col min="16" max="16" width="8.25" style="352" customWidth="1"/>
    <col min="17" max="17" width="6.875" style="352" customWidth="1"/>
    <col min="18" max="16384" width="11.375" style="352"/>
  </cols>
  <sheetData>
    <row r="1" spans="1:17" x14ac:dyDescent="0.2">
      <c r="A1" s="1578" t="s">
        <v>0</v>
      </c>
      <c r="B1" s="1578"/>
      <c r="C1" s="1578"/>
      <c r="D1" s="1578"/>
      <c r="E1" s="1578"/>
      <c r="F1" s="1578"/>
      <c r="G1" s="1578"/>
      <c r="H1" s="1578"/>
      <c r="I1" s="1578"/>
      <c r="J1" s="1578"/>
      <c r="K1" s="1578"/>
      <c r="L1" s="1578"/>
      <c r="M1" s="1578"/>
      <c r="N1" s="351"/>
      <c r="O1" s="351"/>
      <c r="P1" s="351"/>
      <c r="Q1" s="351"/>
    </row>
    <row r="2" spans="1:17" x14ac:dyDescent="0.2">
      <c r="A2" s="1578" t="s">
        <v>1</v>
      </c>
      <c r="B2" s="1578"/>
      <c r="C2" s="1578"/>
      <c r="D2" s="1578"/>
      <c r="E2" s="1578"/>
      <c r="F2" s="1578"/>
      <c r="G2" s="1578"/>
      <c r="H2" s="1578"/>
      <c r="I2" s="1578"/>
      <c r="J2" s="1578"/>
      <c r="K2" s="1578"/>
      <c r="L2" s="1578"/>
      <c r="M2" s="1578"/>
      <c r="N2" s="351"/>
      <c r="O2" s="351"/>
      <c r="P2" s="351"/>
      <c r="Q2" s="351"/>
    </row>
    <row r="3" spans="1:17" x14ac:dyDescent="0.2">
      <c r="A3" s="1578" t="s">
        <v>348</v>
      </c>
      <c r="B3" s="1578"/>
      <c r="C3" s="1578"/>
      <c r="D3" s="1578"/>
      <c r="E3" s="1578"/>
      <c r="F3" s="1578"/>
      <c r="G3" s="1578"/>
      <c r="H3" s="1578"/>
      <c r="I3" s="1578"/>
      <c r="J3" s="1578"/>
      <c r="K3" s="1578"/>
      <c r="L3" s="1578"/>
      <c r="M3" s="1578"/>
      <c r="N3" s="351"/>
      <c r="O3" s="351"/>
      <c r="P3" s="351"/>
      <c r="Q3" s="351"/>
    </row>
    <row r="4" spans="1:17" x14ac:dyDescent="0.2">
      <c r="A4" s="353"/>
      <c r="B4" s="353"/>
      <c r="C4" s="353"/>
      <c r="D4" s="353"/>
      <c r="E4" s="353"/>
      <c r="F4" s="353"/>
      <c r="G4" s="353"/>
      <c r="H4" s="353"/>
      <c r="I4" s="353"/>
      <c r="J4" s="353"/>
      <c r="K4" s="353"/>
      <c r="L4" s="353"/>
      <c r="M4" s="353"/>
      <c r="N4" s="351"/>
      <c r="O4" s="351"/>
      <c r="P4" s="351"/>
      <c r="Q4" s="351"/>
    </row>
    <row r="5" spans="1:17" x14ac:dyDescent="0.2">
      <c r="A5" s="1578" t="s">
        <v>349</v>
      </c>
      <c r="B5" s="1578"/>
      <c r="C5" s="1578"/>
      <c r="D5" s="1578"/>
      <c r="E5" s="1578"/>
      <c r="F5" s="1578"/>
      <c r="G5" s="1578"/>
      <c r="H5" s="1578"/>
      <c r="I5" s="1578"/>
      <c r="J5" s="1578"/>
      <c r="K5" s="1578"/>
      <c r="L5" s="1578"/>
      <c r="M5" s="1578"/>
      <c r="N5" s="351"/>
      <c r="O5" s="351"/>
      <c r="P5" s="351"/>
      <c r="Q5" s="351"/>
    </row>
    <row r="6" spans="1:17" x14ac:dyDescent="0.2">
      <c r="A6" s="1578" t="s">
        <v>350</v>
      </c>
      <c r="B6" s="1578"/>
      <c r="C6" s="1578"/>
      <c r="D6" s="1578"/>
      <c r="E6" s="1578"/>
      <c r="F6" s="1578"/>
      <c r="G6" s="1578"/>
      <c r="H6" s="1578"/>
      <c r="I6" s="1578"/>
      <c r="J6" s="1578"/>
      <c r="K6" s="1578"/>
      <c r="L6" s="1578"/>
      <c r="M6" s="1578"/>
      <c r="N6" s="351"/>
      <c r="O6" s="351"/>
      <c r="P6" s="351"/>
      <c r="Q6" s="351"/>
    </row>
    <row r="7" spans="1:17" x14ac:dyDescent="0.2">
      <c r="A7" s="354"/>
      <c r="B7" s="354"/>
      <c r="C7" s="354"/>
      <c r="D7" s="354"/>
      <c r="E7" s="354"/>
      <c r="F7" s="354"/>
      <c r="G7" s="354"/>
      <c r="H7" s="354"/>
      <c r="I7" s="354"/>
      <c r="J7" s="354"/>
      <c r="K7" s="354"/>
      <c r="L7" s="354"/>
      <c r="M7" s="354"/>
      <c r="N7" s="354"/>
      <c r="O7" s="354"/>
      <c r="P7" s="354"/>
      <c r="Q7" s="354"/>
    </row>
    <row r="8" spans="1:17" ht="24" x14ac:dyDescent="0.2">
      <c r="A8" s="355" t="s">
        <v>351</v>
      </c>
      <c r="B8" s="356" t="s">
        <v>352</v>
      </c>
      <c r="C8" s="1579" t="s">
        <v>353</v>
      </c>
      <c r="D8" s="1580"/>
      <c r="E8" s="1579" t="s">
        <v>354</v>
      </c>
      <c r="F8" s="1580"/>
      <c r="G8" s="1581"/>
      <c r="H8" s="357"/>
      <c r="I8" s="357"/>
      <c r="J8" s="357"/>
      <c r="K8" s="358"/>
      <c r="L8" s="358"/>
      <c r="M8" s="358"/>
      <c r="N8" s="358"/>
      <c r="O8" s="354"/>
      <c r="P8" s="354"/>
      <c r="Q8" s="354"/>
    </row>
    <row r="9" spans="1:17" x14ac:dyDescent="0.2">
      <c r="A9" s="1582"/>
      <c r="B9" s="1582"/>
      <c r="C9" s="1582"/>
      <c r="D9" s="1582"/>
      <c r="E9" s="1582"/>
      <c r="F9" s="1582"/>
      <c r="G9" s="1582"/>
      <c r="H9" s="1582"/>
      <c r="I9" s="1582"/>
      <c r="J9" s="1582"/>
      <c r="K9" s="359"/>
      <c r="L9" s="358"/>
      <c r="M9" s="358"/>
      <c r="N9" s="358"/>
      <c r="O9" s="354"/>
      <c r="P9" s="354"/>
      <c r="Q9" s="354"/>
    </row>
    <row r="10" spans="1:17" x14ac:dyDescent="0.2">
      <c r="A10" s="360" t="s">
        <v>355</v>
      </c>
      <c r="B10" s="361"/>
      <c r="C10" s="361"/>
      <c r="D10" s="361"/>
      <c r="E10" s="1583"/>
      <c r="F10" s="1583"/>
      <c r="G10" s="1583"/>
      <c r="H10" s="362"/>
      <c r="I10" s="363"/>
      <c r="J10" s="363"/>
      <c r="K10" s="359"/>
      <c r="L10" s="358"/>
      <c r="M10" s="358"/>
      <c r="N10" s="358"/>
      <c r="O10" s="354"/>
      <c r="P10" s="354"/>
      <c r="Q10" s="354"/>
    </row>
    <row r="11" spans="1:17" x14ac:dyDescent="0.2">
      <c r="A11" s="364" t="s">
        <v>356</v>
      </c>
      <c r="B11" s="365" t="s">
        <v>357</v>
      </c>
      <c r="C11" s="366">
        <f>+VLOOKUP(B11,'[7]Resumen E.P'!A6:I204,9,0)</f>
        <v>2.0751666666666666</v>
      </c>
      <c r="D11" s="367" t="s">
        <v>358</v>
      </c>
      <c r="E11" s="368">
        <v>200</v>
      </c>
      <c r="F11" s="367" t="s">
        <v>359</v>
      </c>
      <c r="G11" s="369">
        <f>E11*C11</f>
        <v>415.0333333333333</v>
      </c>
      <c r="H11" s="370"/>
      <c r="I11" s="371"/>
      <c r="J11" s="372" t="s">
        <v>2</v>
      </c>
      <c r="K11" s="373"/>
      <c r="L11" s="358"/>
      <c r="M11" s="358"/>
      <c r="N11" s="358"/>
      <c r="O11" s="354"/>
      <c r="P11" s="354"/>
      <c r="Q11" s="354"/>
    </row>
    <row r="12" spans="1:17" x14ac:dyDescent="0.2">
      <c r="A12" s="374" t="s">
        <v>360</v>
      </c>
      <c r="B12" s="365" t="s">
        <v>361</v>
      </c>
      <c r="C12" s="366">
        <f>+VLOOKUP(B12,'[7]Resumen E.P'!A8:I205,9,0)</f>
        <v>2.69875</v>
      </c>
      <c r="D12" s="367" t="s">
        <v>362</v>
      </c>
      <c r="E12" s="368">
        <v>30</v>
      </c>
      <c r="F12" s="367" t="s">
        <v>363</v>
      </c>
      <c r="G12" s="375">
        <f>E12*C12</f>
        <v>80.962500000000006</v>
      </c>
      <c r="H12" s="376"/>
      <c r="I12" s="377"/>
      <c r="J12" s="377"/>
      <c r="K12" s="358"/>
      <c r="L12" s="358"/>
      <c r="M12" s="358"/>
      <c r="N12" s="358"/>
      <c r="O12" s="354"/>
      <c r="P12" s="354"/>
      <c r="Q12" s="354"/>
    </row>
    <row r="13" spans="1:17" x14ac:dyDescent="0.2">
      <c r="A13" s="378"/>
      <c r="B13" s="379" t="s">
        <v>364</v>
      </c>
      <c r="C13" s="366">
        <f>+VLOOKUP(B13,'[7]Resumen E.P'!A9:I206,9,0)</f>
        <v>2.2658333333333331</v>
      </c>
      <c r="D13" s="367" t="s">
        <v>362</v>
      </c>
      <c r="E13" s="368">
        <v>25</v>
      </c>
      <c r="F13" s="367" t="s">
        <v>363</v>
      </c>
      <c r="G13" s="375">
        <f>E13*C13</f>
        <v>56.645833333333329</v>
      </c>
      <c r="H13" s="376"/>
      <c r="I13" s="377"/>
      <c r="J13" s="377"/>
      <c r="K13" s="358"/>
      <c r="L13" s="358"/>
      <c r="M13" s="358"/>
      <c r="N13" s="358"/>
      <c r="O13" s="354"/>
      <c r="P13" s="354"/>
      <c r="Q13" s="354"/>
    </row>
    <row r="14" spans="1:17" x14ac:dyDescent="0.2">
      <c r="A14" s="380"/>
      <c r="B14" s="381"/>
      <c r="C14" s="382"/>
      <c r="D14" s="383"/>
      <c r="E14" s="384"/>
      <c r="F14" s="383"/>
      <c r="G14" s="385">
        <f>SUM(G12:G13)/2</f>
        <v>68.804166666666674</v>
      </c>
      <c r="H14" s="386" t="s">
        <v>23</v>
      </c>
      <c r="I14" s="377"/>
      <c r="J14" s="377"/>
      <c r="K14" s="358"/>
      <c r="L14" s="358"/>
      <c r="M14" s="358"/>
      <c r="N14" s="358"/>
      <c r="O14" s="354"/>
      <c r="P14" s="354"/>
      <c r="Q14" s="354"/>
    </row>
    <row r="15" spans="1:17" x14ac:dyDescent="0.2">
      <c r="A15" s="378"/>
      <c r="B15" s="387"/>
      <c r="C15" s="388"/>
      <c r="D15" s="389"/>
      <c r="E15" s="389"/>
      <c r="F15" s="389"/>
      <c r="G15" s="390"/>
      <c r="H15" s="370"/>
      <c r="I15" s="371"/>
      <c r="J15" s="372"/>
      <c r="K15" s="373"/>
      <c r="L15" s="358"/>
      <c r="M15" s="358"/>
      <c r="N15" s="358"/>
      <c r="O15" s="354"/>
      <c r="P15" s="354"/>
      <c r="Q15" s="354"/>
    </row>
    <row r="16" spans="1:17" x14ac:dyDescent="0.2">
      <c r="A16" s="391" t="s">
        <v>365</v>
      </c>
      <c r="B16" s="365" t="s">
        <v>366</v>
      </c>
      <c r="C16" s="366">
        <f>+VLOOKUP(B16,'[7]Resumen E.P'!A13:I209,9,0)</f>
        <v>19.946666666666669</v>
      </c>
      <c r="D16" s="367" t="s">
        <v>362</v>
      </c>
      <c r="E16" s="392">
        <v>0.75</v>
      </c>
      <c r="F16" s="367" t="s">
        <v>367</v>
      </c>
      <c r="G16" s="393">
        <f>E16*C16</f>
        <v>14.96</v>
      </c>
      <c r="H16" s="394"/>
      <c r="I16" s="371"/>
      <c r="J16" s="377"/>
      <c r="K16" s="359"/>
      <c r="L16" s="358"/>
      <c r="M16" s="358"/>
      <c r="N16" s="358"/>
      <c r="O16" s="354"/>
      <c r="P16" s="354"/>
      <c r="Q16" s="354"/>
    </row>
    <row r="17" spans="1:17" x14ac:dyDescent="0.2">
      <c r="A17" s="395"/>
      <c r="B17" s="365" t="s">
        <v>368</v>
      </c>
      <c r="C17" s="366">
        <f>+VLOOKUP(B17,'[7]Resumen E.P'!A14:I210,9,0)</f>
        <v>17.670999999999999</v>
      </c>
      <c r="D17" s="367" t="s">
        <v>362</v>
      </c>
      <c r="E17" s="368">
        <v>7</v>
      </c>
      <c r="F17" s="367" t="s">
        <v>363</v>
      </c>
      <c r="G17" s="393">
        <f>E17*C17</f>
        <v>123.697</v>
      </c>
      <c r="H17" s="370"/>
      <c r="I17" s="371"/>
      <c r="J17" s="396"/>
      <c r="K17" s="359"/>
      <c r="L17" s="358"/>
      <c r="M17" s="358"/>
      <c r="N17" s="358"/>
      <c r="O17" s="354"/>
      <c r="P17" s="354"/>
      <c r="Q17" s="354"/>
    </row>
    <row r="18" spans="1:17" x14ac:dyDescent="0.2">
      <c r="A18" s="397"/>
      <c r="B18" s="379" t="s">
        <v>369</v>
      </c>
      <c r="C18" s="366">
        <f>+VLOOKUP(B18,'[7]Resumen E.P'!A15:I211,9,0)</f>
        <v>14.00625</v>
      </c>
      <c r="D18" s="367" t="s">
        <v>362</v>
      </c>
      <c r="E18" s="368">
        <v>15</v>
      </c>
      <c r="F18" s="367" t="s">
        <v>363</v>
      </c>
      <c r="G18" s="393">
        <f>E18*C18</f>
        <v>210.09375</v>
      </c>
      <c r="H18" s="370"/>
      <c r="I18" s="371"/>
      <c r="J18" s="396"/>
      <c r="K18" s="359"/>
      <c r="L18" s="358"/>
      <c r="M18" s="358"/>
      <c r="N18" s="358"/>
      <c r="O18" s="354"/>
      <c r="P18" s="354"/>
      <c r="Q18" s="354"/>
    </row>
    <row r="19" spans="1:17" x14ac:dyDescent="0.2">
      <c r="A19" s="397"/>
      <c r="B19" s="379" t="s">
        <v>370</v>
      </c>
      <c r="C19" s="366">
        <f>+VLOOKUP(B19,'[7]Resumen E.P'!A16:I212,9,0)</f>
        <v>61.122549019607845</v>
      </c>
      <c r="D19" s="367" t="s">
        <v>362</v>
      </c>
      <c r="E19" s="368">
        <v>7</v>
      </c>
      <c r="F19" s="367" t="s">
        <v>363</v>
      </c>
      <c r="G19" s="393">
        <f>E19*C19</f>
        <v>427.85784313725492</v>
      </c>
      <c r="H19" s="370"/>
      <c r="I19" s="371"/>
      <c r="J19" s="396"/>
      <c r="K19" s="359"/>
      <c r="L19" s="358"/>
      <c r="M19" s="358"/>
      <c r="N19" s="358"/>
      <c r="O19" s="354"/>
      <c r="P19" s="354"/>
      <c r="Q19" s="354"/>
    </row>
    <row r="20" spans="1:17" x14ac:dyDescent="0.2">
      <c r="A20" s="398"/>
      <c r="B20" s="381"/>
      <c r="C20" s="399"/>
      <c r="D20" s="400"/>
      <c r="E20" s="401"/>
      <c r="F20" s="402"/>
      <c r="G20" s="403">
        <f>SUM(G16:G19)/4</f>
        <v>194.15214828431374</v>
      </c>
      <c r="H20" s="386" t="s">
        <v>23</v>
      </c>
      <c r="I20" s="404"/>
      <c r="J20" s="372"/>
      <c r="K20" s="373"/>
      <c r="L20" s="358"/>
      <c r="M20" s="358"/>
      <c r="N20" s="358"/>
      <c r="O20" s="354"/>
      <c r="P20" s="354"/>
      <c r="Q20" s="354"/>
    </row>
    <row r="21" spans="1:17" x14ac:dyDescent="0.2">
      <c r="A21" s="377"/>
      <c r="B21" s="387"/>
      <c r="C21" s="405"/>
      <c r="D21" s="405"/>
      <c r="E21" s="405"/>
      <c r="F21" s="405"/>
      <c r="G21" s="406"/>
      <c r="H21" s="407"/>
      <c r="I21" s="404"/>
      <c r="J21" s="372"/>
      <c r="K21" s="373"/>
      <c r="L21" s="358"/>
      <c r="M21" s="358"/>
      <c r="N21" s="358"/>
      <c r="O21" s="354"/>
      <c r="P21" s="354"/>
      <c r="Q21" s="354"/>
    </row>
    <row r="22" spans="1:17" x14ac:dyDescent="0.2">
      <c r="A22" s="408" t="s">
        <v>371</v>
      </c>
      <c r="B22" s="379" t="s">
        <v>372</v>
      </c>
      <c r="C22" s="409">
        <f>+VLOOKUP(B22,'[7]Resumen E.P'!A4:I215,9,0)</f>
        <v>4.0725396825396825</v>
      </c>
      <c r="D22" s="367" t="s">
        <v>373</v>
      </c>
      <c r="E22" s="368">
        <v>1</v>
      </c>
      <c r="F22" s="367" t="s">
        <v>374</v>
      </c>
      <c r="G22" s="410">
        <f>E22*60*C22</f>
        <v>244.35238095238094</v>
      </c>
      <c r="H22" s="411"/>
      <c r="I22" s="371"/>
      <c r="J22" s="372"/>
      <c r="K22" s="373"/>
      <c r="L22" s="358"/>
      <c r="M22" s="358"/>
      <c r="N22" s="358"/>
      <c r="O22" s="354"/>
      <c r="P22" s="354"/>
      <c r="Q22" s="354"/>
    </row>
    <row r="23" spans="1:17" x14ac:dyDescent="0.2">
      <c r="A23" s="359"/>
      <c r="B23" s="412"/>
      <c r="C23" s="413"/>
      <c r="D23" s="414"/>
      <c r="E23" s="414"/>
      <c r="F23" s="414"/>
      <c r="G23" s="414"/>
      <c r="H23" s="415"/>
      <c r="I23" s="416"/>
      <c r="J23" s="417"/>
      <c r="K23" s="373"/>
      <c r="L23" s="358"/>
      <c r="M23" s="358"/>
      <c r="N23" s="358"/>
      <c r="O23" s="354"/>
      <c r="P23" s="354"/>
      <c r="Q23" s="354"/>
    </row>
    <row r="24" spans="1:17" x14ac:dyDescent="0.2">
      <c r="A24" s="418" t="s">
        <v>375</v>
      </c>
      <c r="B24" s="379" t="s">
        <v>376</v>
      </c>
      <c r="C24" s="366">
        <f>+VLOOKUP(B24,'[7]Resumen E.P'!A21:I217,9,0)</f>
        <v>10.817307692307692</v>
      </c>
      <c r="D24" s="367" t="s">
        <v>377</v>
      </c>
      <c r="E24" s="368">
        <v>3</v>
      </c>
      <c r="F24" s="367" t="s">
        <v>378</v>
      </c>
      <c r="G24" s="393">
        <f>E24*C24</f>
        <v>32.451923076923073</v>
      </c>
      <c r="H24" s="419"/>
      <c r="I24" s="416"/>
      <c r="J24" s="420"/>
      <c r="K24" s="359"/>
      <c r="L24" s="358"/>
      <c r="M24" s="358"/>
      <c r="N24" s="358"/>
      <c r="O24" s="354"/>
      <c r="P24" s="354"/>
      <c r="Q24" s="354"/>
    </row>
    <row r="25" spans="1:17" x14ac:dyDescent="0.2">
      <c r="A25" s="395" t="s">
        <v>379</v>
      </c>
      <c r="B25" s="379" t="s">
        <v>380</v>
      </c>
      <c r="C25" s="366">
        <f>+VLOOKUP(B25,'[7]Resumen E.P'!A22:I218,9,0)</f>
        <v>11.034722222222221</v>
      </c>
      <c r="D25" s="367" t="s">
        <v>381</v>
      </c>
      <c r="E25" s="368">
        <v>3</v>
      </c>
      <c r="F25" s="367" t="s">
        <v>378</v>
      </c>
      <c r="G25" s="393">
        <f>E25*C25</f>
        <v>33.104166666666664</v>
      </c>
      <c r="H25" s="370"/>
      <c r="I25" s="416"/>
      <c r="J25" s="420"/>
      <c r="K25" s="359"/>
      <c r="L25" s="358"/>
      <c r="M25" s="358"/>
      <c r="N25" s="358"/>
      <c r="O25" s="354"/>
      <c r="P25" s="354"/>
      <c r="Q25" s="354"/>
    </row>
    <row r="26" spans="1:17" x14ac:dyDescent="0.2">
      <c r="A26" s="397"/>
      <c r="B26" s="379" t="s">
        <v>382</v>
      </c>
      <c r="C26" s="366">
        <f>+VLOOKUP(B26,'[7]Resumen E.P'!A23:I219,9,0)</f>
        <v>5.3680792124542123</v>
      </c>
      <c r="D26" s="367" t="s">
        <v>383</v>
      </c>
      <c r="E26" s="368">
        <v>1</v>
      </c>
      <c r="F26" s="367" t="s">
        <v>384</v>
      </c>
      <c r="G26" s="393">
        <f>E26*C26</f>
        <v>5.3680792124542123</v>
      </c>
      <c r="H26" s="370"/>
      <c r="I26" s="416"/>
      <c r="J26" s="420"/>
      <c r="K26" s="359"/>
      <c r="L26" s="358"/>
      <c r="M26" s="358"/>
      <c r="N26" s="358"/>
      <c r="O26" s="354"/>
      <c r="P26" s="354"/>
      <c r="Q26" s="354"/>
    </row>
    <row r="27" spans="1:17" x14ac:dyDescent="0.2">
      <c r="A27" s="397"/>
      <c r="B27" s="379" t="s">
        <v>385</v>
      </c>
      <c r="C27" s="366">
        <f>+VLOOKUP(B27,'[7]Resumen E.P'!A24:I220,9,0)</f>
        <v>13.292857142857143</v>
      </c>
      <c r="D27" s="367" t="s">
        <v>386</v>
      </c>
      <c r="E27" s="368">
        <v>1</v>
      </c>
      <c r="F27" s="367" t="s">
        <v>386</v>
      </c>
      <c r="G27" s="393">
        <f>E27*C27</f>
        <v>13.292857142857143</v>
      </c>
      <c r="H27" s="370"/>
      <c r="I27" s="416"/>
      <c r="J27" s="420"/>
      <c r="K27" s="359"/>
      <c r="L27" s="358"/>
      <c r="M27" s="358"/>
      <c r="N27" s="358"/>
      <c r="O27" s="354"/>
      <c r="P27" s="354"/>
      <c r="Q27" s="354"/>
    </row>
    <row r="28" spans="1:17" x14ac:dyDescent="0.2">
      <c r="A28" s="397"/>
      <c r="B28" s="421" t="s">
        <v>387</v>
      </c>
      <c r="C28" s="366">
        <f>+VLOOKUP(B28,'[7]Resumen E.P'!A25:I221,9,0)</f>
        <v>10.048830409356727</v>
      </c>
      <c r="D28" s="367" t="s">
        <v>388</v>
      </c>
      <c r="E28" s="368">
        <v>2</v>
      </c>
      <c r="F28" s="367" t="s">
        <v>388</v>
      </c>
      <c r="G28" s="393">
        <f>E28*C28</f>
        <v>20.097660818713454</v>
      </c>
      <c r="H28" s="370"/>
      <c r="I28" s="416"/>
      <c r="J28" s="420"/>
      <c r="K28" s="359"/>
      <c r="L28" s="358"/>
      <c r="M28" s="358"/>
      <c r="N28" s="358"/>
      <c r="O28" s="354"/>
      <c r="P28" s="354"/>
      <c r="Q28" s="354"/>
    </row>
    <row r="29" spans="1:17" x14ac:dyDescent="0.2">
      <c r="A29" s="397"/>
      <c r="B29" s="379" t="s">
        <v>389</v>
      </c>
      <c r="C29" s="366">
        <f>+VLOOKUP(B29,'[7]Resumen E.P'!A26:I222,9,0)</f>
        <v>15.787071078431373</v>
      </c>
      <c r="D29" s="367" t="s">
        <v>388</v>
      </c>
      <c r="E29" s="368">
        <v>2</v>
      </c>
      <c r="F29" s="367" t="s">
        <v>388</v>
      </c>
      <c r="G29" s="393">
        <f>E29*C29/1</f>
        <v>31.574142156862745</v>
      </c>
      <c r="H29" s="370"/>
      <c r="I29" s="416"/>
      <c r="J29" s="420"/>
      <c r="K29" s="359"/>
      <c r="L29" s="358"/>
      <c r="M29" s="358"/>
      <c r="N29" s="358"/>
      <c r="O29" s="354"/>
      <c r="P29" s="354"/>
      <c r="Q29" s="354"/>
    </row>
    <row r="30" spans="1:17" x14ac:dyDescent="0.2">
      <c r="A30" s="397"/>
      <c r="B30" s="379" t="s">
        <v>390</v>
      </c>
      <c r="C30" s="366">
        <f>+VLOOKUP(B30,'[7]Resumen E.P'!A27:I223,9,0)</f>
        <v>0</v>
      </c>
      <c r="D30" s="367" t="s">
        <v>391</v>
      </c>
      <c r="E30" s="368">
        <v>1</v>
      </c>
      <c r="F30" s="367" t="s">
        <v>391</v>
      </c>
      <c r="G30" s="393">
        <f>E30*C30/1</f>
        <v>0</v>
      </c>
      <c r="H30" s="370"/>
      <c r="I30" s="416"/>
      <c r="J30" s="422"/>
      <c r="K30" s="359"/>
      <c r="L30" s="1584" t="s">
        <v>392</v>
      </c>
      <c r="M30" s="1584"/>
      <c r="N30" s="423">
        <f>G33</f>
        <v>222.96562581020399</v>
      </c>
      <c r="O30" s="354"/>
      <c r="P30" s="354"/>
      <c r="Q30" s="354"/>
    </row>
    <row r="31" spans="1:17" x14ac:dyDescent="0.2">
      <c r="A31" s="397"/>
      <c r="B31" s="421" t="s">
        <v>393</v>
      </c>
      <c r="C31" s="366">
        <f>+VLOOKUP(B31,'[7]Resumen E.P'!A28:I224,9,0)</f>
        <v>20.801803217358774</v>
      </c>
      <c r="D31" s="367" t="s">
        <v>391</v>
      </c>
      <c r="E31" s="368">
        <v>1</v>
      </c>
      <c r="F31" s="367" t="s">
        <v>391</v>
      </c>
      <c r="G31" s="393">
        <f>E31*C31/1</f>
        <v>20.801803217358774</v>
      </c>
      <c r="H31" s="370"/>
      <c r="I31" s="416"/>
      <c r="J31" s="422"/>
      <c r="K31" s="359"/>
      <c r="L31" s="1584"/>
      <c r="M31" s="1584"/>
      <c r="N31" s="358"/>
      <c r="O31" s="354"/>
      <c r="P31" s="354"/>
      <c r="Q31" s="354"/>
    </row>
    <row r="32" spans="1:17" x14ac:dyDescent="0.2">
      <c r="A32" s="398"/>
      <c r="B32" s="421" t="s">
        <v>394</v>
      </c>
      <c r="C32" s="366">
        <f>+VLOOKUP(B32,'[7]Resumen E.P'!A29:I225,9,0)</f>
        <v>1850</v>
      </c>
      <c r="D32" s="367" t="s">
        <v>391</v>
      </c>
      <c r="E32" s="368">
        <v>1</v>
      </c>
      <c r="F32" s="367" t="s">
        <v>391</v>
      </c>
      <c r="G32" s="393">
        <f>E32*C32</f>
        <v>1850</v>
      </c>
      <c r="H32" s="424"/>
      <c r="I32" s="416"/>
      <c r="J32" s="422"/>
      <c r="K32" s="359"/>
      <c r="L32" s="1584"/>
      <c r="M32" s="1584"/>
      <c r="N32" s="358"/>
      <c r="O32" s="354"/>
      <c r="P32" s="354"/>
      <c r="Q32" s="354"/>
    </row>
    <row r="33" spans="1:17" x14ac:dyDescent="0.2">
      <c r="A33" s="377"/>
      <c r="B33" s="387"/>
      <c r="C33" s="425"/>
      <c r="D33" s="389"/>
      <c r="E33" s="426"/>
      <c r="F33" s="389"/>
      <c r="G33" s="427">
        <f>SUM(G24:G32)/9</f>
        <v>222.96562581020399</v>
      </c>
      <c r="H33" s="411" t="s">
        <v>23</v>
      </c>
      <c r="I33" s="416"/>
      <c r="J33" s="422"/>
      <c r="K33" s="359"/>
      <c r="L33" s="428"/>
      <c r="M33" s="428"/>
      <c r="N33" s="358"/>
      <c r="O33" s="354"/>
      <c r="P33" s="354"/>
      <c r="Q33" s="354"/>
    </row>
    <row r="34" spans="1:17" x14ac:dyDescent="0.2">
      <c r="A34" s="359"/>
      <c r="B34" s="412"/>
      <c r="C34" s="413"/>
      <c r="D34" s="412"/>
      <c r="E34" s="412"/>
      <c r="F34" s="412"/>
      <c r="G34" s="429"/>
      <c r="H34" s="430"/>
      <c r="I34" s="359"/>
      <c r="J34" s="417"/>
      <c r="K34" s="373"/>
      <c r="L34" s="358"/>
      <c r="M34" s="358"/>
      <c r="N34" s="358"/>
      <c r="O34" s="354"/>
      <c r="P34" s="354"/>
      <c r="Q34" s="354"/>
    </row>
    <row r="35" spans="1:17" x14ac:dyDescent="0.2">
      <c r="A35" s="431" t="s">
        <v>395</v>
      </c>
      <c r="B35" s="421" t="s">
        <v>396</v>
      </c>
      <c r="C35" s="366">
        <f>+VLOOKUP(B35,'[7]Resumen E.P'!A32:I228,9,0)</f>
        <v>10.186363636363636</v>
      </c>
      <c r="D35" s="367" t="s">
        <v>397</v>
      </c>
      <c r="E35" s="368">
        <v>30</v>
      </c>
      <c r="F35" s="367" t="s">
        <v>397</v>
      </c>
      <c r="G35" s="393">
        <f>E35*C35</f>
        <v>305.59090909090907</v>
      </c>
      <c r="H35" s="432"/>
      <c r="I35" s="371"/>
      <c r="K35" s="359"/>
      <c r="L35" s="1585" t="s">
        <v>398</v>
      </c>
      <c r="M35" s="1586"/>
      <c r="N35" s="358"/>
      <c r="O35" s="354"/>
      <c r="P35" s="354"/>
      <c r="Q35" s="354"/>
    </row>
    <row r="36" spans="1:17" x14ac:dyDescent="0.2">
      <c r="A36" s="433" t="s">
        <v>399</v>
      </c>
      <c r="B36" s="421" t="s">
        <v>400</v>
      </c>
      <c r="C36" s="366">
        <f>+VLOOKUP(B36,'[7]Resumen E.P'!A33:I229,9,0)</f>
        <v>14.550833333333333</v>
      </c>
      <c r="D36" s="367" t="s">
        <v>401</v>
      </c>
      <c r="E36" s="368">
        <v>30</v>
      </c>
      <c r="F36" s="367" t="s">
        <v>363</v>
      </c>
      <c r="G36" s="393">
        <f>C36*E36</f>
        <v>436.52499999999998</v>
      </c>
      <c r="H36" s="434"/>
      <c r="I36" s="371"/>
      <c r="J36" s="422"/>
      <c r="K36" s="359"/>
      <c r="L36" s="1587"/>
      <c r="M36" s="1588"/>
      <c r="N36" s="435">
        <f>(G37*9+G38*4+G39*1+G40*2+G41*1)/17</f>
        <v>416.22479946524066</v>
      </c>
      <c r="O36" s="354"/>
      <c r="P36" s="354"/>
      <c r="Q36" s="354"/>
    </row>
    <row r="37" spans="1:17" x14ac:dyDescent="0.2">
      <c r="A37" s="433"/>
      <c r="B37" s="436"/>
      <c r="C37" s="437"/>
      <c r="D37" s="438"/>
      <c r="E37" s="439"/>
      <c r="F37" s="438"/>
      <c r="G37" s="440">
        <f>SUM(G35:G36)/2</f>
        <v>371.05795454545455</v>
      </c>
      <c r="H37" s="441" t="s">
        <v>23</v>
      </c>
      <c r="I37" s="371"/>
      <c r="J37" s="422" t="s">
        <v>402</v>
      </c>
      <c r="K37" s="359"/>
      <c r="L37" s="1587"/>
      <c r="M37" s="1588"/>
      <c r="N37" s="358"/>
      <c r="O37" s="354"/>
      <c r="P37" s="354"/>
      <c r="Q37" s="354"/>
    </row>
    <row r="38" spans="1:17" x14ac:dyDescent="0.2">
      <c r="A38" s="442"/>
      <c r="B38" s="379" t="s">
        <v>403</v>
      </c>
      <c r="C38" s="366">
        <f>+VLOOKUP(B38,'[7]Resumen E.P'!A35:I231,9,0)</f>
        <v>259.375</v>
      </c>
      <c r="D38" s="367" t="s">
        <v>404</v>
      </c>
      <c r="E38" s="368">
        <v>1</v>
      </c>
      <c r="F38" s="367" t="s">
        <v>404</v>
      </c>
      <c r="G38" s="443">
        <f>E38*C38</f>
        <v>259.375</v>
      </c>
      <c r="H38" s="444"/>
      <c r="I38" s="371"/>
      <c r="J38" s="422" t="s">
        <v>405</v>
      </c>
      <c r="K38" s="359"/>
      <c r="L38" s="1589"/>
      <c r="M38" s="1590"/>
      <c r="N38" s="358"/>
      <c r="O38" s="354"/>
      <c r="P38" s="354"/>
      <c r="Q38" s="354"/>
    </row>
    <row r="39" spans="1:17" x14ac:dyDescent="0.2">
      <c r="A39" s="445"/>
      <c r="B39" s="421" t="s">
        <v>406</v>
      </c>
      <c r="C39" s="366">
        <v>9</v>
      </c>
      <c r="D39" s="367" t="s">
        <v>362</v>
      </c>
      <c r="E39" s="368">
        <v>60</v>
      </c>
      <c r="F39" s="367"/>
      <c r="G39" s="393">
        <f>E39*C39</f>
        <v>540</v>
      </c>
      <c r="H39" s="407"/>
      <c r="I39" s="371"/>
      <c r="J39" s="422" t="s">
        <v>407</v>
      </c>
      <c r="K39" s="359"/>
      <c r="L39" s="428"/>
      <c r="M39" s="428"/>
      <c r="N39" s="358"/>
      <c r="O39" s="354"/>
      <c r="P39" s="354"/>
      <c r="Q39" s="354"/>
    </row>
    <row r="40" spans="1:17" x14ac:dyDescent="0.2">
      <c r="A40" s="378"/>
      <c r="B40" s="379" t="s">
        <v>408</v>
      </c>
      <c r="C40" s="366">
        <f>+VLOOKUP(B40,'[7]Resumen E.P'!$A$4:$I$226,9,0)</f>
        <v>12.437592592592591</v>
      </c>
      <c r="D40" s="367" t="s">
        <v>362</v>
      </c>
      <c r="E40" s="368">
        <v>60</v>
      </c>
      <c r="F40" s="367" t="s">
        <v>363</v>
      </c>
      <c r="G40" s="393">
        <f>E40*C40</f>
        <v>746.25555555555547</v>
      </c>
      <c r="H40" s="377"/>
      <c r="I40" s="446"/>
      <c r="J40" s="422" t="s">
        <v>409</v>
      </c>
      <c r="K40" s="359"/>
      <c r="L40" s="428"/>
      <c r="M40" s="428"/>
      <c r="N40" s="447"/>
      <c r="O40" s="448"/>
      <c r="P40" s="448"/>
      <c r="Q40" s="449"/>
    </row>
    <row r="41" spans="1:17" x14ac:dyDescent="0.2">
      <c r="A41" s="378"/>
      <c r="B41" s="379" t="s">
        <v>410</v>
      </c>
      <c r="C41" s="366">
        <f>+VLOOKUP(B41,'[7]Resumen E.P'!$A$4:$I$226,9,0)</f>
        <v>11.104814814814814</v>
      </c>
      <c r="D41" s="367" t="s">
        <v>362</v>
      </c>
      <c r="E41" s="368">
        <v>60</v>
      </c>
      <c r="F41" s="367" t="s">
        <v>363</v>
      </c>
      <c r="G41" s="393">
        <f>E41*C41</f>
        <v>666.28888888888889</v>
      </c>
      <c r="H41" s="377"/>
      <c r="I41" s="446"/>
      <c r="J41" s="422" t="s">
        <v>411</v>
      </c>
      <c r="K41" s="359"/>
      <c r="L41" s="428"/>
      <c r="M41" s="428"/>
      <c r="N41" s="447"/>
      <c r="O41" s="448"/>
      <c r="P41" s="448"/>
      <c r="Q41" s="449"/>
    </row>
    <row r="42" spans="1:17" x14ac:dyDescent="0.2">
      <c r="A42" s="445"/>
      <c r="B42" s="387"/>
      <c r="C42" s="425"/>
      <c r="D42" s="389"/>
      <c r="E42" s="426"/>
      <c r="F42" s="389"/>
      <c r="G42" s="406"/>
      <c r="H42" s="407"/>
      <c r="I42" s="371"/>
      <c r="J42" s="422"/>
      <c r="K42" s="359"/>
      <c r="L42" s="428"/>
      <c r="M42" s="428"/>
      <c r="N42" s="358"/>
      <c r="O42" s="354"/>
      <c r="P42" s="354"/>
      <c r="Q42" s="354"/>
    </row>
    <row r="43" spans="1:17" x14ac:dyDescent="0.2">
      <c r="A43" s="359"/>
      <c r="B43" s="412"/>
      <c r="C43" s="450"/>
      <c r="D43" s="412"/>
      <c r="E43" s="412"/>
      <c r="F43" s="412"/>
      <c r="G43" s="429"/>
      <c r="H43" s="430"/>
      <c r="I43" s="359"/>
      <c r="J43" s="417"/>
      <c r="K43" s="373"/>
      <c r="L43" s="358"/>
      <c r="M43" s="358"/>
      <c r="N43" s="358"/>
      <c r="O43" s="354"/>
      <c r="P43" s="354"/>
      <c r="Q43" s="354"/>
    </row>
    <row r="44" spans="1:17" x14ac:dyDescent="0.2">
      <c r="A44" s="451" t="s">
        <v>412</v>
      </c>
      <c r="B44" s="379" t="s">
        <v>413</v>
      </c>
      <c r="C44" s="409">
        <f>+VLOOKUP(B44,'[7]Resumen E.P'!A42:I237,9,0)</f>
        <v>10.661666666666665</v>
      </c>
      <c r="D44" s="452" t="s">
        <v>414</v>
      </c>
      <c r="E44" s="453">
        <v>6</v>
      </c>
      <c r="F44" s="454" t="s">
        <v>363</v>
      </c>
      <c r="G44" s="369">
        <f>E44*C44</f>
        <v>63.969999999999992</v>
      </c>
      <c r="H44" s="441" t="s">
        <v>23</v>
      </c>
      <c r="I44" s="416"/>
      <c r="J44" s="417"/>
      <c r="K44" s="373"/>
      <c r="L44" s="358"/>
      <c r="M44" s="358"/>
      <c r="N44" s="358"/>
      <c r="O44" s="354"/>
      <c r="P44" s="354"/>
      <c r="Q44" s="354"/>
    </row>
    <row r="45" spans="1:17" x14ac:dyDescent="0.2">
      <c r="A45" s="359"/>
      <c r="B45" s="412"/>
      <c r="C45" s="455"/>
      <c r="D45" s="414"/>
      <c r="E45" s="414"/>
      <c r="F45" s="414"/>
      <c r="G45" s="414"/>
      <c r="H45" s="359"/>
      <c r="I45" s="416"/>
      <c r="J45" s="417"/>
      <c r="K45" s="373"/>
      <c r="L45" s="358"/>
      <c r="M45" s="358"/>
      <c r="N45" s="358"/>
      <c r="O45" s="354"/>
      <c r="P45" s="354"/>
      <c r="Q45" s="354"/>
    </row>
    <row r="46" spans="1:17" x14ac:dyDescent="0.2">
      <c r="A46" s="456" t="s">
        <v>415</v>
      </c>
      <c r="B46" s="356" t="s">
        <v>352</v>
      </c>
      <c r="C46" s="1591" t="s">
        <v>353</v>
      </c>
      <c r="D46" s="1591"/>
      <c r="E46" s="1591" t="s">
        <v>354</v>
      </c>
      <c r="F46" s="1591"/>
      <c r="G46" s="1591"/>
      <c r="H46" s="430"/>
      <c r="I46" s="359"/>
      <c r="J46" s="417"/>
      <c r="K46" s="373"/>
      <c r="L46" s="358"/>
      <c r="M46" s="358"/>
      <c r="N46" s="358"/>
      <c r="O46" s="354"/>
      <c r="P46" s="354"/>
      <c r="Q46" s="354"/>
    </row>
    <row r="47" spans="1:17" x14ac:dyDescent="0.2">
      <c r="A47" s="457"/>
      <c r="B47" s="412"/>
      <c r="C47" s="413"/>
      <c r="D47" s="412"/>
      <c r="E47" s="412"/>
      <c r="F47" s="412"/>
      <c r="G47" s="458"/>
      <c r="H47" s="430"/>
      <c r="I47" s="359"/>
      <c r="J47" s="417"/>
      <c r="K47" s="373"/>
      <c r="L47" s="358"/>
      <c r="M47" s="358"/>
      <c r="N47" s="358"/>
      <c r="O47" s="354"/>
      <c r="P47" s="354"/>
      <c r="Q47" s="354"/>
    </row>
    <row r="48" spans="1:17" x14ac:dyDescent="0.2">
      <c r="A48" s="459" t="s">
        <v>416</v>
      </c>
      <c r="B48" s="460"/>
      <c r="C48" s="460"/>
      <c r="D48" s="460"/>
      <c r="E48" s="1592" t="s">
        <v>417</v>
      </c>
      <c r="F48" s="1593"/>
      <c r="G48" s="1594"/>
      <c r="H48" s="362"/>
      <c r="I48" s="359"/>
      <c r="J48" s="417"/>
      <c r="K48" s="373"/>
      <c r="L48" s="358"/>
      <c r="M48" s="358"/>
      <c r="N48" s="358"/>
      <c r="O48" s="354"/>
      <c r="P48" s="354"/>
      <c r="Q48" s="354"/>
    </row>
    <row r="49" spans="1:17" x14ac:dyDescent="0.2">
      <c r="A49" s="374" t="s">
        <v>418</v>
      </c>
      <c r="B49" s="379" t="s">
        <v>419</v>
      </c>
      <c r="C49" s="366">
        <f>+VLOOKUP(B49,'[7]Resumen E.P'!A4:I242,9,0)</f>
        <v>1.2966666666666666</v>
      </c>
      <c r="D49" s="421" t="s">
        <v>420</v>
      </c>
      <c r="E49" s="421">
        <v>99</v>
      </c>
      <c r="F49" s="421" t="s">
        <v>363</v>
      </c>
      <c r="G49" s="375">
        <f>E49*C49</f>
        <v>128.37</v>
      </c>
      <c r="H49" s="370"/>
      <c r="I49" s="359"/>
      <c r="J49" s="417"/>
      <c r="K49" s="373"/>
      <c r="L49" s="358"/>
      <c r="M49" s="358"/>
      <c r="N49" s="358"/>
      <c r="O49" s="354"/>
      <c r="P49" s="354"/>
      <c r="Q49" s="354"/>
    </row>
    <row r="50" spans="1:17" x14ac:dyDescent="0.2">
      <c r="A50" s="378"/>
      <c r="B50" s="421" t="s">
        <v>421</v>
      </c>
      <c r="C50" s="366">
        <f>+VLOOKUP(B50,'[7]Resumen E.P'!A48:I243,9,0)</f>
        <v>2.2683333333333335</v>
      </c>
      <c r="D50" s="421" t="s">
        <v>420</v>
      </c>
      <c r="E50" s="421">
        <v>160</v>
      </c>
      <c r="F50" s="421" t="s">
        <v>363</v>
      </c>
      <c r="G50" s="375">
        <f>E50*C50</f>
        <v>362.93333333333339</v>
      </c>
      <c r="H50" s="370"/>
      <c r="I50" s="359"/>
      <c r="J50" s="417"/>
      <c r="K50" s="373"/>
      <c r="L50" s="358"/>
      <c r="M50" s="358"/>
      <c r="N50" s="358"/>
      <c r="O50" s="354"/>
      <c r="P50" s="354"/>
      <c r="Q50" s="354"/>
    </row>
    <row r="51" spans="1:17" x14ac:dyDescent="0.2">
      <c r="A51" s="378"/>
      <c r="B51" s="421" t="s">
        <v>422</v>
      </c>
      <c r="C51" s="366">
        <f>+VLOOKUP(B51,'[7]Resumen E.P'!A49:I244,9,0)</f>
        <v>3.2183333333333333</v>
      </c>
      <c r="D51" s="367" t="s">
        <v>420</v>
      </c>
      <c r="E51" s="421">
        <v>115</v>
      </c>
      <c r="F51" s="421" t="s">
        <v>363</v>
      </c>
      <c r="G51" s="375">
        <f>E51*C51</f>
        <v>370.10833333333335</v>
      </c>
      <c r="H51" s="370"/>
      <c r="I51" s="359"/>
      <c r="J51" s="417"/>
      <c r="K51" s="373"/>
      <c r="L51" s="358"/>
      <c r="M51" s="358"/>
      <c r="N51" s="358"/>
      <c r="O51" s="354"/>
      <c r="P51" s="354"/>
      <c r="Q51" s="354"/>
    </row>
    <row r="52" spans="1:17" x14ac:dyDescent="0.2">
      <c r="A52" s="378"/>
      <c r="B52" s="379" t="s">
        <v>423</v>
      </c>
      <c r="C52" s="366">
        <f>+VLOOKUP(B52,'[7]Resumen E.P'!A50:I245,9,0)</f>
        <v>3.1625000000000001</v>
      </c>
      <c r="D52" s="421" t="s">
        <v>420</v>
      </c>
      <c r="E52" s="421">
        <v>114</v>
      </c>
      <c r="F52" s="421" t="s">
        <v>363</v>
      </c>
      <c r="G52" s="375">
        <f t="shared" ref="G52:G57" si="0">E52*C52</f>
        <v>360.52500000000003</v>
      </c>
      <c r="H52" s="370"/>
      <c r="I52" s="359"/>
      <c r="J52" s="417"/>
      <c r="K52" s="373"/>
      <c r="L52" s="358"/>
      <c r="M52" s="358"/>
      <c r="N52" s="358"/>
      <c r="O52" s="354"/>
      <c r="P52" s="354"/>
      <c r="Q52" s="354"/>
    </row>
    <row r="53" spans="1:17" x14ac:dyDescent="0.2">
      <c r="A53" s="378"/>
      <c r="B53" s="421" t="s">
        <v>424</v>
      </c>
      <c r="C53" s="366">
        <f>+VLOOKUP(B53,'[7]Resumen E.P'!A51:I246,9,0)</f>
        <v>2.94875</v>
      </c>
      <c r="D53" s="421" t="s">
        <v>420</v>
      </c>
      <c r="E53" s="421">
        <v>132</v>
      </c>
      <c r="F53" s="421" t="s">
        <v>363</v>
      </c>
      <c r="G53" s="375">
        <f t="shared" si="0"/>
        <v>389.23500000000001</v>
      </c>
      <c r="H53" s="370"/>
      <c r="I53" s="359"/>
      <c r="J53" s="417"/>
      <c r="K53" s="373"/>
      <c r="L53" s="358"/>
      <c r="M53" s="358"/>
      <c r="N53" s="358"/>
      <c r="O53" s="354"/>
      <c r="P53" s="354"/>
      <c r="Q53" s="354"/>
    </row>
    <row r="54" spans="1:17" x14ac:dyDescent="0.2">
      <c r="A54" s="378"/>
      <c r="B54" s="379" t="s">
        <v>425</v>
      </c>
      <c r="C54" s="366">
        <f>+VLOOKUP(B54,'[7]Resumen E.P'!A52:I247,9,0)</f>
        <v>2.4079999999999999</v>
      </c>
      <c r="D54" s="421" t="s">
        <v>420</v>
      </c>
      <c r="E54" s="421">
        <v>132</v>
      </c>
      <c r="F54" s="421" t="s">
        <v>363</v>
      </c>
      <c r="G54" s="375">
        <f t="shared" si="0"/>
        <v>317.85599999999999</v>
      </c>
      <c r="H54" s="370"/>
      <c r="I54" s="359"/>
      <c r="J54" s="417"/>
      <c r="K54" s="373"/>
      <c r="L54" s="358"/>
      <c r="M54" s="358"/>
      <c r="N54" s="358"/>
      <c r="O54" s="354"/>
      <c r="P54" s="354"/>
      <c r="Q54" s="354"/>
    </row>
    <row r="55" spans="1:17" x14ac:dyDescent="0.2">
      <c r="A55" s="378"/>
      <c r="B55" s="421" t="s">
        <v>426</v>
      </c>
      <c r="C55" s="366">
        <f>+VLOOKUP(B55,'[7]Resumen E.P'!A53:I248,9,0)</f>
        <v>3.8532500000000001</v>
      </c>
      <c r="D55" s="421" t="s">
        <v>420</v>
      </c>
      <c r="E55" s="421">
        <v>83</v>
      </c>
      <c r="F55" s="421" t="s">
        <v>363</v>
      </c>
      <c r="G55" s="375">
        <f t="shared" si="0"/>
        <v>319.81975</v>
      </c>
      <c r="H55" s="370"/>
      <c r="I55" s="359"/>
      <c r="J55" s="417"/>
      <c r="K55" s="373"/>
      <c r="L55" s="358"/>
      <c r="M55" s="358"/>
      <c r="N55" s="358"/>
      <c r="O55" s="354"/>
      <c r="P55" s="354"/>
      <c r="Q55" s="354"/>
    </row>
    <row r="56" spans="1:17" x14ac:dyDescent="0.2">
      <c r="A56" s="378"/>
      <c r="B56" s="421" t="s">
        <v>427</v>
      </c>
      <c r="C56" s="366">
        <f>+VLOOKUP(B56,'[7]Resumen E.P'!A54:I249,9,0)</f>
        <v>1.9450000000000001</v>
      </c>
      <c r="D56" s="367" t="s">
        <v>420</v>
      </c>
      <c r="E56" s="421">
        <v>153</v>
      </c>
      <c r="F56" s="421" t="s">
        <v>363</v>
      </c>
      <c r="G56" s="375">
        <f t="shared" si="0"/>
        <v>297.58500000000004</v>
      </c>
      <c r="H56" s="370"/>
      <c r="I56" s="359"/>
      <c r="J56" s="417"/>
      <c r="K56" s="373"/>
      <c r="L56" s="358"/>
      <c r="M56" s="358"/>
      <c r="N56" s="358"/>
      <c r="O56" s="354"/>
      <c r="P56" s="354"/>
      <c r="Q56" s="354"/>
    </row>
    <row r="57" spans="1:17" x14ac:dyDescent="0.2">
      <c r="A57" s="378"/>
      <c r="B57" s="379" t="s">
        <v>428</v>
      </c>
      <c r="C57" s="366">
        <f>+VLOOKUP(B57,'[7]Resumen E.P'!A55:I250,9,0)</f>
        <v>3.46</v>
      </c>
      <c r="D57" s="421" t="s">
        <v>420</v>
      </c>
      <c r="E57" s="421">
        <v>160</v>
      </c>
      <c r="F57" s="421" t="s">
        <v>363</v>
      </c>
      <c r="G57" s="375">
        <f t="shared" si="0"/>
        <v>553.6</v>
      </c>
      <c r="H57" s="370"/>
      <c r="I57" s="359"/>
      <c r="J57" s="417"/>
      <c r="K57" s="373"/>
      <c r="L57" s="358"/>
      <c r="M57" s="358"/>
      <c r="N57" s="358"/>
      <c r="O57" s="354"/>
      <c r="P57" s="354"/>
      <c r="Q57" s="354"/>
    </row>
    <row r="58" spans="1:17" x14ac:dyDescent="0.2">
      <c r="A58" s="380"/>
      <c r="B58" s="381"/>
      <c r="C58" s="461"/>
      <c r="D58" s="462"/>
      <c r="E58" s="463"/>
      <c r="F58" s="462"/>
      <c r="G58" s="385">
        <f>SUM(G49:G57)/9</f>
        <v>344.4480462962963</v>
      </c>
      <c r="H58" s="441" t="s">
        <v>23</v>
      </c>
      <c r="I58" s="359"/>
      <c r="J58" s="417"/>
      <c r="K58" s="373"/>
      <c r="L58" s="358"/>
      <c r="M58" s="358"/>
      <c r="N58" s="358"/>
      <c r="O58" s="354"/>
      <c r="P58" s="354"/>
      <c r="Q58" s="354"/>
    </row>
    <row r="59" spans="1:17" x14ac:dyDescent="0.2">
      <c r="A59" s="378"/>
      <c r="B59" s="387"/>
      <c r="C59" s="426"/>
      <c r="D59" s="387"/>
      <c r="E59" s="387"/>
      <c r="F59" s="387"/>
      <c r="G59" s="464"/>
      <c r="H59" s="465"/>
      <c r="I59" s="359"/>
      <c r="J59" s="417"/>
      <c r="K59" s="373"/>
      <c r="L59" s="358"/>
      <c r="M59" s="358"/>
      <c r="N59" s="358"/>
      <c r="O59" s="354"/>
      <c r="P59" s="354"/>
      <c r="Q59" s="354"/>
    </row>
    <row r="60" spans="1:17" x14ac:dyDescent="0.2">
      <c r="A60" s="364" t="s">
        <v>360</v>
      </c>
      <c r="B60" s="379" t="str">
        <f>+'[7] E.PRECIOS'!A25</f>
        <v>Azúcar</v>
      </c>
      <c r="C60" s="409">
        <f>+VLOOKUP(B60,'[7]Resumen E.P'!$A$4:$I$226,9,0)</f>
        <v>2.2658333333333331</v>
      </c>
      <c r="D60" s="452" t="s">
        <v>362</v>
      </c>
      <c r="E60" s="466">
        <v>23</v>
      </c>
      <c r="F60" s="454" t="s">
        <v>363</v>
      </c>
      <c r="G60" s="467">
        <f>E60*C60</f>
        <v>52.114166666666662</v>
      </c>
      <c r="H60" s="424"/>
      <c r="I60" s="359"/>
      <c r="J60" s="417"/>
      <c r="K60" s="373"/>
      <c r="L60" s="358"/>
      <c r="M60" s="358"/>
      <c r="N60" s="358"/>
      <c r="O60" s="354"/>
      <c r="P60" s="354"/>
      <c r="Q60" s="354"/>
    </row>
    <row r="61" spans="1:17" x14ac:dyDescent="0.2">
      <c r="A61" s="457"/>
      <c r="B61" s="412"/>
      <c r="C61" s="413"/>
      <c r="D61" s="412"/>
      <c r="E61" s="412"/>
      <c r="F61" s="412"/>
      <c r="G61" s="458"/>
      <c r="H61" s="430"/>
      <c r="I61" s="359"/>
      <c r="J61" s="417"/>
      <c r="K61" s="373"/>
      <c r="L61" s="358"/>
      <c r="M61" s="358"/>
      <c r="N61" s="358"/>
      <c r="O61" s="354"/>
      <c r="P61" s="354"/>
      <c r="Q61" s="354"/>
    </row>
    <row r="62" spans="1:17" x14ac:dyDescent="0.2">
      <c r="A62" s="431" t="s">
        <v>429</v>
      </c>
      <c r="B62" s="379" t="s">
        <v>376</v>
      </c>
      <c r="C62" s="366">
        <f>+VLOOKUP(B62,'[7]Resumen E.P'!$A$4:$I$226,9,0)</f>
        <v>10.817307692307692</v>
      </c>
      <c r="D62" s="367" t="s">
        <v>430</v>
      </c>
      <c r="E62" s="368">
        <v>3</v>
      </c>
      <c r="F62" s="367" t="s">
        <v>378</v>
      </c>
      <c r="G62" s="393">
        <f>E62*C62</f>
        <v>32.451923076923073</v>
      </c>
      <c r="H62" s="468"/>
      <c r="I62" s="359"/>
      <c r="J62" s="391"/>
      <c r="K62" s="373"/>
      <c r="L62" s="358"/>
      <c r="M62" s="358"/>
      <c r="N62" s="358"/>
      <c r="O62" s="354"/>
      <c r="P62" s="354"/>
      <c r="Q62" s="354"/>
    </row>
    <row r="63" spans="1:17" x14ac:dyDescent="0.2">
      <c r="A63" s="433" t="s">
        <v>431</v>
      </c>
      <c r="B63" s="379" t="s">
        <v>380</v>
      </c>
      <c r="C63" s="366">
        <f>+VLOOKUP(B63,'[7]Resumen E.P'!$A$4:$I$226,9,0)</f>
        <v>11.034722222222221</v>
      </c>
      <c r="D63" s="367" t="s">
        <v>432</v>
      </c>
      <c r="E63" s="368">
        <v>3</v>
      </c>
      <c r="F63" s="367" t="s">
        <v>378</v>
      </c>
      <c r="G63" s="393">
        <f t="shared" ref="G63:G74" si="1">E63*C63</f>
        <v>33.104166666666664</v>
      </c>
      <c r="H63" s="469"/>
      <c r="I63" s="359"/>
      <c r="J63" s="397"/>
      <c r="K63" s="373"/>
      <c r="L63" s="358"/>
      <c r="M63" s="358"/>
      <c r="N63" s="358"/>
      <c r="O63" s="354"/>
      <c r="P63" s="354"/>
      <c r="Q63" s="354"/>
    </row>
    <row r="64" spans="1:17" x14ac:dyDescent="0.2">
      <c r="A64" s="378" t="s">
        <v>433</v>
      </c>
      <c r="B64" s="421" t="s">
        <v>382</v>
      </c>
      <c r="C64" s="366">
        <f>+VLOOKUP(B64,'[7]Resumen E.P'!$A$4:$I$226,9,0)</f>
        <v>5.3680792124542123</v>
      </c>
      <c r="D64" s="367" t="s">
        <v>383</v>
      </c>
      <c r="E64" s="368">
        <v>1</v>
      </c>
      <c r="F64" s="367" t="s">
        <v>384</v>
      </c>
      <c r="G64" s="393">
        <f t="shared" si="1"/>
        <v>5.3680792124542123</v>
      </c>
      <c r="H64" s="469"/>
      <c r="I64" s="359"/>
      <c r="J64" s="417"/>
      <c r="K64" s="373"/>
      <c r="L64" s="358"/>
      <c r="M64" s="358"/>
      <c r="N64" s="358"/>
      <c r="O64" s="354"/>
      <c r="P64" s="354"/>
      <c r="Q64" s="354"/>
    </row>
    <row r="65" spans="1:18" x14ac:dyDescent="0.2">
      <c r="A65" s="470"/>
      <c r="B65" s="421" t="s">
        <v>385</v>
      </c>
      <c r="C65" s="366">
        <f>+VLOOKUP(B65,'[7]Resumen E.P'!$A$4:$I$226,9,0)</f>
        <v>13.292857142857143</v>
      </c>
      <c r="D65" s="367" t="s">
        <v>386</v>
      </c>
      <c r="E65" s="368">
        <v>1</v>
      </c>
      <c r="F65" s="367" t="s">
        <v>386</v>
      </c>
      <c r="G65" s="393">
        <f t="shared" si="1"/>
        <v>13.292857142857143</v>
      </c>
      <c r="H65" s="469"/>
      <c r="I65" s="359"/>
      <c r="J65" s="417"/>
      <c r="K65" s="373"/>
      <c r="L65" s="358"/>
      <c r="M65" s="358"/>
      <c r="N65" s="358"/>
      <c r="O65" s="354"/>
      <c r="P65" s="354"/>
      <c r="Q65" s="354"/>
    </row>
    <row r="66" spans="1:18" x14ac:dyDescent="0.2">
      <c r="A66" s="470"/>
      <c r="B66" s="421" t="s">
        <v>387</v>
      </c>
      <c r="C66" s="366">
        <f>+VLOOKUP(B66,'[7]Resumen E.P'!$A$4:$I$226,9,0)</f>
        <v>10.048830409356727</v>
      </c>
      <c r="D66" s="367" t="s">
        <v>388</v>
      </c>
      <c r="E66" s="368">
        <v>2</v>
      </c>
      <c r="F66" s="367" t="s">
        <v>388</v>
      </c>
      <c r="G66" s="393">
        <f t="shared" si="1"/>
        <v>20.097660818713454</v>
      </c>
      <c r="H66" s="469"/>
      <c r="I66" s="359"/>
      <c r="J66" s="417"/>
      <c r="K66" s="373"/>
      <c r="L66" s="358"/>
      <c r="M66" s="358"/>
      <c r="N66" s="358"/>
      <c r="O66" s="354"/>
      <c r="P66" s="354"/>
      <c r="Q66" s="354"/>
    </row>
    <row r="67" spans="1:18" x14ac:dyDescent="0.2">
      <c r="A67" s="470"/>
      <c r="B67" s="379" t="s">
        <v>389</v>
      </c>
      <c r="C67" s="366">
        <f>+VLOOKUP(B67,'[7]Resumen E.P'!$A$4:$I$226,9,0)</f>
        <v>15.787071078431373</v>
      </c>
      <c r="D67" s="367" t="s">
        <v>388</v>
      </c>
      <c r="E67" s="368">
        <v>2</v>
      </c>
      <c r="F67" s="367" t="s">
        <v>388</v>
      </c>
      <c r="G67" s="393">
        <f t="shared" si="1"/>
        <v>31.574142156862745</v>
      </c>
      <c r="H67" s="469"/>
      <c r="I67" s="359"/>
      <c r="J67" s="397"/>
      <c r="K67" s="373"/>
      <c r="L67" s="358"/>
      <c r="M67" s="358"/>
      <c r="N67" s="358"/>
      <c r="O67" s="354"/>
      <c r="P67" s="354"/>
      <c r="Q67" s="354"/>
    </row>
    <row r="68" spans="1:18" x14ac:dyDescent="0.2">
      <c r="A68" s="470"/>
      <c r="B68" s="379" t="s">
        <v>434</v>
      </c>
      <c r="C68" s="366">
        <f>+VLOOKUP(B68,'[7]Resumen E.P'!$A$4:$I$226,9,0)</f>
        <v>12.667782112845137</v>
      </c>
      <c r="D68" s="421" t="s">
        <v>435</v>
      </c>
      <c r="E68" s="368">
        <v>1</v>
      </c>
      <c r="F68" s="421" t="s">
        <v>435</v>
      </c>
      <c r="G68" s="393">
        <f t="shared" si="1"/>
        <v>12.667782112845137</v>
      </c>
      <c r="H68" s="469"/>
      <c r="I68" s="359"/>
      <c r="J68" s="417"/>
      <c r="K68" s="373"/>
      <c r="L68" s="358"/>
      <c r="M68" s="358"/>
      <c r="N68" s="358"/>
      <c r="O68" s="354"/>
      <c r="P68" s="354"/>
      <c r="Q68" s="354"/>
    </row>
    <row r="69" spans="1:18" x14ac:dyDescent="0.2">
      <c r="A69" s="470"/>
      <c r="B69" s="421" t="s">
        <v>436</v>
      </c>
      <c r="C69" s="366">
        <f>+VLOOKUP(B69,'[7]Resumen E.P'!A67:I262,9,0)</f>
        <v>441</v>
      </c>
      <c r="D69" s="421" t="s">
        <v>437</v>
      </c>
      <c r="E69" s="368">
        <v>1</v>
      </c>
      <c r="F69" s="421" t="s">
        <v>437</v>
      </c>
      <c r="G69" s="393">
        <f t="shared" si="1"/>
        <v>441</v>
      </c>
      <c r="H69" s="469"/>
      <c r="I69" s="359"/>
      <c r="J69" s="417"/>
      <c r="K69" s="373"/>
      <c r="L69" s="358"/>
      <c r="M69" s="358"/>
      <c r="N69" s="358"/>
      <c r="O69" s="354"/>
      <c r="P69" s="354"/>
      <c r="Q69" s="354"/>
    </row>
    <row r="70" spans="1:18" x14ac:dyDescent="0.2">
      <c r="A70" s="470"/>
      <c r="B70" s="379" t="s">
        <v>438</v>
      </c>
      <c r="C70" s="366">
        <f>+VLOOKUP(B70,'[7]Resumen E.P'!$A$4:$I$226,9,0)</f>
        <v>577.29166666666663</v>
      </c>
      <c r="D70" s="421" t="s">
        <v>437</v>
      </c>
      <c r="E70" s="368">
        <v>1</v>
      </c>
      <c r="F70" s="421" t="s">
        <v>437</v>
      </c>
      <c r="G70" s="393">
        <f t="shared" si="1"/>
        <v>577.29166666666663</v>
      </c>
      <c r="H70" s="469"/>
      <c r="I70" s="359"/>
      <c r="J70" s="417"/>
      <c r="K70" s="373"/>
      <c r="L70" s="358"/>
      <c r="M70" s="358"/>
      <c r="N70" s="358"/>
      <c r="O70" s="354"/>
      <c r="P70" s="354"/>
      <c r="Q70" s="354"/>
    </row>
    <row r="71" spans="1:18" x14ac:dyDescent="0.2">
      <c r="A71" s="470"/>
      <c r="B71" s="421" t="s">
        <v>439</v>
      </c>
      <c r="C71" s="366">
        <f>+VLOOKUP(B71,'[7]Resumen E.P'!$A$4:$I$226,9,0)</f>
        <v>2320</v>
      </c>
      <c r="D71" s="421" t="s">
        <v>437</v>
      </c>
      <c r="E71" s="368">
        <v>1</v>
      </c>
      <c r="F71" s="421" t="s">
        <v>437</v>
      </c>
      <c r="G71" s="393">
        <f t="shared" si="1"/>
        <v>2320</v>
      </c>
      <c r="H71" s="469"/>
      <c r="I71" s="359"/>
      <c r="J71" s="417"/>
      <c r="K71" s="373"/>
      <c r="L71" s="358"/>
      <c r="M71" s="358"/>
      <c r="N71" s="358"/>
      <c r="O71" s="354"/>
      <c r="P71" s="354"/>
      <c r="Q71" s="354"/>
    </row>
    <row r="72" spans="1:18" x14ac:dyDescent="0.2">
      <c r="A72" s="470"/>
      <c r="B72" s="379" t="s">
        <v>438</v>
      </c>
      <c r="C72" s="366">
        <f>+VLOOKUP(B72,'[7]Resumen E.P'!$A$4:$I$226,9,0)</f>
        <v>577.29166666666663</v>
      </c>
      <c r="D72" s="421" t="s">
        <v>437</v>
      </c>
      <c r="E72" s="368">
        <v>1</v>
      </c>
      <c r="F72" s="421" t="s">
        <v>437</v>
      </c>
      <c r="G72" s="393">
        <f t="shared" si="1"/>
        <v>577.29166666666663</v>
      </c>
      <c r="H72" s="469"/>
      <c r="I72" s="359"/>
      <c r="J72" s="417"/>
      <c r="K72" s="373"/>
      <c r="L72" s="358"/>
      <c r="M72" s="358"/>
      <c r="N72" s="358"/>
      <c r="O72" s="354"/>
      <c r="P72" s="354"/>
      <c r="Q72" s="354"/>
    </row>
    <row r="73" spans="1:18" ht="12.75" x14ac:dyDescent="0.2">
      <c r="A73" s="470"/>
      <c r="B73" s="471" t="s">
        <v>440</v>
      </c>
      <c r="C73" s="366">
        <f>+VLOOKUP(B73,'[7]Resumen E.P'!$A$4:$I$226,9,0)</f>
        <v>8.8416666666666668</v>
      </c>
      <c r="D73" s="421" t="s">
        <v>437</v>
      </c>
      <c r="E73" s="368">
        <v>1</v>
      </c>
      <c r="F73" s="421" t="s">
        <v>437</v>
      </c>
      <c r="G73" s="393">
        <f t="shared" si="1"/>
        <v>8.8416666666666668</v>
      </c>
      <c r="H73" s="469"/>
      <c r="I73" s="359"/>
      <c r="J73" s="417"/>
      <c r="K73" s="373"/>
      <c r="L73" s="358"/>
      <c r="M73" s="358"/>
      <c r="N73" s="358"/>
      <c r="O73" s="354"/>
      <c r="P73" s="354"/>
      <c r="Q73" s="354"/>
    </row>
    <row r="74" spans="1:18" x14ac:dyDescent="0.2">
      <c r="A74" s="470"/>
      <c r="B74" s="421" t="s">
        <v>441</v>
      </c>
      <c r="C74" s="366">
        <f>+VLOOKUP(B74,'[7]Resumen E.P'!A72:I267,9,0)</f>
        <v>704</v>
      </c>
      <c r="D74" s="421" t="s">
        <v>437</v>
      </c>
      <c r="E74" s="368">
        <v>1</v>
      </c>
      <c r="F74" s="421" t="s">
        <v>437</v>
      </c>
      <c r="G74" s="393">
        <f t="shared" si="1"/>
        <v>704</v>
      </c>
      <c r="H74" s="469"/>
      <c r="I74" s="359"/>
      <c r="J74" s="417"/>
      <c r="K74" s="373"/>
      <c r="L74" s="358"/>
      <c r="M74" s="358"/>
      <c r="N74" s="358"/>
      <c r="O74" s="354"/>
      <c r="P74" s="354"/>
      <c r="Q74" s="354"/>
    </row>
    <row r="75" spans="1:18" x14ac:dyDescent="0.2">
      <c r="A75" s="472"/>
      <c r="B75" s="473"/>
      <c r="C75" s="474"/>
      <c r="D75" s="475"/>
      <c r="E75" s="476"/>
      <c r="F75" s="477"/>
      <c r="G75" s="403">
        <f>SUM(G62:G74)/13</f>
        <v>367.46012393748634</v>
      </c>
      <c r="H75" s="441" t="s">
        <v>23</v>
      </c>
      <c r="I75" s="359"/>
      <c r="J75" s="417"/>
      <c r="K75" s="373"/>
      <c r="L75" s="358"/>
      <c r="M75" s="358"/>
      <c r="N75" s="358"/>
      <c r="O75" s="354"/>
      <c r="P75" s="354"/>
      <c r="Q75" s="354"/>
    </row>
    <row r="76" spans="1:18" x14ac:dyDescent="0.2">
      <c r="A76" s="377"/>
      <c r="B76" s="387"/>
      <c r="C76" s="388"/>
      <c r="D76" s="389"/>
      <c r="E76" s="389"/>
      <c r="F76" s="389"/>
      <c r="G76" s="458"/>
      <c r="H76" s="363"/>
      <c r="I76" s="416"/>
      <c r="J76" s="417"/>
      <c r="K76" s="373"/>
      <c r="L76" s="358"/>
      <c r="M76" s="358"/>
      <c r="N76" s="358"/>
      <c r="O76" s="354"/>
      <c r="P76" s="354"/>
      <c r="Q76" s="354"/>
    </row>
    <row r="77" spans="1:18" x14ac:dyDescent="0.2">
      <c r="A77" s="359"/>
      <c r="B77" s="412"/>
      <c r="C77" s="455"/>
      <c r="D77" s="414"/>
      <c r="E77" s="414"/>
      <c r="F77" s="414"/>
      <c r="G77" s="414"/>
      <c r="H77" s="359"/>
      <c r="I77" s="416"/>
      <c r="J77" s="417"/>
      <c r="K77" s="373"/>
      <c r="L77" s="358"/>
      <c r="M77" s="358"/>
      <c r="N77" s="358"/>
      <c r="O77" s="354"/>
      <c r="P77" s="354"/>
      <c r="Q77" s="354"/>
    </row>
    <row r="78" spans="1:18" ht="24" x14ac:dyDescent="0.2">
      <c r="A78" s="456" t="s">
        <v>442</v>
      </c>
      <c r="B78" s="356" t="s">
        <v>352</v>
      </c>
      <c r="C78" s="1591" t="s">
        <v>353</v>
      </c>
      <c r="D78" s="1591"/>
      <c r="E78" s="1591" t="s">
        <v>354</v>
      </c>
      <c r="F78" s="1591"/>
      <c r="G78" s="1591"/>
      <c r="H78" s="1595"/>
      <c r="I78" s="1595"/>
      <c r="J78" s="1596"/>
      <c r="K78" s="478"/>
      <c r="L78" s="1597"/>
      <c r="M78" s="1597"/>
      <c r="N78" s="1598"/>
      <c r="O78" s="1599"/>
      <c r="P78" s="1599"/>
      <c r="Q78" s="1600"/>
      <c r="R78" s="445"/>
    </row>
    <row r="79" spans="1:18" x14ac:dyDescent="0.2">
      <c r="A79" s="377"/>
      <c r="B79" s="387"/>
      <c r="C79" s="388"/>
      <c r="D79" s="389"/>
      <c r="E79" s="426"/>
      <c r="F79" s="389"/>
      <c r="G79" s="406"/>
      <c r="H79" s="407"/>
      <c r="I79" s="371"/>
      <c r="J79" s="372"/>
      <c r="K79" s="373"/>
      <c r="L79" s="358"/>
      <c r="M79" s="358"/>
      <c r="N79" s="358"/>
      <c r="O79" s="354"/>
      <c r="P79" s="354"/>
      <c r="Q79" s="354"/>
    </row>
    <row r="80" spans="1:18" x14ac:dyDescent="0.2">
      <c r="A80" s="459" t="s">
        <v>416</v>
      </c>
      <c r="B80" s="460"/>
      <c r="C80" s="460"/>
      <c r="D80" s="460"/>
      <c r="E80" s="1592" t="s">
        <v>417</v>
      </c>
      <c r="F80" s="1593"/>
      <c r="G80" s="1594"/>
      <c r="H80" s="362"/>
      <c r="I80" s="371"/>
      <c r="J80" s="372"/>
      <c r="K80" s="373"/>
      <c r="L80" s="358"/>
      <c r="M80" s="358"/>
      <c r="N80" s="358"/>
      <c r="O80" s="354"/>
      <c r="P80" s="354"/>
      <c r="Q80" s="354"/>
    </row>
    <row r="81" spans="1:17" x14ac:dyDescent="0.2">
      <c r="A81" s="374" t="s">
        <v>418</v>
      </c>
      <c r="B81" s="379" t="s">
        <v>419</v>
      </c>
      <c r="C81" s="366">
        <f>+VLOOKUP(B81,'[7]Resumen E.P'!$A$4:$I$226,9,0)</f>
        <v>1.2966666666666666</v>
      </c>
      <c r="D81" s="421" t="s">
        <v>420</v>
      </c>
      <c r="E81" s="421">
        <v>99</v>
      </c>
      <c r="F81" s="421" t="s">
        <v>363</v>
      </c>
      <c r="G81" s="375">
        <f>E81*C81</f>
        <v>128.37</v>
      </c>
      <c r="H81" s="370"/>
      <c r="I81" s="371"/>
      <c r="J81" s="372"/>
      <c r="K81" s="373"/>
      <c r="L81" s="358"/>
      <c r="M81" s="358"/>
      <c r="N81" s="358"/>
      <c r="O81" s="354"/>
      <c r="P81" s="354"/>
      <c r="Q81" s="354"/>
    </row>
    <row r="82" spans="1:17" x14ac:dyDescent="0.2">
      <c r="A82" s="378"/>
      <c r="B82" s="421" t="s">
        <v>421</v>
      </c>
      <c r="C82" s="366">
        <f>+VLOOKUP(B82,'[7]Resumen E.P'!$A$4:$I$226,9,0)</f>
        <v>2.2683333333333335</v>
      </c>
      <c r="D82" s="421" t="s">
        <v>420</v>
      </c>
      <c r="E82" s="421">
        <v>160</v>
      </c>
      <c r="F82" s="421" t="s">
        <v>363</v>
      </c>
      <c r="G82" s="375">
        <f t="shared" ref="G82:G89" si="2">E82*C82</f>
        <v>362.93333333333339</v>
      </c>
      <c r="H82" s="370"/>
      <c r="I82" s="371"/>
      <c r="J82" s="372"/>
      <c r="K82" s="373"/>
      <c r="L82" s="358"/>
      <c r="M82" s="358"/>
      <c r="N82" s="358"/>
      <c r="O82" s="354"/>
      <c r="P82" s="354"/>
      <c r="Q82" s="354"/>
    </row>
    <row r="83" spans="1:17" x14ac:dyDescent="0.2">
      <c r="A83" s="378"/>
      <c r="B83" s="421" t="s">
        <v>422</v>
      </c>
      <c r="C83" s="366">
        <f>+VLOOKUP(B83,'[7]Resumen E.P'!A81:I276,9,0)</f>
        <v>3.2183333333333333</v>
      </c>
      <c r="D83" s="367" t="s">
        <v>420</v>
      </c>
      <c r="E83" s="421">
        <v>115</v>
      </c>
      <c r="F83" s="421" t="s">
        <v>363</v>
      </c>
      <c r="G83" s="375">
        <f t="shared" si="2"/>
        <v>370.10833333333335</v>
      </c>
      <c r="H83" s="370"/>
      <c r="I83" s="371"/>
      <c r="J83" s="372"/>
      <c r="K83" s="373"/>
      <c r="L83" s="358"/>
      <c r="M83" s="358"/>
      <c r="N83" s="358"/>
      <c r="O83" s="354"/>
      <c r="P83" s="354"/>
      <c r="Q83" s="354"/>
    </row>
    <row r="84" spans="1:17" x14ac:dyDescent="0.2">
      <c r="A84" s="378"/>
      <c r="B84" s="379" t="s">
        <v>423</v>
      </c>
      <c r="C84" s="366">
        <f>+VLOOKUP(B84,'[7]Resumen E.P'!$A$4:$I$226,9,0)</f>
        <v>3.1625000000000001</v>
      </c>
      <c r="D84" s="421" t="s">
        <v>420</v>
      </c>
      <c r="E84" s="421">
        <v>114</v>
      </c>
      <c r="F84" s="421" t="s">
        <v>363</v>
      </c>
      <c r="G84" s="375">
        <f t="shared" si="2"/>
        <v>360.52500000000003</v>
      </c>
      <c r="H84" s="370"/>
      <c r="I84" s="371"/>
      <c r="J84" s="372"/>
      <c r="K84" s="373"/>
      <c r="L84" s="358"/>
      <c r="M84" s="358"/>
      <c r="N84" s="358"/>
      <c r="O84" s="354"/>
      <c r="P84" s="354"/>
      <c r="Q84" s="354"/>
    </row>
    <row r="85" spans="1:17" x14ac:dyDescent="0.2">
      <c r="A85" s="378"/>
      <c r="B85" s="421" t="s">
        <v>424</v>
      </c>
      <c r="C85" s="366">
        <f>+VLOOKUP(B85,'[7]Resumen E.P'!A83:I278,9,0)</f>
        <v>2.94875</v>
      </c>
      <c r="D85" s="421" t="s">
        <v>420</v>
      </c>
      <c r="E85" s="421">
        <v>132</v>
      </c>
      <c r="F85" s="421" t="s">
        <v>363</v>
      </c>
      <c r="G85" s="375">
        <f t="shared" si="2"/>
        <v>389.23500000000001</v>
      </c>
      <c r="H85" s="370"/>
      <c r="I85" s="371"/>
      <c r="J85" s="372"/>
      <c r="K85" s="373"/>
      <c r="L85" s="358"/>
      <c r="M85" s="358"/>
      <c r="N85" s="358"/>
      <c r="O85" s="354"/>
      <c r="P85" s="354"/>
      <c r="Q85" s="354"/>
    </row>
    <row r="86" spans="1:17" x14ac:dyDescent="0.2">
      <c r="A86" s="378"/>
      <c r="B86" s="379" t="s">
        <v>425</v>
      </c>
      <c r="C86" s="366">
        <f>+VLOOKUP(B86,'[7]Resumen E.P'!$A$4:$I$226,9,0)</f>
        <v>2.4079999999999999</v>
      </c>
      <c r="D86" s="421" t="s">
        <v>420</v>
      </c>
      <c r="E86" s="421">
        <v>132</v>
      </c>
      <c r="F86" s="421" t="s">
        <v>363</v>
      </c>
      <c r="G86" s="375">
        <f t="shared" si="2"/>
        <v>317.85599999999999</v>
      </c>
      <c r="H86" s="370"/>
      <c r="I86" s="371"/>
      <c r="J86" s="372"/>
      <c r="K86" s="373"/>
      <c r="L86" s="358"/>
      <c r="M86" s="358"/>
      <c r="N86" s="358"/>
      <c r="O86" s="354"/>
      <c r="P86" s="354"/>
      <c r="Q86" s="354"/>
    </row>
    <row r="87" spans="1:17" x14ac:dyDescent="0.2">
      <c r="A87" s="378"/>
      <c r="B87" s="421" t="s">
        <v>426</v>
      </c>
      <c r="C87" s="366">
        <f>+VLOOKUP(B87,'[7]Resumen E.P'!A85:I280,9,0)</f>
        <v>3.8532500000000001</v>
      </c>
      <c r="D87" s="421" t="s">
        <v>420</v>
      </c>
      <c r="E87" s="421">
        <v>83</v>
      </c>
      <c r="F87" s="421" t="s">
        <v>363</v>
      </c>
      <c r="G87" s="375">
        <f t="shared" si="2"/>
        <v>319.81975</v>
      </c>
      <c r="H87" s="370"/>
      <c r="I87" s="371"/>
      <c r="J87" s="372"/>
      <c r="K87" s="373"/>
      <c r="L87" s="358"/>
      <c r="M87" s="358"/>
      <c r="N87" s="358"/>
      <c r="O87" s="354"/>
      <c r="P87" s="354"/>
      <c r="Q87" s="354"/>
    </row>
    <row r="88" spans="1:17" x14ac:dyDescent="0.2">
      <c r="A88" s="378"/>
      <c r="B88" s="421" t="s">
        <v>427</v>
      </c>
      <c r="C88" s="366">
        <f>+VLOOKUP(B88,'[7]Resumen E.P'!A86:I281,9,0)</f>
        <v>1.9450000000000001</v>
      </c>
      <c r="D88" s="367" t="s">
        <v>420</v>
      </c>
      <c r="E88" s="421">
        <v>153</v>
      </c>
      <c r="F88" s="421" t="s">
        <v>363</v>
      </c>
      <c r="G88" s="375">
        <f t="shared" si="2"/>
        <v>297.58500000000004</v>
      </c>
      <c r="H88" s="370"/>
      <c r="I88" s="371"/>
      <c r="J88" s="372"/>
      <c r="K88" s="373"/>
      <c r="L88" s="358"/>
      <c r="M88" s="358"/>
      <c r="N88" s="358"/>
      <c r="O88" s="354"/>
      <c r="P88" s="354"/>
      <c r="Q88" s="354"/>
    </row>
    <row r="89" spans="1:17" x14ac:dyDescent="0.2">
      <c r="A89" s="378"/>
      <c r="B89" s="379" t="s">
        <v>428</v>
      </c>
      <c r="C89" s="366">
        <f>+VLOOKUP(B89,'[7]Resumen E.P'!$A$4:$I$226,9,0)</f>
        <v>3.46</v>
      </c>
      <c r="D89" s="421" t="s">
        <v>420</v>
      </c>
      <c r="E89" s="421">
        <v>160</v>
      </c>
      <c r="F89" s="421" t="s">
        <v>363</v>
      </c>
      <c r="G89" s="375">
        <f t="shared" si="2"/>
        <v>553.6</v>
      </c>
      <c r="H89" s="370"/>
      <c r="I89" s="371"/>
      <c r="J89" s="372"/>
      <c r="K89" s="373"/>
      <c r="L89" s="358"/>
      <c r="M89" s="358"/>
      <c r="N89" s="358"/>
      <c r="O89" s="354"/>
      <c r="P89" s="354"/>
      <c r="Q89" s="354"/>
    </row>
    <row r="90" spans="1:17" x14ac:dyDescent="0.2">
      <c r="A90" s="380"/>
      <c r="B90" s="381"/>
      <c r="C90" s="461"/>
      <c r="D90" s="462"/>
      <c r="E90" s="463"/>
      <c r="F90" s="462"/>
      <c r="G90" s="385">
        <f>SUM(G81:G89)/9</f>
        <v>344.4480462962963</v>
      </c>
      <c r="H90" s="441" t="s">
        <v>23</v>
      </c>
      <c r="I90" s="371"/>
      <c r="J90" s="372"/>
      <c r="K90" s="373"/>
      <c r="L90" s="358"/>
      <c r="M90" s="358"/>
      <c r="N90" s="358"/>
      <c r="O90" s="354"/>
      <c r="P90" s="354"/>
      <c r="Q90" s="354"/>
    </row>
    <row r="91" spans="1:17" x14ac:dyDescent="0.2">
      <c r="A91" s="378"/>
      <c r="B91" s="387"/>
      <c r="C91" s="426"/>
      <c r="D91" s="387"/>
      <c r="E91" s="387"/>
      <c r="F91" s="387"/>
      <c r="G91" s="464"/>
      <c r="H91" s="465"/>
      <c r="I91" s="371"/>
      <c r="J91" s="372"/>
      <c r="K91" s="373"/>
      <c r="L91" s="358"/>
      <c r="M91" s="358"/>
      <c r="N91" s="358"/>
      <c r="O91" s="354"/>
      <c r="P91" s="354"/>
      <c r="Q91" s="354"/>
    </row>
    <row r="92" spans="1:17" x14ac:dyDescent="0.2">
      <c r="A92" s="364" t="s">
        <v>360</v>
      </c>
      <c r="B92" s="379" t="s">
        <v>364</v>
      </c>
      <c r="C92" s="409">
        <f>+VLOOKUP(B92,'[7]Resumen E.P'!$A$4:$I$226,9,0)</f>
        <v>2.2658333333333331</v>
      </c>
      <c r="D92" s="452" t="s">
        <v>362</v>
      </c>
      <c r="E92" s="466">
        <v>23</v>
      </c>
      <c r="F92" s="454" t="s">
        <v>363</v>
      </c>
      <c r="G92" s="467">
        <f>E92*C92</f>
        <v>52.114166666666662</v>
      </c>
      <c r="H92" s="424"/>
      <c r="I92" s="371"/>
      <c r="J92" s="372"/>
      <c r="K92" s="373"/>
      <c r="L92" s="358"/>
      <c r="M92" s="358"/>
      <c r="N92" s="358"/>
      <c r="O92" s="354"/>
      <c r="P92" s="354"/>
      <c r="Q92" s="354"/>
    </row>
    <row r="93" spans="1:17" x14ac:dyDescent="0.2">
      <c r="A93" s="359"/>
      <c r="B93" s="412"/>
      <c r="C93" s="413"/>
      <c r="D93" s="414"/>
      <c r="E93" s="450"/>
      <c r="F93" s="414"/>
      <c r="G93" s="458"/>
      <c r="H93" s="430"/>
      <c r="I93" s="416"/>
      <c r="J93" s="417"/>
      <c r="K93" s="373"/>
      <c r="L93" s="358"/>
      <c r="M93" s="358"/>
      <c r="N93" s="358"/>
      <c r="O93" s="354"/>
      <c r="P93" s="354"/>
      <c r="Q93" s="354"/>
    </row>
    <row r="94" spans="1:17" x14ac:dyDescent="0.2">
      <c r="A94" s="431" t="s">
        <v>443</v>
      </c>
      <c r="B94" s="479"/>
      <c r="C94" s="480"/>
      <c r="D94" s="479"/>
      <c r="E94" s="479"/>
      <c r="F94" s="479"/>
      <c r="G94" s="481"/>
      <c r="H94" s="419"/>
      <c r="I94" s="359"/>
      <c r="J94" s="359"/>
      <c r="K94" s="359"/>
      <c r="L94" s="358"/>
      <c r="M94" s="358"/>
      <c r="N94" s="358"/>
      <c r="O94" s="354"/>
      <c r="P94" s="354"/>
      <c r="Q94" s="354"/>
    </row>
    <row r="95" spans="1:17" x14ac:dyDescent="0.2">
      <c r="A95" s="374" t="s">
        <v>444</v>
      </c>
      <c r="B95" s="421" t="s">
        <v>445</v>
      </c>
      <c r="C95" s="366">
        <f>+VLOOKUP(B95,'[7]Resumen E.P'!$A$4:$I$226,9,0)</f>
        <v>2.9083333333333337</v>
      </c>
      <c r="D95" s="367" t="s">
        <v>420</v>
      </c>
      <c r="E95" s="368">
        <v>26.6</v>
      </c>
      <c r="F95" s="421" t="s">
        <v>363</v>
      </c>
      <c r="G95" s="393">
        <f>E95*C95</f>
        <v>77.361666666666679</v>
      </c>
      <c r="H95" s="370"/>
      <c r="I95" s="359"/>
      <c r="J95" s="420"/>
      <c r="K95" s="359"/>
      <c r="L95" s="359"/>
      <c r="M95" s="359"/>
      <c r="N95" s="359"/>
      <c r="O95" s="448"/>
      <c r="P95" s="448"/>
      <c r="Q95" s="448"/>
    </row>
    <row r="96" spans="1:17" x14ac:dyDescent="0.2">
      <c r="A96" s="378" t="s">
        <v>446</v>
      </c>
      <c r="B96" s="379" t="s">
        <v>447</v>
      </c>
      <c r="C96" s="366">
        <f>+VLOOKUP(B96,'[7]Resumen E.P'!$A$4:$I$226,9,0)</f>
        <v>4.5694444444444455</v>
      </c>
      <c r="D96" s="367" t="s">
        <v>362</v>
      </c>
      <c r="E96" s="368">
        <v>24</v>
      </c>
      <c r="F96" s="421" t="s">
        <v>363</v>
      </c>
      <c r="G96" s="393">
        <f t="shared" ref="G96:G105" si="3">E96*C96</f>
        <v>109.66666666666669</v>
      </c>
      <c r="H96" s="370"/>
      <c r="I96" s="359"/>
      <c r="J96" s="420"/>
      <c r="K96" s="359"/>
      <c r="L96" s="359"/>
      <c r="M96" s="359"/>
      <c r="N96" s="359"/>
      <c r="O96" s="448"/>
      <c r="P96" s="448"/>
      <c r="Q96" s="448"/>
    </row>
    <row r="97" spans="1:17" x14ac:dyDescent="0.2">
      <c r="A97" s="378"/>
      <c r="B97" s="379" t="s">
        <v>448</v>
      </c>
      <c r="C97" s="366">
        <f>+VLOOKUP(B97,'[7]Resumen E.P'!$A$4:$I$226,9,0)</f>
        <v>5.3049999999999997</v>
      </c>
      <c r="D97" s="367" t="s">
        <v>449</v>
      </c>
      <c r="E97" s="368">
        <v>27</v>
      </c>
      <c r="F97" s="421" t="s">
        <v>363</v>
      </c>
      <c r="G97" s="393">
        <f t="shared" si="3"/>
        <v>143.23499999999999</v>
      </c>
      <c r="H97" s="370"/>
      <c r="I97" s="359"/>
      <c r="J97" s="420"/>
      <c r="K97" s="359"/>
      <c r="L97" s="359"/>
      <c r="M97" s="359"/>
      <c r="N97" s="359"/>
      <c r="O97" s="448"/>
      <c r="P97" s="448"/>
      <c r="Q97" s="448"/>
    </row>
    <row r="98" spans="1:17" x14ac:dyDescent="0.2">
      <c r="A98" s="378"/>
      <c r="B98" s="421" t="s">
        <v>450</v>
      </c>
      <c r="C98" s="366">
        <f>+VLOOKUP(B98,'[7]Resumen E.P'!$A$4:$I$226,9,0)</f>
        <v>2.8166666666666664</v>
      </c>
      <c r="D98" s="367" t="s">
        <v>420</v>
      </c>
      <c r="E98" s="368">
        <v>120</v>
      </c>
      <c r="F98" s="421" t="s">
        <v>363</v>
      </c>
      <c r="G98" s="393">
        <f t="shared" si="3"/>
        <v>338</v>
      </c>
      <c r="H98" s="370"/>
      <c r="I98" s="359"/>
      <c r="J98" s="397" t="s">
        <v>451</v>
      </c>
      <c r="K98" s="359"/>
      <c r="L98" s="359"/>
      <c r="M98" s="359"/>
      <c r="N98" s="359"/>
      <c r="O98" s="448"/>
      <c r="P98" s="448"/>
      <c r="Q98" s="448"/>
    </row>
    <row r="99" spans="1:17" x14ac:dyDescent="0.2">
      <c r="A99" s="378"/>
      <c r="B99" s="379" t="s">
        <v>451</v>
      </c>
      <c r="C99" s="366">
        <f>+VLOOKUP(B99,'[7]Resumen E.P'!A97:I292,9,0)</f>
        <v>1.3066666666666666</v>
      </c>
      <c r="D99" s="367" t="s">
        <v>420</v>
      </c>
      <c r="E99" s="368">
        <v>104</v>
      </c>
      <c r="F99" s="421" t="s">
        <v>363</v>
      </c>
      <c r="G99" s="393">
        <f t="shared" si="3"/>
        <v>135.89333333333332</v>
      </c>
      <c r="H99" s="370"/>
      <c r="I99" s="359"/>
      <c r="J99" s="420"/>
      <c r="K99" s="359"/>
      <c r="L99" s="359"/>
      <c r="M99" s="359"/>
      <c r="N99" s="359"/>
      <c r="O99" s="448"/>
      <c r="P99" s="448"/>
      <c r="Q99" s="448"/>
    </row>
    <row r="100" spans="1:17" x14ac:dyDescent="0.2">
      <c r="A100" s="378"/>
      <c r="B100" s="421" t="s">
        <v>452</v>
      </c>
      <c r="C100" s="366">
        <f>+VLOOKUP(B100,'[7]Resumen E.P'!A98:I293,9,0)</f>
        <v>3.05</v>
      </c>
      <c r="D100" s="367" t="s">
        <v>420</v>
      </c>
      <c r="E100" s="368">
        <v>120</v>
      </c>
      <c r="F100" s="421" t="s">
        <v>363</v>
      </c>
      <c r="G100" s="393">
        <f t="shared" si="3"/>
        <v>366</v>
      </c>
      <c r="H100" s="370"/>
      <c r="I100" s="359"/>
      <c r="J100" s="420"/>
      <c r="K100" s="359"/>
      <c r="L100" s="359"/>
      <c r="M100" s="359"/>
      <c r="N100" s="359"/>
      <c r="O100" s="448"/>
      <c r="P100" s="448"/>
      <c r="Q100" s="448"/>
    </row>
    <row r="101" spans="1:17" x14ac:dyDescent="0.2">
      <c r="A101" s="378"/>
      <c r="B101" s="421" t="s">
        <v>453</v>
      </c>
      <c r="C101" s="366">
        <f>+VLOOKUP(B101,'[7]Resumen E.P'!A99:I294,9,0)</f>
        <v>1.8412500000000001</v>
      </c>
      <c r="D101" s="367" t="s">
        <v>420</v>
      </c>
      <c r="E101" s="368">
        <v>99</v>
      </c>
      <c r="F101" s="421" t="s">
        <v>363</v>
      </c>
      <c r="G101" s="393">
        <f t="shared" si="3"/>
        <v>182.28375</v>
      </c>
      <c r="H101" s="370"/>
      <c r="I101" s="359"/>
      <c r="J101" s="420"/>
      <c r="K101" s="359"/>
      <c r="L101" s="359"/>
      <c r="M101" s="359"/>
      <c r="N101" s="359"/>
      <c r="O101" s="448"/>
      <c r="P101" s="448"/>
      <c r="Q101" s="448"/>
    </row>
    <row r="102" spans="1:17" x14ac:dyDescent="0.2">
      <c r="A102" s="378"/>
      <c r="B102" s="421" t="s">
        <v>454</v>
      </c>
      <c r="C102" s="366">
        <f>+VLOOKUP(B102,'[7]Resumen E.P'!A100:I295,9,0)</f>
        <v>1.8574999999999999</v>
      </c>
      <c r="D102" s="367" t="s">
        <v>420</v>
      </c>
      <c r="E102" s="368">
        <v>78</v>
      </c>
      <c r="F102" s="421" t="s">
        <v>363</v>
      </c>
      <c r="G102" s="393">
        <f t="shared" si="3"/>
        <v>144.88499999999999</v>
      </c>
      <c r="H102" s="370"/>
      <c r="I102" s="359"/>
      <c r="J102" s="420"/>
      <c r="K102" s="359"/>
      <c r="L102" s="359"/>
      <c r="M102" s="359"/>
      <c r="N102" s="359"/>
      <c r="O102" s="448"/>
      <c r="P102" s="448"/>
      <c r="Q102" s="448"/>
    </row>
    <row r="103" spans="1:17" x14ac:dyDescent="0.2">
      <c r="A103" s="378"/>
      <c r="B103" s="421" t="s">
        <v>455</v>
      </c>
      <c r="C103" s="366">
        <f>+VLOOKUP(B103,'[7]Resumen E.P'!$A$4:$I$226,9,0)</f>
        <v>0.92749999999999999</v>
      </c>
      <c r="D103" s="367" t="s">
        <v>420</v>
      </c>
      <c r="E103" s="368">
        <v>130</v>
      </c>
      <c r="F103" s="421" t="s">
        <v>363</v>
      </c>
      <c r="G103" s="393">
        <f t="shared" si="3"/>
        <v>120.575</v>
      </c>
      <c r="H103" s="370"/>
      <c r="I103" s="359"/>
      <c r="J103" s="420"/>
      <c r="K103" s="359"/>
      <c r="L103" s="359"/>
      <c r="M103" s="359"/>
      <c r="N103" s="359"/>
      <c r="O103" s="448"/>
      <c r="P103" s="448"/>
      <c r="Q103" s="448"/>
    </row>
    <row r="104" spans="1:17" x14ac:dyDescent="0.2">
      <c r="A104" s="378"/>
      <c r="B104" s="421" t="s">
        <v>456</v>
      </c>
      <c r="C104" s="366">
        <f>+VLOOKUP(B104,'[7]Resumen E.P'!A102:I297,9,0)</f>
        <v>1.1924999999999999</v>
      </c>
      <c r="D104" s="367" t="s">
        <v>420</v>
      </c>
      <c r="E104" s="368">
        <v>130</v>
      </c>
      <c r="F104" s="421" t="s">
        <v>363</v>
      </c>
      <c r="G104" s="393">
        <f t="shared" si="3"/>
        <v>155.02499999999998</v>
      </c>
      <c r="H104" s="370"/>
      <c r="I104" s="359"/>
      <c r="J104" s="420"/>
      <c r="K104" s="359"/>
      <c r="L104" s="359"/>
      <c r="M104" s="359"/>
      <c r="N104" s="359"/>
      <c r="O104" s="448"/>
      <c r="P104" s="448"/>
      <c r="Q104" s="448"/>
    </row>
    <row r="105" spans="1:17" x14ac:dyDescent="0.2">
      <c r="A105" s="378"/>
      <c r="B105" s="421" t="s">
        <v>457</v>
      </c>
      <c r="C105" s="366">
        <f>+VLOOKUP(B105,'[7]Resumen E.P'!$A$4:$I$226,9,0)</f>
        <v>2.3445</v>
      </c>
      <c r="D105" s="421" t="s">
        <v>420</v>
      </c>
      <c r="E105" s="368">
        <v>24</v>
      </c>
      <c r="F105" s="421" t="s">
        <v>363</v>
      </c>
      <c r="G105" s="393">
        <f t="shared" si="3"/>
        <v>56.268000000000001</v>
      </c>
      <c r="H105" s="370"/>
      <c r="I105" s="359"/>
      <c r="J105" s="420"/>
      <c r="K105" s="359"/>
      <c r="L105" s="359"/>
      <c r="M105" s="359"/>
      <c r="N105" s="359"/>
      <c r="O105" s="448"/>
      <c r="P105" s="448"/>
      <c r="Q105" s="448"/>
    </row>
    <row r="106" spans="1:17" x14ac:dyDescent="0.2">
      <c r="A106" s="380"/>
      <c r="B106" s="381"/>
      <c r="C106" s="461"/>
      <c r="D106" s="462"/>
      <c r="E106" s="384"/>
      <c r="F106" s="462"/>
      <c r="G106" s="482">
        <f>SUM(G95:G105)/11</f>
        <v>166.29031060606064</v>
      </c>
      <c r="H106" s="386" t="s">
        <v>23</v>
      </c>
      <c r="I106" s="359"/>
      <c r="J106" s="422" t="s">
        <v>458</v>
      </c>
      <c r="K106" s="373"/>
      <c r="L106" s="1601" t="s">
        <v>459</v>
      </c>
      <c r="M106" s="1586"/>
      <c r="N106" s="359"/>
      <c r="O106" s="448"/>
      <c r="P106" s="448"/>
      <c r="Q106" s="448"/>
    </row>
    <row r="107" spans="1:17" x14ac:dyDescent="0.2">
      <c r="A107" s="378"/>
      <c r="B107" s="387"/>
      <c r="C107" s="426"/>
      <c r="D107" s="387"/>
      <c r="E107" s="426"/>
      <c r="F107" s="387"/>
      <c r="G107" s="464"/>
      <c r="H107" s="370"/>
      <c r="I107" s="359"/>
      <c r="J107" s="417"/>
      <c r="K107" s="373"/>
      <c r="L107" s="1602"/>
      <c r="M107" s="1588"/>
      <c r="N107" s="359"/>
      <c r="O107" s="448"/>
      <c r="P107" s="448"/>
      <c r="Q107" s="448"/>
    </row>
    <row r="108" spans="1:17" x14ac:dyDescent="0.2">
      <c r="A108" s="374" t="s">
        <v>460</v>
      </c>
      <c r="B108" s="379" t="s">
        <v>461</v>
      </c>
      <c r="C108" s="366">
        <f>+VLOOKUP(B108,'[7]Resumen E.P'!$A$4:$I$226,9,0)</f>
        <v>6.19</v>
      </c>
      <c r="D108" s="367" t="s">
        <v>420</v>
      </c>
      <c r="E108" s="368">
        <v>50</v>
      </c>
      <c r="F108" s="421" t="s">
        <v>363</v>
      </c>
      <c r="G108" s="375">
        <f>E108*C108</f>
        <v>309.5</v>
      </c>
      <c r="H108" s="483"/>
      <c r="I108" s="359"/>
      <c r="J108" s="377" t="s">
        <v>405</v>
      </c>
      <c r="K108" s="359"/>
      <c r="L108" s="1602"/>
      <c r="M108" s="1588"/>
      <c r="N108" s="484">
        <f>(G106*10+G108*4+G112*3)/17</f>
        <v>198.87052584670235</v>
      </c>
      <c r="O108" s="354"/>
      <c r="P108" s="354"/>
      <c r="Q108" s="354"/>
    </row>
    <row r="109" spans="1:17" x14ac:dyDescent="0.2">
      <c r="A109" s="378"/>
      <c r="B109" s="379" t="s">
        <v>462</v>
      </c>
      <c r="C109" s="366">
        <f>+VLOOKUP(B109,'[7]Resumen E.P'!$A$4:$I$226,9,0)</f>
        <v>3.3191666666666664</v>
      </c>
      <c r="D109" s="367" t="s">
        <v>420</v>
      </c>
      <c r="E109" s="368">
        <v>50</v>
      </c>
      <c r="F109" s="421" t="s">
        <v>363</v>
      </c>
      <c r="G109" s="375">
        <f>E109*C109</f>
        <v>165.95833333333331</v>
      </c>
      <c r="H109" s="483"/>
      <c r="I109" s="359"/>
      <c r="J109" s="377"/>
      <c r="K109" s="359"/>
      <c r="L109" s="1602"/>
      <c r="M109" s="1588"/>
      <c r="N109" s="358"/>
      <c r="O109" s="354"/>
      <c r="P109" s="354"/>
      <c r="Q109" s="354"/>
    </row>
    <row r="110" spans="1:17" x14ac:dyDescent="0.2">
      <c r="A110" s="378"/>
      <c r="B110" s="379" t="s">
        <v>463</v>
      </c>
      <c r="C110" s="366">
        <f>+VLOOKUP(B110,'[7]Resumen E.P'!$A$4:$I$226,9,0)</f>
        <v>4.0637499999999998</v>
      </c>
      <c r="D110" s="367" t="s">
        <v>420</v>
      </c>
      <c r="E110" s="368">
        <v>50</v>
      </c>
      <c r="F110" s="421" t="s">
        <v>363</v>
      </c>
      <c r="G110" s="375">
        <f>E110*C110</f>
        <v>203.1875</v>
      </c>
      <c r="H110" s="483"/>
      <c r="I110" s="359"/>
      <c r="J110" s="377"/>
      <c r="K110" s="359"/>
      <c r="L110" s="1602"/>
      <c r="M110" s="1588"/>
      <c r="N110" s="358"/>
      <c r="O110" s="354"/>
      <c r="P110" s="354"/>
      <c r="Q110" s="354"/>
    </row>
    <row r="111" spans="1:17" x14ac:dyDescent="0.2">
      <c r="A111" s="378"/>
      <c r="B111" s="379" t="s">
        <v>464</v>
      </c>
      <c r="C111" s="366">
        <f>+VLOOKUP(B111,'[7]Resumen E.P'!$A$4:$I$226,9,0)</f>
        <v>2.2149999999999999</v>
      </c>
      <c r="D111" s="367" t="s">
        <v>420</v>
      </c>
      <c r="E111" s="368">
        <v>50</v>
      </c>
      <c r="F111" s="421" t="s">
        <v>363</v>
      </c>
      <c r="G111" s="375">
        <f>E111*C111</f>
        <v>110.75</v>
      </c>
      <c r="H111" s="483"/>
      <c r="I111" s="359"/>
      <c r="J111" s="377"/>
      <c r="K111" s="359"/>
      <c r="L111" s="1602"/>
      <c r="M111" s="1588"/>
      <c r="N111" s="358"/>
      <c r="O111" s="354"/>
      <c r="P111" s="354"/>
      <c r="Q111" s="354"/>
    </row>
    <row r="112" spans="1:17" x14ac:dyDescent="0.2">
      <c r="A112" s="380"/>
      <c r="B112" s="381"/>
      <c r="C112" s="485"/>
      <c r="D112" s="486"/>
      <c r="E112" s="487"/>
      <c r="F112" s="462"/>
      <c r="G112" s="488">
        <f>SUM(G109:G111)/3</f>
        <v>159.96527777777777</v>
      </c>
      <c r="H112" s="386" t="s">
        <v>23</v>
      </c>
      <c r="I112" s="359"/>
      <c r="J112" s="377" t="s">
        <v>465</v>
      </c>
      <c r="K112" s="359"/>
      <c r="L112" s="1589"/>
      <c r="M112" s="1590"/>
      <c r="N112" s="358"/>
      <c r="O112" s="354"/>
      <c r="P112" s="354"/>
      <c r="Q112" s="354"/>
    </row>
    <row r="113" spans="1:17" x14ac:dyDescent="0.2">
      <c r="A113" s="378"/>
      <c r="B113" s="387"/>
      <c r="C113" s="426"/>
      <c r="D113" s="387"/>
      <c r="E113" s="426"/>
      <c r="F113" s="387"/>
      <c r="G113" s="464"/>
      <c r="H113" s="465"/>
      <c r="I113" s="359"/>
      <c r="J113" s="359"/>
      <c r="K113" s="373"/>
      <c r="L113" s="358"/>
      <c r="M113" s="358"/>
      <c r="N113" s="358"/>
      <c r="O113" s="354"/>
      <c r="P113" s="354"/>
      <c r="Q113" s="354"/>
    </row>
    <row r="114" spans="1:17" x14ac:dyDescent="0.2">
      <c r="A114" s="364"/>
      <c r="B114" s="489"/>
      <c r="C114" s="466"/>
      <c r="D114" s="489"/>
      <c r="E114" s="1592" t="s">
        <v>466</v>
      </c>
      <c r="F114" s="1593"/>
      <c r="G114" s="1594"/>
      <c r="H114" s="465"/>
      <c r="I114" s="490"/>
      <c r="J114" s="490"/>
      <c r="K114" s="373"/>
      <c r="L114" s="358"/>
      <c r="M114" s="358"/>
      <c r="N114" s="358"/>
      <c r="O114" s="354"/>
      <c r="P114" s="354"/>
      <c r="Q114" s="354"/>
    </row>
    <row r="115" spans="1:17" x14ac:dyDescent="0.2">
      <c r="A115" s="374" t="s">
        <v>467</v>
      </c>
      <c r="B115" s="379" t="s">
        <v>468</v>
      </c>
      <c r="C115" s="366">
        <f>+VLOOKUP(B115,'[7]Resumen E.P'!$A$4:$I$226,9,0)</f>
        <v>2.4442499999999998</v>
      </c>
      <c r="D115" s="367" t="s">
        <v>420</v>
      </c>
      <c r="E115" s="368">
        <v>44</v>
      </c>
      <c r="F115" s="367" t="s">
        <v>363</v>
      </c>
      <c r="G115" s="375">
        <f>E115*C115</f>
        <v>107.547</v>
      </c>
      <c r="H115" s="491"/>
      <c r="I115" s="359"/>
      <c r="J115" s="420"/>
      <c r="K115" s="359"/>
      <c r="L115" s="358"/>
      <c r="M115" s="358"/>
      <c r="N115" s="358"/>
      <c r="O115" s="354"/>
      <c r="P115" s="354"/>
      <c r="Q115" s="354"/>
    </row>
    <row r="116" spans="1:17" x14ac:dyDescent="0.2">
      <c r="A116" s="378"/>
      <c r="B116" s="421" t="s">
        <v>469</v>
      </c>
      <c r="C116" s="366">
        <f>+VLOOKUP(B116,'[7]Resumen E.P'!A114:I309,9,0)</f>
        <v>1.2162500000000001</v>
      </c>
      <c r="D116" s="367" t="s">
        <v>420</v>
      </c>
      <c r="E116" s="368">
        <v>49</v>
      </c>
      <c r="F116" s="367" t="s">
        <v>363</v>
      </c>
      <c r="G116" s="375">
        <f t="shared" ref="G116:G127" si="4">E116*C116</f>
        <v>59.596250000000005</v>
      </c>
      <c r="H116" s="491"/>
      <c r="I116" s="359"/>
      <c r="J116" s="420"/>
      <c r="K116" s="359"/>
      <c r="L116" s="358"/>
      <c r="M116" s="358"/>
      <c r="N116" s="358"/>
      <c r="O116" s="354"/>
      <c r="P116" s="354"/>
      <c r="Q116" s="354"/>
    </row>
    <row r="117" spans="1:17" x14ac:dyDescent="0.2">
      <c r="A117" s="378"/>
      <c r="B117" s="421" t="s">
        <v>470</v>
      </c>
      <c r="C117" s="366">
        <f>+VLOOKUP(B117,'[7]Resumen E.P'!$A$4:$I$226,9,0)</f>
        <v>3.9544999999999999</v>
      </c>
      <c r="D117" s="367" t="s">
        <v>420</v>
      </c>
      <c r="E117" s="368">
        <v>44</v>
      </c>
      <c r="F117" s="367" t="s">
        <v>363</v>
      </c>
      <c r="G117" s="375">
        <f t="shared" si="4"/>
        <v>173.99799999999999</v>
      </c>
      <c r="H117" s="491"/>
      <c r="I117" s="359"/>
      <c r="J117" s="420"/>
      <c r="K117" s="359"/>
      <c r="L117" s="358"/>
      <c r="M117" s="358"/>
      <c r="N117" s="358"/>
      <c r="O117" s="354"/>
      <c r="P117" s="354"/>
      <c r="Q117" s="354"/>
    </row>
    <row r="118" spans="1:17" x14ac:dyDescent="0.2">
      <c r="A118" s="378"/>
      <c r="B118" s="421" t="s">
        <v>140</v>
      </c>
      <c r="C118" s="366">
        <f>+VLOOKUP(B118,'[7]Resumen E.P'!$A$4:$I$226,9,0)</f>
        <v>2.3748333333333336</v>
      </c>
      <c r="D118" s="367" t="s">
        <v>420</v>
      </c>
      <c r="E118" s="368">
        <v>44</v>
      </c>
      <c r="F118" s="367" t="s">
        <v>363</v>
      </c>
      <c r="G118" s="375">
        <f t="shared" si="4"/>
        <v>104.49266666666668</v>
      </c>
      <c r="H118" s="491"/>
      <c r="I118" s="359"/>
      <c r="J118" s="420"/>
      <c r="K118" s="359"/>
      <c r="L118" s="358"/>
      <c r="M118" s="358"/>
      <c r="N118" s="358"/>
      <c r="O118" s="354"/>
      <c r="P118" s="354"/>
      <c r="Q118" s="354"/>
    </row>
    <row r="119" spans="1:17" x14ac:dyDescent="0.2">
      <c r="A119" s="378"/>
      <c r="B119" s="421" t="s">
        <v>471</v>
      </c>
      <c r="C119" s="366">
        <f>+VLOOKUP(B119,'[7]Resumen E.P'!$A$4:$I$226,9,0)</f>
        <v>0.95250000000000001</v>
      </c>
      <c r="D119" s="367" t="s">
        <v>420</v>
      </c>
      <c r="E119" s="368">
        <v>57</v>
      </c>
      <c r="F119" s="367" t="s">
        <v>363</v>
      </c>
      <c r="G119" s="375">
        <f t="shared" si="4"/>
        <v>54.292500000000004</v>
      </c>
      <c r="H119" s="491"/>
      <c r="I119" s="359"/>
      <c r="J119" s="420"/>
      <c r="K119" s="359"/>
      <c r="L119" s="358"/>
      <c r="M119" s="358"/>
      <c r="N119" s="358"/>
      <c r="O119" s="354"/>
      <c r="P119" s="354"/>
      <c r="Q119" s="354"/>
    </row>
    <row r="120" spans="1:17" x14ac:dyDescent="0.2">
      <c r="A120" s="378"/>
      <c r="B120" s="421" t="s">
        <v>143</v>
      </c>
      <c r="C120" s="366">
        <f>+VLOOKUP(B120,'[7]Resumen E.P'!A118:I313,9,0)</f>
        <v>1.05</v>
      </c>
      <c r="D120" s="367" t="s">
        <v>420</v>
      </c>
      <c r="E120" s="368">
        <v>45</v>
      </c>
      <c r="F120" s="367" t="s">
        <v>363</v>
      </c>
      <c r="G120" s="375">
        <f t="shared" si="4"/>
        <v>47.25</v>
      </c>
      <c r="H120" s="491"/>
      <c r="I120" s="359"/>
      <c r="J120" s="420"/>
      <c r="K120" s="359"/>
      <c r="L120" s="358"/>
      <c r="M120" s="358"/>
      <c r="N120" s="358"/>
      <c r="O120" s="354"/>
      <c r="P120" s="354"/>
      <c r="Q120" s="354"/>
    </row>
    <row r="121" spans="1:17" x14ac:dyDescent="0.2">
      <c r="A121" s="378"/>
      <c r="B121" s="421" t="s">
        <v>472</v>
      </c>
      <c r="C121" s="366">
        <f>+VLOOKUP(B121,'[7]Resumen E.P'!$A$4:$I$226,9,0)</f>
        <v>4.75</v>
      </c>
      <c r="D121" s="367" t="s">
        <v>420</v>
      </c>
      <c r="E121" s="368">
        <v>56</v>
      </c>
      <c r="F121" s="367" t="s">
        <v>363</v>
      </c>
      <c r="G121" s="375">
        <f t="shared" si="4"/>
        <v>266</v>
      </c>
      <c r="H121" s="491"/>
      <c r="I121" s="359"/>
      <c r="J121" s="420"/>
      <c r="K121" s="359"/>
      <c r="L121" s="358"/>
      <c r="M121" s="358"/>
      <c r="N121" s="358"/>
      <c r="O121" s="354"/>
      <c r="P121" s="354"/>
      <c r="Q121" s="354"/>
    </row>
    <row r="122" spans="1:17" x14ac:dyDescent="0.2">
      <c r="A122" s="378"/>
      <c r="B122" s="421" t="s">
        <v>473</v>
      </c>
      <c r="C122" s="366">
        <f>+VLOOKUP(B122,'[7]Resumen E.P'!$A$4:$I$226,9,0)</f>
        <v>1</v>
      </c>
      <c r="D122" s="367" t="s">
        <v>420</v>
      </c>
      <c r="E122" s="368">
        <v>44</v>
      </c>
      <c r="F122" s="367" t="s">
        <v>363</v>
      </c>
      <c r="G122" s="375">
        <f t="shared" si="4"/>
        <v>44</v>
      </c>
      <c r="H122" s="491"/>
      <c r="I122" s="359"/>
      <c r="J122" s="420"/>
      <c r="K122" s="359"/>
      <c r="L122" s="358"/>
      <c r="M122" s="358"/>
      <c r="N122" s="358"/>
      <c r="O122" s="354"/>
      <c r="P122" s="354"/>
      <c r="Q122" s="354"/>
    </row>
    <row r="123" spans="1:17" x14ac:dyDescent="0.2">
      <c r="A123" s="378"/>
      <c r="B123" s="421" t="s">
        <v>145</v>
      </c>
      <c r="C123" s="366">
        <f>+VLOOKUP(B123,'[7]Resumen E.P'!A121:I316,9,0)</f>
        <v>3.0816666666666666</v>
      </c>
      <c r="D123" s="367" t="s">
        <v>420</v>
      </c>
      <c r="E123" s="368">
        <v>44</v>
      </c>
      <c r="F123" s="367" t="s">
        <v>363</v>
      </c>
      <c r="G123" s="375">
        <f t="shared" si="4"/>
        <v>135.59333333333333</v>
      </c>
      <c r="H123" s="491"/>
      <c r="I123" s="359"/>
      <c r="J123" s="420"/>
      <c r="K123" s="359"/>
      <c r="L123" s="358"/>
      <c r="M123" s="358"/>
      <c r="N123" s="358"/>
      <c r="O123" s="354"/>
      <c r="P123" s="354"/>
      <c r="Q123" s="354"/>
    </row>
    <row r="124" spans="1:17" x14ac:dyDescent="0.2">
      <c r="A124" s="378"/>
      <c r="B124" s="421" t="s">
        <v>474</v>
      </c>
      <c r="C124" s="366"/>
      <c r="D124" s="367" t="s">
        <v>420</v>
      </c>
      <c r="E124" s="368">
        <v>61</v>
      </c>
      <c r="F124" s="367" t="s">
        <v>363</v>
      </c>
      <c r="G124" s="375">
        <f t="shared" si="4"/>
        <v>0</v>
      </c>
      <c r="H124" s="491"/>
      <c r="I124" s="359"/>
      <c r="J124" s="420"/>
      <c r="K124" s="359"/>
      <c r="L124" s="358"/>
      <c r="M124" s="358"/>
      <c r="N124" s="358"/>
      <c r="O124" s="354"/>
      <c r="P124" s="354"/>
      <c r="Q124" s="354"/>
    </row>
    <row r="125" spans="1:17" x14ac:dyDescent="0.2">
      <c r="A125" s="378"/>
      <c r="B125" s="379" t="s">
        <v>475</v>
      </c>
      <c r="C125" s="366">
        <f>+VLOOKUP(B125,'[7]Resumen E.P'!$A$4:$I$226,9,0)</f>
        <v>13.176666666666666</v>
      </c>
      <c r="D125" s="367" t="s">
        <v>420</v>
      </c>
      <c r="E125" s="368">
        <v>80</v>
      </c>
      <c r="F125" s="367" t="s">
        <v>363</v>
      </c>
      <c r="G125" s="375">
        <f t="shared" si="4"/>
        <v>1054.1333333333332</v>
      </c>
      <c r="H125" s="491"/>
      <c r="I125" s="359"/>
      <c r="J125" s="420"/>
      <c r="K125" s="359"/>
      <c r="L125" s="358"/>
      <c r="M125" s="358"/>
      <c r="N125" s="358"/>
      <c r="O125" s="354"/>
      <c r="P125" s="354"/>
      <c r="Q125" s="354"/>
    </row>
    <row r="126" spans="1:17" x14ac:dyDescent="0.2">
      <c r="A126" s="378"/>
      <c r="B126" s="379" t="s">
        <v>476</v>
      </c>
      <c r="C126" s="366">
        <f>+VLOOKUP(B126,'[7]Resumen E.P'!$A$4:$I$226,9,0)</f>
        <v>0.8</v>
      </c>
      <c r="D126" s="367" t="s">
        <v>420</v>
      </c>
      <c r="E126" s="368">
        <v>45</v>
      </c>
      <c r="F126" s="367" t="s">
        <v>363</v>
      </c>
      <c r="G126" s="375">
        <f t="shared" si="4"/>
        <v>36</v>
      </c>
      <c r="H126" s="491"/>
      <c r="I126" s="359"/>
      <c r="J126" s="420"/>
      <c r="K126" s="359"/>
      <c r="L126" s="358"/>
      <c r="M126" s="358"/>
      <c r="N126" s="358"/>
      <c r="O126" s="354"/>
      <c r="P126" s="354"/>
      <c r="Q126" s="354"/>
    </row>
    <row r="127" spans="1:17" x14ac:dyDescent="0.2">
      <c r="A127" s="378"/>
      <c r="B127" s="421" t="s">
        <v>477</v>
      </c>
      <c r="C127" s="366"/>
      <c r="D127" s="367" t="s">
        <v>420</v>
      </c>
      <c r="E127" s="368">
        <v>41</v>
      </c>
      <c r="F127" s="367" t="s">
        <v>363</v>
      </c>
      <c r="G127" s="375">
        <f t="shared" si="4"/>
        <v>0</v>
      </c>
      <c r="H127" s="491"/>
      <c r="I127" s="359"/>
      <c r="J127" s="420"/>
      <c r="K127" s="359"/>
      <c r="L127" s="358"/>
      <c r="M127" s="358"/>
      <c r="N127" s="358"/>
      <c r="O127" s="354"/>
      <c r="P127" s="354"/>
      <c r="Q127" s="354"/>
    </row>
    <row r="128" spans="1:17" x14ac:dyDescent="0.2">
      <c r="A128" s="380"/>
      <c r="B128" s="381"/>
      <c r="C128" s="485"/>
      <c r="D128" s="462"/>
      <c r="E128" s="384"/>
      <c r="F128" s="462"/>
      <c r="G128" s="385">
        <f>SUM(G115:G127)/13</f>
        <v>160.22331410256407</v>
      </c>
      <c r="H128" s="386" t="s">
        <v>23</v>
      </c>
      <c r="I128" s="359"/>
      <c r="J128" s="417"/>
      <c r="K128" s="490"/>
      <c r="L128" s="358"/>
      <c r="M128" s="358"/>
      <c r="N128" s="358"/>
      <c r="O128" s="354"/>
      <c r="P128" s="354"/>
      <c r="Q128" s="354"/>
    </row>
    <row r="129" spans="1:17" x14ac:dyDescent="0.2">
      <c r="A129" s="391" t="s">
        <v>478</v>
      </c>
      <c r="B129" s="421" t="s">
        <v>145</v>
      </c>
      <c r="C129" s="366">
        <f>+VLOOKUP(B129,'[7]Resumen E.P'!A127:I322,9,0)</f>
        <v>3.0816666666666666</v>
      </c>
      <c r="D129" s="367" t="s">
        <v>420</v>
      </c>
      <c r="E129" s="368">
        <v>5</v>
      </c>
      <c r="F129" s="367" t="s">
        <v>363</v>
      </c>
      <c r="G129" s="375">
        <f t="shared" ref="G129:G134" si="5">E129*C129</f>
        <v>15.408333333333333</v>
      </c>
      <c r="H129" s="376"/>
      <c r="I129" s="359"/>
      <c r="J129" s="417"/>
      <c r="K129" s="490"/>
      <c r="L129" s="358"/>
      <c r="M129" s="358"/>
      <c r="N129" s="358"/>
      <c r="O129" s="354"/>
      <c r="P129" s="354"/>
      <c r="Q129" s="354"/>
    </row>
    <row r="130" spans="1:17" x14ac:dyDescent="0.2">
      <c r="A130" s="397" t="s">
        <v>479</v>
      </c>
      <c r="B130" s="379" t="s">
        <v>468</v>
      </c>
      <c r="C130" s="366">
        <f>+VLOOKUP(B130,'[7]Resumen E.P'!$A$4:$I$226,9,0)</f>
        <v>2.4442499999999998</v>
      </c>
      <c r="D130" s="367" t="s">
        <v>420</v>
      </c>
      <c r="E130" s="368">
        <v>2.5</v>
      </c>
      <c r="F130" s="367" t="s">
        <v>363</v>
      </c>
      <c r="G130" s="375">
        <f t="shared" si="5"/>
        <v>6.1106249999999998</v>
      </c>
      <c r="H130" s="376"/>
      <c r="I130" s="359"/>
      <c r="J130" s="417"/>
      <c r="K130" s="490"/>
      <c r="L130" s="358"/>
      <c r="M130" s="358"/>
      <c r="N130" s="358"/>
      <c r="O130" s="354"/>
      <c r="P130" s="354"/>
      <c r="Q130" s="354"/>
    </row>
    <row r="131" spans="1:17" x14ac:dyDescent="0.2">
      <c r="A131" s="397" t="s">
        <v>480</v>
      </c>
      <c r="B131" s="367" t="s">
        <v>481</v>
      </c>
      <c r="C131" s="366">
        <f>+VLOOKUP(B131,'[7]Resumen E.P'!$A$4:$I$226,9,0)</f>
        <v>2.25875</v>
      </c>
      <c r="D131" s="367" t="s">
        <v>420</v>
      </c>
      <c r="E131" s="368">
        <v>2.5</v>
      </c>
      <c r="F131" s="367" t="s">
        <v>363</v>
      </c>
      <c r="G131" s="375">
        <f t="shared" si="5"/>
        <v>5.6468749999999996</v>
      </c>
      <c r="H131" s="376"/>
      <c r="I131" s="359"/>
      <c r="J131" s="417"/>
      <c r="K131" s="490"/>
      <c r="L131" s="358"/>
      <c r="M131" s="358"/>
      <c r="N131" s="358"/>
      <c r="O131" s="354"/>
      <c r="P131" s="354"/>
      <c r="Q131" s="354"/>
    </row>
    <row r="132" spans="1:17" x14ac:dyDescent="0.2">
      <c r="A132" s="397" t="s">
        <v>482</v>
      </c>
      <c r="B132" s="367" t="s">
        <v>139</v>
      </c>
      <c r="C132" s="366">
        <f>+VLOOKUP(B132,'[7]Resumen E.P'!$A$4:$I$226,9,0)</f>
        <v>13.743478260869566</v>
      </c>
      <c r="D132" s="367" t="s">
        <v>420</v>
      </c>
      <c r="E132" s="368">
        <v>1</v>
      </c>
      <c r="F132" s="367" t="s">
        <v>363</v>
      </c>
      <c r="G132" s="375">
        <f t="shared" si="5"/>
        <v>13.743478260869566</v>
      </c>
      <c r="H132" s="376"/>
      <c r="I132" s="359"/>
      <c r="J132" s="417"/>
      <c r="K132" s="490"/>
      <c r="L132" s="358"/>
      <c r="M132" s="358"/>
      <c r="N132" s="358"/>
      <c r="O132" s="354"/>
      <c r="P132" s="354"/>
      <c r="Q132" s="354"/>
    </row>
    <row r="133" spans="1:17" x14ac:dyDescent="0.2">
      <c r="A133" s="378"/>
      <c r="B133" s="367" t="s">
        <v>483</v>
      </c>
      <c r="C133" s="366">
        <f>+VLOOKUP(B133,'[7]Resumen E.P'!$A$4:$I$226,9,0)</f>
        <v>247.31944444444443</v>
      </c>
      <c r="D133" s="367" t="s">
        <v>484</v>
      </c>
      <c r="E133" s="492">
        <v>0.1</v>
      </c>
      <c r="F133" s="367" t="s">
        <v>378</v>
      </c>
      <c r="G133" s="375">
        <f t="shared" si="5"/>
        <v>24.731944444444444</v>
      </c>
      <c r="H133" s="376"/>
      <c r="I133" s="359"/>
      <c r="J133" s="417"/>
      <c r="K133" s="490"/>
      <c r="L133" s="358"/>
      <c r="M133" s="358"/>
      <c r="N133" s="358"/>
      <c r="O133" s="354"/>
      <c r="P133" s="354"/>
      <c r="Q133" s="354"/>
    </row>
    <row r="134" spans="1:17" x14ac:dyDescent="0.2">
      <c r="A134" s="378"/>
      <c r="B134" s="421" t="s">
        <v>485</v>
      </c>
      <c r="C134" s="366">
        <f>+VLOOKUP(B134,'[7]Resumen E.P'!A132:I327,9,0)</f>
        <v>0.83516666666666661</v>
      </c>
      <c r="D134" s="367" t="s">
        <v>420</v>
      </c>
      <c r="E134" s="493">
        <v>2</v>
      </c>
      <c r="F134" s="367" t="s">
        <v>363</v>
      </c>
      <c r="G134" s="375">
        <f t="shared" si="5"/>
        <v>1.6703333333333332</v>
      </c>
      <c r="H134" s="376"/>
      <c r="I134" s="359"/>
      <c r="J134" s="417"/>
      <c r="K134" s="490"/>
      <c r="L134" s="358"/>
      <c r="M134" s="358"/>
      <c r="N134" s="358"/>
      <c r="O134" s="354"/>
      <c r="P134" s="354"/>
      <c r="Q134" s="354"/>
    </row>
    <row r="135" spans="1:17" x14ac:dyDescent="0.2">
      <c r="A135" s="380"/>
      <c r="B135" s="494"/>
      <c r="C135" s="495"/>
      <c r="D135" s="494"/>
      <c r="E135" s="494"/>
      <c r="F135" s="494"/>
      <c r="G135" s="467">
        <f>SUM(G129:G134)</f>
        <v>67.311589371980673</v>
      </c>
      <c r="H135" s="496"/>
      <c r="I135" s="359"/>
      <c r="J135" s="417"/>
      <c r="K135" s="490"/>
      <c r="L135" s="358"/>
      <c r="M135" s="358"/>
      <c r="N135" s="358"/>
      <c r="O135" s="354"/>
      <c r="P135" s="354"/>
      <c r="Q135" s="354"/>
    </row>
    <row r="136" spans="1:17" x14ac:dyDescent="0.2">
      <c r="A136" s="378"/>
      <c r="B136" s="387"/>
      <c r="C136" s="426"/>
      <c r="D136" s="387"/>
      <c r="E136" s="426"/>
      <c r="F136" s="387"/>
      <c r="G136" s="464"/>
      <c r="H136" s="407"/>
      <c r="I136" s="359"/>
      <c r="J136" s="417"/>
      <c r="K136" s="490"/>
      <c r="L136" s="358"/>
      <c r="M136" s="358"/>
      <c r="N136" s="358"/>
      <c r="O136" s="354"/>
      <c r="P136" s="354"/>
      <c r="Q136" s="354"/>
    </row>
    <row r="137" spans="1:17" x14ac:dyDescent="0.2">
      <c r="A137" s="359"/>
      <c r="B137" s="412"/>
      <c r="C137" s="412"/>
      <c r="D137" s="412"/>
      <c r="E137" s="1601" t="s">
        <v>486</v>
      </c>
      <c r="F137" s="1603"/>
      <c r="G137" s="1604"/>
      <c r="H137" s="1605"/>
      <c r="I137" s="1605"/>
      <c r="J137" s="1605"/>
      <c r="K137" s="490"/>
      <c r="L137" s="358"/>
      <c r="M137" s="358"/>
      <c r="N137" s="358"/>
      <c r="O137" s="354"/>
      <c r="P137" s="354"/>
      <c r="Q137" s="354"/>
    </row>
    <row r="138" spans="1:17" x14ac:dyDescent="0.2">
      <c r="A138" s="408" t="s">
        <v>487</v>
      </c>
      <c r="B138" s="379" t="s">
        <v>445</v>
      </c>
      <c r="C138" s="409">
        <f>+VLOOKUP(B138,'[7]Resumen E.P'!$A$4:$I$226,9,0)</f>
        <v>2.9083333333333337</v>
      </c>
      <c r="D138" s="367" t="s">
        <v>420</v>
      </c>
      <c r="E138" s="368">
        <v>39.9</v>
      </c>
      <c r="F138" s="367" t="s">
        <v>363</v>
      </c>
      <c r="G138" s="410">
        <f>C138*E138</f>
        <v>116.0425</v>
      </c>
      <c r="H138" s="411"/>
      <c r="I138" s="371"/>
      <c r="J138" s="497"/>
      <c r="K138" s="490"/>
      <c r="L138" s="358"/>
      <c r="M138" s="358"/>
      <c r="N138" s="358"/>
      <c r="O138" s="354"/>
      <c r="P138" s="354"/>
      <c r="Q138" s="354"/>
    </row>
    <row r="139" spans="1:17" x14ac:dyDescent="0.2">
      <c r="A139" s="377"/>
      <c r="B139" s="387"/>
      <c r="C139" s="387"/>
      <c r="D139" s="387"/>
      <c r="E139" s="387"/>
      <c r="F139" s="387"/>
      <c r="G139" s="387"/>
      <c r="H139" s="404"/>
      <c r="I139" s="377"/>
      <c r="J139" s="372"/>
      <c r="K139" s="490"/>
      <c r="L139" s="358"/>
      <c r="M139" s="358"/>
      <c r="N139" s="358"/>
      <c r="O139" s="354"/>
      <c r="P139" s="354"/>
      <c r="Q139" s="354"/>
    </row>
    <row r="140" spans="1:17" x14ac:dyDescent="0.2">
      <c r="A140" s="431" t="s">
        <v>488</v>
      </c>
      <c r="B140" s="479"/>
      <c r="C140" s="479"/>
      <c r="D140" s="479"/>
      <c r="E140" s="479"/>
      <c r="F140" s="479"/>
      <c r="G140" s="479"/>
      <c r="H140" s="498"/>
      <c r="I140" s="377"/>
      <c r="J140" s="372"/>
      <c r="K140" s="490"/>
      <c r="L140" s="358"/>
      <c r="M140" s="358"/>
      <c r="N140" s="358"/>
      <c r="O140" s="354"/>
      <c r="P140" s="354"/>
      <c r="Q140" s="354"/>
    </row>
    <row r="141" spans="1:17" x14ac:dyDescent="0.2">
      <c r="A141" s="391" t="s">
        <v>489</v>
      </c>
      <c r="B141" s="421" t="s">
        <v>447</v>
      </c>
      <c r="C141" s="366">
        <f>+VLOOKUP(B141,'[7]Resumen E.P'!$A$4:$I$226,9,0)</f>
        <v>4.5694444444444455</v>
      </c>
      <c r="D141" s="367" t="s">
        <v>362</v>
      </c>
      <c r="E141" s="368">
        <v>24</v>
      </c>
      <c r="F141" s="421" t="s">
        <v>363</v>
      </c>
      <c r="G141" s="393">
        <f>C141*E141</f>
        <v>109.66666666666669</v>
      </c>
      <c r="H141" s="370"/>
      <c r="I141" s="359"/>
      <c r="J141" s="420"/>
      <c r="K141" s="359"/>
      <c r="L141" s="358"/>
      <c r="M141" s="358"/>
      <c r="N141" s="358"/>
      <c r="O141" s="354"/>
      <c r="P141" s="354"/>
      <c r="Q141" s="354"/>
    </row>
    <row r="142" spans="1:17" x14ac:dyDescent="0.2">
      <c r="A142" s="397" t="s">
        <v>446</v>
      </c>
      <c r="B142" s="499" t="s">
        <v>490</v>
      </c>
      <c r="C142" s="366">
        <f>+VLOOKUP(B142,'[7]Resumen E.P'!$A$4:$I$226,9,0)</f>
        <v>5.29</v>
      </c>
      <c r="D142" s="367" t="s">
        <v>449</v>
      </c>
      <c r="E142" s="368">
        <v>21</v>
      </c>
      <c r="F142" s="421" t="s">
        <v>363</v>
      </c>
      <c r="G142" s="393">
        <f t="shared" ref="G142:G154" si="6">C142*E142</f>
        <v>111.09</v>
      </c>
      <c r="H142" s="370"/>
      <c r="I142" s="359"/>
      <c r="J142" s="420"/>
      <c r="K142" s="359"/>
      <c r="L142" s="358"/>
      <c r="M142" s="358"/>
      <c r="N142" s="358"/>
      <c r="O142" s="354"/>
      <c r="P142" s="354"/>
      <c r="Q142" s="354"/>
    </row>
    <row r="143" spans="1:17" x14ac:dyDescent="0.2">
      <c r="A143" s="397"/>
      <c r="B143" s="421" t="s">
        <v>450</v>
      </c>
      <c r="C143" s="366">
        <f>+VLOOKUP(B143,'[7]Resumen E.P'!$A$4:$I$226,9,0)</f>
        <v>2.8166666666666664</v>
      </c>
      <c r="D143" s="367" t="s">
        <v>420</v>
      </c>
      <c r="E143" s="368">
        <v>120</v>
      </c>
      <c r="F143" s="421" t="s">
        <v>363</v>
      </c>
      <c r="G143" s="393">
        <f t="shared" si="6"/>
        <v>338</v>
      </c>
      <c r="H143" s="370"/>
      <c r="I143" s="359"/>
      <c r="J143" s="420"/>
      <c r="K143" s="359"/>
      <c r="L143" s="358"/>
      <c r="M143" s="358"/>
      <c r="N143" s="358"/>
      <c r="O143" s="354"/>
      <c r="P143" s="354"/>
      <c r="Q143" s="354"/>
    </row>
    <row r="144" spans="1:17" x14ac:dyDescent="0.2">
      <c r="A144" s="397"/>
      <c r="B144" s="421" t="s">
        <v>451</v>
      </c>
      <c r="C144" s="366">
        <f>+VLOOKUP(B144,'[7]Resumen E.P'!A142:I337,9,0)</f>
        <v>1.3066666666666666</v>
      </c>
      <c r="D144" s="367" t="s">
        <v>420</v>
      </c>
      <c r="E144" s="368">
        <v>104</v>
      </c>
      <c r="F144" s="421" t="s">
        <v>363</v>
      </c>
      <c r="G144" s="393">
        <f t="shared" si="6"/>
        <v>135.89333333333332</v>
      </c>
      <c r="H144" s="370"/>
      <c r="I144" s="359"/>
      <c r="J144" s="420"/>
      <c r="K144" s="359"/>
      <c r="L144" s="358"/>
      <c r="M144" s="358"/>
      <c r="N144" s="358"/>
      <c r="O144" s="354"/>
      <c r="P144" s="354"/>
      <c r="Q144" s="354"/>
    </row>
    <row r="145" spans="1:17" x14ac:dyDescent="0.2">
      <c r="A145" s="397"/>
      <c r="B145" s="421" t="s">
        <v>452</v>
      </c>
      <c r="C145" s="366">
        <f>+VLOOKUP(B145,'[7]Resumen E.P'!A143:I338,9,0)</f>
        <v>3.05</v>
      </c>
      <c r="D145" s="367" t="s">
        <v>420</v>
      </c>
      <c r="E145" s="368">
        <v>120</v>
      </c>
      <c r="F145" s="421" t="s">
        <v>363</v>
      </c>
      <c r="G145" s="393">
        <f t="shared" si="6"/>
        <v>366</v>
      </c>
      <c r="H145" s="370"/>
      <c r="I145" s="359"/>
      <c r="J145" s="420"/>
      <c r="K145" s="359"/>
      <c r="L145" s="358"/>
      <c r="M145" s="358"/>
      <c r="N145" s="358"/>
      <c r="O145" s="354"/>
      <c r="P145" s="354"/>
      <c r="Q145" s="354"/>
    </row>
    <row r="146" spans="1:17" x14ac:dyDescent="0.2">
      <c r="A146" s="397"/>
      <c r="B146" s="421" t="s">
        <v>453</v>
      </c>
      <c r="C146" s="366">
        <f>+VLOOKUP(B146,'[7]Resumen E.P'!A144:I339,9,0)</f>
        <v>1.8412500000000001</v>
      </c>
      <c r="D146" s="367" t="s">
        <v>420</v>
      </c>
      <c r="E146" s="368">
        <v>99</v>
      </c>
      <c r="F146" s="421" t="s">
        <v>363</v>
      </c>
      <c r="G146" s="393">
        <f t="shared" si="6"/>
        <v>182.28375</v>
      </c>
      <c r="H146" s="370"/>
      <c r="I146" s="359"/>
      <c r="J146" s="420"/>
      <c r="K146" s="359"/>
      <c r="L146" s="358"/>
      <c r="M146" s="358"/>
      <c r="N146" s="358"/>
      <c r="O146" s="354"/>
      <c r="P146" s="354"/>
      <c r="Q146" s="354"/>
    </row>
    <row r="147" spans="1:17" x14ac:dyDescent="0.2">
      <c r="A147" s="397"/>
      <c r="B147" s="421" t="s">
        <v>454</v>
      </c>
      <c r="C147" s="366">
        <f>+VLOOKUP(B147,'[7]Resumen E.P'!A145:I340,9,0)</f>
        <v>1.8574999999999999</v>
      </c>
      <c r="D147" s="367" t="s">
        <v>420</v>
      </c>
      <c r="E147" s="368">
        <v>78</v>
      </c>
      <c r="F147" s="421" t="s">
        <v>363</v>
      </c>
      <c r="G147" s="393">
        <f t="shared" si="6"/>
        <v>144.88499999999999</v>
      </c>
      <c r="H147" s="370"/>
      <c r="I147" s="359"/>
      <c r="J147" s="420"/>
      <c r="K147" s="359"/>
      <c r="L147" s="358"/>
      <c r="M147" s="358"/>
      <c r="N147" s="358"/>
      <c r="O147" s="354"/>
      <c r="P147" s="354"/>
      <c r="Q147" s="354"/>
    </row>
    <row r="148" spans="1:17" x14ac:dyDescent="0.2">
      <c r="A148" s="397"/>
      <c r="B148" s="421" t="s">
        <v>455</v>
      </c>
      <c r="C148" s="366">
        <f>+VLOOKUP(B148,'[7]Resumen E.P'!$A$4:$I$226,9,0)</f>
        <v>0.92749999999999999</v>
      </c>
      <c r="D148" s="367" t="s">
        <v>420</v>
      </c>
      <c r="E148" s="368">
        <v>130</v>
      </c>
      <c r="F148" s="421" t="s">
        <v>363</v>
      </c>
      <c r="G148" s="393">
        <f t="shared" si="6"/>
        <v>120.575</v>
      </c>
      <c r="H148" s="370"/>
      <c r="I148" s="359"/>
      <c r="J148" s="420"/>
      <c r="K148" s="359"/>
      <c r="L148" s="358"/>
      <c r="M148" s="358"/>
      <c r="N148" s="358"/>
      <c r="O148" s="354"/>
      <c r="P148" s="354"/>
      <c r="Q148" s="354"/>
    </row>
    <row r="149" spans="1:17" x14ac:dyDescent="0.2">
      <c r="A149" s="397"/>
      <c r="B149" s="421" t="s">
        <v>456</v>
      </c>
      <c r="C149" s="366">
        <f>+VLOOKUP(B149,'[7]Resumen E.P'!A147:I342,9,0)</f>
        <v>1.1924999999999999</v>
      </c>
      <c r="D149" s="367" t="s">
        <v>420</v>
      </c>
      <c r="E149" s="368">
        <v>130</v>
      </c>
      <c r="F149" s="421" t="s">
        <v>363</v>
      </c>
      <c r="G149" s="393">
        <f t="shared" si="6"/>
        <v>155.02499999999998</v>
      </c>
      <c r="H149" s="370"/>
      <c r="I149" s="359"/>
      <c r="J149" s="420"/>
      <c r="K149" s="359"/>
      <c r="L149" s="358"/>
      <c r="M149" s="358"/>
      <c r="N149" s="358"/>
      <c r="O149" s="354"/>
      <c r="P149" s="354"/>
      <c r="Q149" s="354"/>
    </row>
    <row r="150" spans="1:17" x14ac:dyDescent="0.2">
      <c r="A150" s="397"/>
      <c r="B150" s="421" t="s">
        <v>457</v>
      </c>
      <c r="C150" s="366">
        <f>+VLOOKUP(B150,'[7]Resumen E.P'!$A$4:$I$226,9,0)</f>
        <v>2.3445</v>
      </c>
      <c r="D150" s="421" t="s">
        <v>420</v>
      </c>
      <c r="E150" s="368">
        <v>24</v>
      </c>
      <c r="F150" s="421" t="s">
        <v>363</v>
      </c>
      <c r="G150" s="393">
        <f t="shared" si="6"/>
        <v>56.268000000000001</v>
      </c>
      <c r="H150" s="370"/>
      <c r="I150" s="359"/>
      <c r="J150" s="420"/>
      <c r="K150" s="359"/>
      <c r="L150" s="358"/>
      <c r="M150" s="358"/>
      <c r="N150" s="358"/>
      <c r="O150" s="354"/>
      <c r="P150" s="354"/>
      <c r="Q150" s="354"/>
    </row>
    <row r="151" spans="1:17" x14ac:dyDescent="0.2">
      <c r="A151" s="397"/>
      <c r="B151" s="421" t="s">
        <v>491</v>
      </c>
      <c r="C151" s="366">
        <f>+VLOOKUP(B151,'[7]Resumen E.P'!A149:I344,9,0)</f>
        <v>1.4045000000000001</v>
      </c>
      <c r="D151" s="367" t="s">
        <v>420</v>
      </c>
      <c r="E151" s="368">
        <v>110</v>
      </c>
      <c r="F151" s="421" t="s">
        <v>363</v>
      </c>
      <c r="G151" s="393">
        <f t="shared" si="6"/>
        <v>154.495</v>
      </c>
      <c r="H151" s="370"/>
      <c r="I151" s="359"/>
      <c r="J151" s="420"/>
      <c r="K151" s="359"/>
      <c r="L151" s="358"/>
      <c r="M151" s="358"/>
      <c r="N151" s="358"/>
      <c r="O151" s="354"/>
      <c r="P151" s="354"/>
      <c r="Q151" s="354"/>
    </row>
    <row r="152" spans="1:17" x14ac:dyDescent="0.2">
      <c r="A152" s="397"/>
      <c r="B152" s="421" t="s">
        <v>382</v>
      </c>
      <c r="C152" s="366">
        <f>+VLOOKUP(B152,'[7]Resumen E.P'!$A$4:$I$226,9,0)</f>
        <v>5.3680792124542123</v>
      </c>
      <c r="D152" s="367" t="s">
        <v>383</v>
      </c>
      <c r="E152" s="368">
        <v>1</v>
      </c>
      <c r="F152" s="367" t="s">
        <v>384</v>
      </c>
      <c r="G152" s="393">
        <f t="shared" si="6"/>
        <v>5.3680792124542123</v>
      </c>
      <c r="H152" s="370"/>
      <c r="I152" s="359"/>
      <c r="J152" s="420"/>
      <c r="K152" s="359"/>
      <c r="L152" s="358"/>
      <c r="M152" s="358"/>
      <c r="N152" s="358"/>
      <c r="O152" s="354"/>
      <c r="P152" s="354"/>
      <c r="Q152" s="354"/>
    </row>
    <row r="153" spans="1:17" x14ac:dyDescent="0.2">
      <c r="A153" s="397"/>
      <c r="B153" s="421" t="s">
        <v>385</v>
      </c>
      <c r="C153" s="366">
        <f>+VLOOKUP(B153,'[7]Resumen E.P'!$A$4:$I$226,9,0)</f>
        <v>13.292857142857143</v>
      </c>
      <c r="D153" s="367" t="s">
        <v>386</v>
      </c>
      <c r="E153" s="368">
        <v>1</v>
      </c>
      <c r="F153" s="367" t="s">
        <v>386</v>
      </c>
      <c r="G153" s="393">
        <f t="shared" si="6"/>
        <v>13.292857142857143</v>
      </c>
      <c r="H153" s="370"/>
      <c r="I153" s="359"/>
      <c r="J153" s="420"/>
      <c r="K153" s="359"/>
      <c r="L153" s="358"/>
      <c r="M153" s="358"/>
      <c r="N153" s="358"/>
      <c r="O153" s="354"/>
      <c r="P153" s="354"/>
      <c r="Q153" s="354"/>
    </row>
    <row r="154" spans="1:17" x14ac:dyDescent="0.2">
      <c r="A154" s="397"/>
      <c r="B154" s="421" t="s">
        <v>492</v>
      </c>
      <c r="C154" s="366">
        <f>+VLOOKUP(B154,'[7]Resumen E.P'!$A$4:$I$226,9,0)</f>
        <v>4.1791666666666671</v>
      </c>
      <c r="D154" s="367" t="s">
        <v>363</v>
      </c>
      <c r="E154" s="368">
        <v>1</v>
      </c>
      <c r="F154" s="367" t="s">
        <v>493</v>
      </c>
      <c r="G154" s="393">
        <f t="shared" si="6"/>
        <v>4.1791666666666671</v>
      </c>
      <c r="H154" s="370"/>
      <c r="I154" s="359"/>
      <c r="J154" s="420"/>
      <c r="K154" s="359"/>
      <c r="L154" s="358"/>
      <c r="M154" s="358"/>
      <c r="N154" s="358"/>
      <c r="O154" s="354"/>
      <c r="P154" s="354"/>
      <c r="Q154" s="354"/>
    </row>
    <row r="155" spans="1:17" x14ac:dyDescent="0.2">
      <c r="A155" s="398"/>
      <c r="B155" s="381"/>
      <c r="C155" s="461"/>
      <c r="D155" s="500"/>
      <c r="E155" s="384"/>
      <c r="F155" s="500"/>
      <c r="G155" s="403">
        <f>SUM(G141:G154)/14</f>
        <v>135.5015609301413</v>
      </c>
      <c r="H155" s="386" t="s">
        <v>23</v>
      </c>
      <c r="I155" s="359"/>
      <c r="J155" s="417"/>
      <c r="K155" s="373"/>
      <c r="L155" s="358"/>
      <c r="M155" s="358"/>
      <c r="N155" s="358"/>
      <c r="O155" s="354"/>
      <c r="P155" s="354"/>
      <c r="Q155" s="354"/>
    </row>
    <row r="156" spans="1:17" x14ac:dyDescent="0.2">
      <c r="A156" s="374" t="s">
        <v>478</v>
      </c>
      <c r="B156" s="421" t="s">
        <v>145</v>
      </c>
      <c r="C156" s="366">
        <f>+VLOOKUP(B156,'[7]Resumen E.P'!A154:I349,9,0)</f>
        <v>3.0816666666666666</v>
      </c>
      <c r="D156" s="367" t="s">
        <v>420</v>
      </c>
      <c r="E156" s="368">
        <v>5</v>
      </c>
      <c r="F156" s="367" t="s">
        <v>363</v>
      </c>
      <c r="G156" s="375">
        <f t="shared" ref="G156:G161" si="7">E156*C156</f>
        <v>15.408333333333333</v>
      </c>
      <c r="H156" s="498"/>
      <c r="I156" s="373"/>
      <c r="J156" s="416"/>
      <c r="K156" s="359"/>
      <c r="L156" s="358"/>
      <c r="M156" s="358"/>
      <c r="N156" s="358"/>
      <c r="O156" s="354"/>
      <c r="P156" s="354"/>
      <c r="Q156" s="354"/>
    </row>
    <row r="157" spans="1:17" x14ac:dyDescent="0.2">
      <c r="A157" s="378" t="s">
        <v>479</v>
      </c>
      <c r="B157" s="499" t="s">
        <v>468</v>
      </c>
      <c r="C157" s="366">
        <f>+VLOOKUP(B157,'[7]Resumen E.P'!$A$4:$I$226,9,0)</f>
        <v>2.4442499999999998</v>
      </c>
      <c r="D157" s="367" t="s">
        <v>420</v>
      </c>
      <c r="E157" s="368">
        <v>2.5</v>
      </c>
      <c r="F157" s="367" t="s">
        <v>363</v>
      </c>
      <c r="G157" s="375">
        <f t="shared" si="7"/>
        <v>6.1106249999999998</v>
      </c>
      <c r="H157" s="376"/>
      <c r="I157" s="373"/>
      <c r="J157" s="416"/>
      <c r="K157" s="359"/>
      <c r="L157" s="358"/>
      <c r="M157" s="358"/>
      <c r="N157" s="358"/>
      <c r="O157" s="354"/>
      <c r="P157" s="354"/>
      <c r="Q157" s="354"/>
    </row>
    <row r="158" spans="1:17" x14ac:dyDescent="0.2">
      <c r="A158" s="378" t="s">
        <v>480</v>
      </c>
      <c r="B158" s="367" t="s">
        <v>481</v>
      </c>
      <c r="C158" s="366">
        <f>+VLOOKUP(B158,'[7]Resumen E.P'!$A$4:$I$226,9,0)</f>
        <v>2.25875</v>
      </c>
      <c r="D158" s="367" t="s">
        <v>420</v>
      </c>
      <c r="E158" s="368">
        <v>2.5</v>
      </c>
      <c r="F158" s="367" t="s">
        <v>363</v>
      </c>
      <c r="G158" s="375">
        <f t="shared" si="7"/>
        <v>5.6468749999999996</v>
      </c>
      <c r="H158" s="376"/>
      <c r="I158" s="373"/>
      <c r="J158" s="416"/>
      <c r="K158" s="359"/>
      <c r="L158" s="358"/>
      <c r="M158" s="358"/>
      <c r="N158" s="358"/>
      <c r="O158" s="354"/>
      <c r="P158" s="354"/>
      <c r="Q158" s="354"/>
    </row>
    <row r="159" spans="1:17" x14ac:dyDescent="0.2">
      <c r="A159" s="378" t="s">
        <v>494</v>
      </c>
      <c r="B159" s="499" t="s">
        <v>403</v>
      </c>
      <c r="C159" s="366">
        <f>+VLOOKUP(B159,'[7]Resumen E.P'!$A$4:$I$226,9,0)</f>
        <v>259.375</v>
      </c>
      <c r="D159" s="367" t="s">
        <v>404</v>
      </c>
      <c r="E159" s="501">
        <v>0.1</v>
      </c>
      <c r="F159" s="367" t="s">
        <v>378</v>
      </c>
      <c r="G159" s="375">
        <f t="shared" si="7"/>
        <v>25.9375</v>
      </c>
      <c r="H159" s="376"/>
      <c r="I159" s="373"/>
      <c r="J159" s="416"/>
      <c r="K159" s="359"/>
      <c r="L159" s="358"/>
      <c r="M159" s="358"/>
      <c r="N159" s="358"/>
      <c r="O159" s="354"/>
      <c r="P159" s="354"/>
      <c r="Q159" s="354"/>
    </row>
    <row r="160" spans="1:17" x14ac:dyDescent="0.2">
      <c r="A160" s="378" t="s">
        <v>495</v>
      </c>
      <c r="B160" s="421" t="s">
        <v>457</v>
      </c>
      <c r="C160" s="366">
        <f>+VLOOKUP(B160,'[7]Resumen E.P'!$A$4:$I$226,9,0)</f>
        <v>2.3445</v>
      </c>
      <c r="D160" s="421" t="s">
        <v>420</v>
      </c>
      <c r="E160" s="368">
        <v>5</v>
      </c>
      <c r="F160" s="421" t="s">
        <v>363</v>
      </c>
      <c r="G160" s="375">
        <f t="shared" si="7"/>
        <v>11.7225</v>
      </c>
      <c r="H160" s="376"/>
      <c r="I160" s="373"/>
      <c r="J160" s="416"/>
      <c r="K160" s="359"/>
      <c r="L160" s="358"/>
      <c r="M160" s="358"/>
      <c r="N160" s="358"/>
      <c r="O160" s="354"/>
      <c r="P160" s="354"/>
      <c r="Q160" s="354"/>
    </row>
    <row r="161" spans="1:17" x14ac:dyDescent="0.2">
      <c r="A161" s="378" t="s">
        <v>379</v>
      </c>
      <c r="B161" s="421" t="s">
        <v>485</v>
      </c>
      <c r="C161" s="366">
        <f>+VLOOKUP(B161,'[7]Resumen E.P'!A159:I354,9,0)</f>
        <v>0.83516666666666661</v>
      </c>
      <c r="D161" s="367" t="s">
        <v>420</v>
      </c>
      <c r="E161" s="493">
        <v>2</v>
      </c>
      <c r="F161" s="367" t="s">
        <v>363</v>
      </c>
      <c r="G161" s="375">
        <f t="shared" si="7"/>
        <v>1.6703333333333332</v>
      </c>
      <c r="H161" s="376"/>
      <c r="I161" s="373"/>
      <c r="J161" s="416"/>
      <c r="K161" s="359"/>
      <c r="L161" s="358"/>
      <c r="M161" s="358"/>
      <c r="N161" s="358"/>
      <c r="O161" s="354"/>
      <c r="P161" s="354"/>
      <c r="Q161" s="354"/>
    </row>
    <row r="162" spans="1:17" x14ac:dyDescent="0.2">
      <c r="A162" s="380"/>
      <c r="B162" s="502"/>
      <c r="C162" s="503"/>
      <c r="D162" s="400"/>
      <c r="E162" s="401"/>
      <c r="F162" s="402"/>
      <c r="G162" s="385">
        <f>SUM(G156:G161)</f>
        <v>66.496166666666667</v>
      </c>
      <c r="H162" s="496"/>
      <c r="I162" s="373"/>
      <c r="J162" s="416"/>
      <c r="K162" s="359"/>
      <c r="L162" s="358"/>
      <c r="M162" s="358"/>
      <c r="N162" s="358"/>
      <c r="O162" s="354"/>
      <c r="P162" s="354"/>
      <c r="Q162" s="354"/>
    </row>
    <row r="163" spans="1:17" x14ac:dyDescent="0.2">
      <c r="A163" s="377"/>
      <c r="B163" s="387"/>
      <c r="C163" s="387"/>
      <c r="D163" s="387"/>
      <c r="E163" s="387"/>
      <c r="F163" s="387"/>
      <c r="G163" s="387"/>
      <c r="H163" s="404"/>
      <c r="I163" s="377"/>
      <c r="J163" s="372"/>
      <c r="K163" s="490"/>
      <c r="L163" s="358"/>
      <c r="M163" s="358"/>
      <c r="N163" s="358"/>
      <c r="O163" s="354"/>
      <c r="P163" s="354"/>
      <c r="Q163" s="354"/>
    </row>
    <row r="164" spans="1:17" x14ac:dyDescent="0.2">
      <c r="A164" s="374"/>
      <c r="B164" s="479"/>
      <c r="C164" s="479"/>
      <c r="D164" s="479"/>
      <c r="E164" s="1592" t="s">
        <v>496</v>
      </c>
      <c r="F164" s="1593"/>
      <c r="G164" s="1594"/>
      <c r="H164" s="490"/>
      <c r="I164" s="490"/>
      <c r="J164" s="490"/>
      <c r="K164" s="490"/>
      <c r="L164" s="1606"/>
      <c r="M164" s="1606"/>
      <c r="N164" s="1606"/>
      <c r="O164" s="354"/>
      <c r="P164" s="354"/>
      <c r="Q164" s="354"/>
    </row>
    <row r="165" spans="1:17" x14ac:dyDescent="0.2">
      <c r="A165" s="418" t="s">
        <v>497</v>
      </c>
      <c r="B165" s="421" t="s">
        <v>498</v>
      </c>
      <c r="C165" s="366">
        <f>+VLOOKUP(B165,'[7]Resumen E.P'!$A$4:$I$226,9,0)</f>
        <v>11.67</v>
      </c>
      <c r="D165" s="367" t="s">
        <v>420</v>
      </c>
      <c r="E165" s="421">
        <v>80</v>
      </c>
      <c r="F165" s="421" t="s">
        <v>363</v>
      </c>
      <c r="G165" s="375">
        <f>E165*C165</f>
        <v>933.6</v>
      </c>
      <c r="H165" s="359"/>
      <c r="I165" s="359"/>
      <c r="J165" s="422" t="s">
        <v>499</v>
      </c>
      <c r="K165" s="359"/>
      <c r="L165" s="1601" t="s">
        <v>500</v>
      </c>
      <c r="M165" s="1586"/>
      <c r="N165" s="417"/>
    </row>
    <row r="166" spans="1:17" x14ac:dyDescent="0.2">
      <c r="A166" s="397"/>
      <c r="B166" s="421" t="s">
        <v>501</v>
      </c>
      <c r="C166" s="366">
        <f>+VLOOKUP(B166,'[7]Resumen E.P'!$A$4:$I$226,9,0)</f>
        <v>13.151</v>
      </c>
      <c r="D166" s="367" t="s">
        <v>420</v>
      </c>
      <c r="E166" s="421">
        <v>80</v>
      </c>
      <c r="F166" s="421" t="s">
        <v>363</v>
      </c>
      <c r="G166" s="375">
        <f t="shared" ref="G166:G171" si="8">E166*C166</f>
        <v>1052.08</v>
      </c>
      <c r="H166" s="359"/>
      <c r="I166" s="359"/>
      <c r="J166" s="422" t="s">
        <v>502</v>
      </c>
      <c r="K166" s="359"/>
      <c r="L166" s="1602"/>
      <c r="M166" s="1588"/>
      <c r="N166" s="417"/>
    </row>
    <row r="167" spans="1:17" x14ac:dyDescent="0.2">
      <c r="A167" s="397"/>
      <c r="B167" s="421" t="s">
        <v>503</v>
      </c>
      <c r="C167" s="366">
        <f>+VLOOKUP(B167,'[7]Resumen E.P'!A165:I360,9,0)</f>
        <v>11.59</v>
      </c>
      <c r="D167" s="367" t="s">
        <v>420</v>
      </c>
      <c r="E167" s="421">
        <v>80</v>
      </c>
      <c r="F167" s="421" t="s">
        <v>363</v>
      </c>
      <c r="G167" s="375">
        <f t="shared" si="8"/>
        <v>927.2</v>
      </c>
      <c r="H167" s="359"/>
      <c r="I167" s="359"/>
      <c r="J167" s="422" t="s">
        <v>504</v>
      </c>
      <c r="K167" s="359"/>
      <c r="L167" s="1602"/>
      <c r="M167" s="1588"/>
      <c r="N167" s="417"/>
    </row>
    <row r="168" spans="1:17" x14ac:dyDescent="0.2">
      <c r="A168" s="397"/>
      <c r="B168" s="499" t="s">
        <v>505</v>
      </c>
      <c r="C168" s="366">
        <f>+VLOOKUP(B168,'[7]Resumen E.P'!$A$4:$I$226,9,0)</f>
        <v>15.984500000000001</v>
      </c>
      <c r="D168" s="367" t="s">
        <v>420</v>
      </c>
      <c r="E168" s="421">
        <v>80</v>
      </c>
      <c r="F168" s="421" t="s">
        <v>363</v>
      </c>
      <c r="G168" s="375">
        <f t="shared" si="8"/>
        <v>1278.76</v>
      </c>
      <c r="H168" s="359"/>
      <c r="I168" s="359"/>
      <c r="J168" s="422" t="s">
        <v>504</v>
      </c>
      <c r="K168" s="359"/>
      <c r="L168" s="1602"/>
      <c r="M168" s="1588"/>
    </row>
    <row r="169" spans="1:17" x14ac:dyDescent="0.2">
      <c r="A169" s="397"/>
      <c r="B169" s="421" t="s">
        <v>506</v>
      </c>
      <c r="C169" s="366">
        <f>+VLOOKUP(B169,'[7]Resumen E.P'!$A$4:$I$226,9,0)</f>
        <v>17.859601449275363</v>
      </c>
      <c r="D169" s="367" t="s">
        <v>363</v>
      </c>
      <c r="E169" s="421">
        <v>60</v>
      </c>
      <c r="F169" s="421" t="s">
        <v>363</v>
      </c>
      <c r="G169" s="375">
        <f t="shared" si="8"/>
        <v>1071.5760869565217</v>
      </c>
      <c r="H169" s="359"/>
      <c r="I169" s="359"/>
      <c r="J169" s="422" t="s">
        <v>507</v>
      </c>
      <c r="K169" s="359"/>
      <c r="L169" s="1602"/>
      <c r="M169" s="1588"/>
      <c r="N169" s="504">
        <f>(G165*5+G166*3+G167*2+G168*2+G169*1+G170*3+G171*1)/17</f>
        <v>999.11094629156014</v>
      </c>
    </row>
    <row r="170" spans="1:17" x14ac:dyDescent="0.2">
      <c r="A170" s="397"/>
      <c r="B170" s="421" t="s">
        <v>508</v>
      </c>
      <c r="C170" s="366">
        <f>+VLOOKUP(B170,'[7]Resumen E.P'!A168:I363,9,0)</f>
        <v>7.085</v>
      </c>
      <c r="D170" s="367" t="s">
        <v>401</v>
      </c>
      <c r="E170" s="421">
        <v>130</v>
      </c>
      <c r="F170" s="421" t="s">
        <v>363</v>
      </c>
      <c r="G170" s="375">
        <f t="shared" si="8"/>
        <v>921.05</v>
      </c>
      <c r="H170" s="359"/>
      <c r="I170" s="359"/>
      <c r="J170" s="422" t="s">
        <v>502</v>
      </c>
      <c r="K170" s="359"/>
      <c r="L170" s="1602"/>
      <c r="M170" s="1588"/>
      <c r="N170" s="417"/>
    </row>
    <row r="171" spans="1:17" x14ac:dyDescent="0.2">
      <c r="A171" s="397"/>
      <c r="B171" s="379" t="s">
        <v>509</v>
      </c>
      <c r="C171" s="366">
        <f>+VLOOKUP(B171,'[7]Resumen E.P'!$A$4:$I$226,9,0)</f>
        <v>11.425000000000001</v>
      </c>
      <c r="D171" s="367" t="s">
        <v>401</v>
      </c>
      <c r="E171" s="368">
        <v>80</v>
      </c>
      <c r="F171" s="367" t="s">
        <v>363</v>
      </c>
      <c r="G171" s="375">
        <f t="shared" si="8"/>
        <v>914</v>
      </c>
      <c r="H171" s="359"/>
      <c r="I171" s="359"/>
      <c r="J171" s="422" t="s">
        <v>510</v>
      </c>
      <c r="K171" s="359"/>
      <c r="L171" s="1589"/>
      <c r="M171" s="1590"/>
      <c r="N171" s="417"/>
    </row>
    <row r="172" spans="1:17" x14ac:dyDescent="0.2">
      <c r="A172" s="391" t="s">
        <v>478</v>
      </c>
      <c r="B172" s="421" t="s">
        <v>145</v>
      </c>
      <c r="C172" s="366">
        <f>+VLOOKUP(B172,'[7]Resumen E.P'!A170:I365,9,0)</f>
        <v>3.0816666666666666</v>
      </c>
      <c r="D172" s="367" t="s">
        <v>420</v>
      </c>
      <c r="E172" s="368">
        <v>5</v>
      </c>
      <c r="F172" s="367" t="s">
        <v>363</v>
      </c>
      <c r="G172" s="375">
        <f t="shared" ref="G172:G177" si="9">E172*C172</f>
        <v>15.408333333333333</v>
      </c>
      <c r="H172" s="404"/>
      <c r="I172" s="373"/>
      <c r="J172" s="359"/>
      <c r="K172" s="359"/>
      <c r="L172" s="359"/>
      <c r="M172" s="359"/>
      <c r="N172" s="359"/>
      <c r="O172" s="448"/>
      <c r="P172" s="354"/>
      <c r="Q172" s="354"/>
    </row>
    <row r="173" spans="1:17" x14ac:dyDescent="0.2">
      <c r="A173" s="397" t="s">
        <v>479</v>
      </c>
      <c r="B173" s="499" t="s">
        <v>468</v>
      </c>
      <c r="C173" s="366">
        <f>+VLOOKUP(B173,'[7]Resumen E.P'!$A$4:$I$226,9,0)</f>
        <v>2.4442499999999998</v>
      </c>
      <c r="D173" s="367" t="s">
        <v>420</v>
      </c>
      <c r="E173" s="368">
        <v>2.5</v>
      </c>
      <c r="F173" s="367" t="s">
        <v>363</v>
      </c>
      <c r="G173" s="375">
        <f t="shared" si="9"/>
        <v>6.1106249999999998</v>
      </c>
      <c r="H173" s="404"/>
      <c r="I173" s="373"/>
      <c r="J173" s="359"/>
      <c r="K173" s="359"/>
      <c r="L173" s="359"/>
      <c r="M173" s="359"/>
      <c r="N173" s="359"/>
      <c r="O173" s="448"/>
      <c r="P173" s="354"/>
      <c r="Q173" s="354"/>
    </row>
    <row r="174" spans="1:17" x14ac:dyDescent="0.2">
      <c r="A174" s="397" t="s">
        <v>480</v>
      </c>
      <c r="B174" s="367" t="s">
        <v>481</v>
      </c>
      <c r="C174" s="366">
        <f>+VLOOKUP(B174,'[7]Resumen E.P'!$A$4:$I$226,9,0)</f>
        <v>2.25875</v>
      </c>
      <c r="D174" s="367" t="s">
        <v>420</v>
      </c>
      <c r="E174" s="368">
        <v>2.5</v>
      </c>
      <c r="F174" s="367" t="s">
        <v>363</v>
      </c>
      <c r="G174" s="375">
        <f t="shared" si="9"/>
        <v>5.6468749999999996</v>
      </c>
      <c r="H174" s="404"/>
      <c r="I174" s="373"/>
      <c r="J174" s="359"/>
      <c r="K174" s="359"/>
      <c r="L174" s="359"/>
      <c r="M174" s="359"/>
      <c r="N174" s="359"/>
      <c r="O174" s="448"/>
      <c r="P174" s="354"/>
      <c r="Q174" s="354"/>
    </row>
    <row r="175" spans="1:17" x14ac:dyDescent="0.2">
      <c r="A175" s="397" t="s">
        <v>511</v>
      </c>
      <c r="B175" s="367" t="s">
        <v>139</v>
      </c>
      <c r="C175" s="366">
        <f>+VLOOKUP(B175,'[7]Resumen E.P'!$A$4:$I$226,9,0)</f>
        <v>13.743478260869566</v>
      </c>
      <c r="D175" s="367" t="s">
        <v>420</v>
      </c>
      <c r="E175" s="368">
        <v>1</v>
      </c>
      <c r="F175" s="367" t="s">
        <v>363</v>
      </c>
      <c r="G175" s="375">
        <f t="shared" si="9"/>
        <v>13.743478260869566</v>
      </c>
      <c r="H175" s="404"/>
      <c r="I175" s="373"/>
      <c r="J175" s="359"/>
      <c r="K175" s="359"/>
      <c r="L175" s="359"/>
      <c r="M175" s="359"/>
      <c r="N175" s="359"/>
      <c r="O175" s="448"/>
      <c r="P175" s="354"/>
      <c r="Q175" s="354"/>
    </row>
    <row r="176" spans="1:17" x14ac:dyDescent="0.2">
      <c r="A176" s="397"/>
      <c r="B176" s="421" t="s">
        <v>457</v>
      </c>
      <c r="C176" s="366">
        <f>+VLOOKUP(B176,'[7]Resumen E.P'!$A$4:$I$226,9,0)</f>
        <v>2.3445</v>
      </c>
      <c r="D176" s="421" t="s">
        <v>420</v>
      </c>
      <c r="E176" s="368">
        <v>2.5</v>
      </c>
      <c r="F176" s="421" t="s">
        <v>363</v>
      </c>
      <c r="G176" s="375">
        <f t="shared" si="9"/>
        <v>5.8612500000000001</v>
      </c>
      <c r="H176" s="404"/>
      <c r="I176" s="373"/>
      <c r="J176" s="359"/>
      <c r="K176" s="359"/>
      <c r="L176" s="359"/>
      <c r="M176" s="359"/>
      <c r="N176" s="359"/>
      <c r="O176" s="448"/>
      <c r="P176" s="354"/>
      <c r="Q176" s="354"/>
    </row>
    <row r="177" spans="1:17" x14ac:dyDescent="0.2">
      <c r="A177" s="397"/>
      <c r="B177" s="421" t="s">
        <v>485</v>
      </c>
      <c r="C177" s="366">
        <f>+VLOOKUP(B177,'[7]Resumen E.P'!A175:I370,9,0)</f>
        <v>0.83516666666666661</v>
      </c>
      <c r="D177" s="367" t="s">
        <v>420</v>
      </c>
      <c r="E177" s="493">
        <v>2</v>
      </c>
      <c r="F177" s="367" t="s">
        <v>363</v>
      </c>
      <c r="G177" s="375">
        <f t="shared" si="9"/>
        <v>1.6703333333333332</v>
      </c>
      <c r="H177" s="404"/>
      <c r="I177" s="373"/>
      <c r="J177" s="359"/>
      <c r="K177" s="359"/>
      <c r="L177" s="359"/>
      <c r="M177" s="359"/>
      <c r="N177" s="359"/>
      <c r="O177" s="448"/>
      <c r="P177" s="354"/>
      <c r="Q177" s="354"/>
    </row>
    <row r="178" spans="1:17" x14ac:dyDescent="0.2">
      <c r="A178" s="398"/>
      <c r="B178" s="400"/>
      <c r="C178" s="503"/>
      <c r="D178" s="400"/>
      <c r="E178" s="401"/>
      <c r="F178" s="402"/>
      <c r="G178" s="385">
        <f>SUM(G172:G177)</f>
        <v>48.440894927536227</v>
      </c>
      <c r="H178" s="363"/>
      <c r="I178" s="373"/>
      <c r="J178" s="359"/>
      <c r="K178" s="359"/>
      <c r="L178" s="359"/>
      <c r="M178" s="359"/>
      <c r="N178" s="359"/>
      <c r="O178" s="448"/>
      <c r="P178" s="354"/>
      <c r="Q178" s="354"/>
    </row>
    <row r="179" spans="1:17" x14ac:dyDescent="0.2">
      <c r="A179" s="359"/>
      <c r="B179" s="412"/>
      <c r="C179" s="412"/>
      <c r="D179" s="412"/>
      <c r="E179" s="412"/>
      <c r="F179" s="412"/>
      <c r="G179" s="429"/>
      <c r="H179" s="373"/>
      <c r="I179" s="359"/>
      <c r="J179" s="417"/>
      <c r="K179" s="373"/>
      <c r="L179" s="359"/>
      <c r="M179" s="359"/>
      <c r="N179" s="359"/>
      <c r="O179" s="448"/>
      <c r="P179" s="354"/>
      <c r="Q179" s="354"/>
    </row>
    <row r="180" spans="1:17" x14ac:dyDescent="0.2">
      <c r="A180" s="364"/>
      <c r="B180" s="505"/>
      <c r="C180" s="505"/>
      <c r="D180" s="505"/>
      <c r="E180" s="1592" t="s">
        <v>466</v>
      </c>
      <c r="F180" s="1593"/>
      <c r="G180" s="1594"/>
      <c r="H180" s="363"/>
      <c r="I180" s="363"/>
      <c r="J180" s="363"/>
      <c r="K180" s="490"/>
      <c r="L180" s="416"/>
      <c r="M180" s="358"/>
      <c r="N180" s="358"/>
      <c r="O180" s="354"/>
      <c r="P180" s="354"/>
      <c r="Q180" s="354"/>
    </row>
    <row r="181" spans="1:17" x14ac:dyDescent="0.2">
      <c r="A181" s="418" t="s">
        <v>512</v>
      </c>
      <c r="B181" s="421" t="s">
        <v>468</v>
      </c>
      <c r="C181" s="366">
        <f>+VLOOKUP(B181,'[7]Resumen E.P'!$A$4:$I$226,9,0)</f>
        <v>2.4442499999999998</v>
      </c>
      <c r="D181" s="367" t="s">
        <v>420</v>
      </c>
      <c r="E181" s="368">
        <v>44</v>
      </c>
      <c r="F181" s="367" t="s">
        <v>363</v>
      </c>
      <c r="G181" s="393">
        <f>C181*E181</f>
        <v>107.547</v>
      </c>
      <c r="H181" s="506"/>
      <c r="I181" s="377"/>
      <c r="J181" s="396"/>
      <c r="K181" s="359"/>
      <c r="L181" s="416"/>
      <c r="M181" s="358"/>
      <c r="N181" s="358"/>
      <c r="O181" s="354"/>
      <c r="P181" s="354"/>
      <c r="Q181" s="354"/>
    </row>
    <row r="182" spans="1:17" x14ac:dyDescent="0.2">
      <c r="A182" s="397"/>
      <c r="B182" s="421" t="s">
        <v>469</v>
      </c>
      <c r="C182" s="366">
        <f>+VLOOKUP(B182,'[7]Resumen E.P'!A180:I375,9,0)</f>
        <v>1.2162500000000001</v>
      </c>
      <c r="D182" s="367" t="s">
        <v>420</v>
      </c>
      <c r="E182" s="368">
        <v>48</v>
      </c>
      <c r="F182" s="367" t="s">
        <v>363</v>
      </c>
      <c r="G182" s="393">
        <f t="shared" ref="G182:G195" si="10">C182*E182</f>
        <v>58.38</v>
      </c>
      <c r="H182" s="507"/>
      <c r="I182" s="377"/>
      <c r="J182" s="396"/>
      <c r="K182" s="359"/>
      <c r="L182" s="416"/>
      <c r="M182" s="358"/>
      <c r="N182" s="358"/>
      <c r="O182" s="354"/>
      <c r="P182" s="354"/>
      <c r="Q182" s="354"/>
    </row>
    <row r="183" spans="1:17" x14ac:dyDescent="0.2">
      <c r="A183" s="397"/>
      <c r="B183" s="421" t="s">
        <v>470</v>
      </c>
      <c r="C183" s="366">
        <f>+VLOOKUP(B183,'[7]Resumen E.P'!$A$4:$I$226,9,0)</f>
        <v>3.9544999999999999</v>
      </c>
      <c r="D183" s="367" t="s">
        <v>420</v>
      </c>
      <c r="E183" s="368">
        <v>44</v>
      </c>
      <c r="F183" s="367" t="s">
        <v>363</v>
      </c>
      <c r="G183" s="393">
        <f t="shared" si="10"/>
        <v>173.99799999999999</v>
      </c>
      <c r="H183" s="507"/>
      <c r="I183" s="377"/>
      <c r="J183" s="396"/>
      <c r="K183" s="359"/>
      <c r="L183" s="416"/>
      <c r="M183" s="358"/>
      <c r="N183" s="358"/>
      <c r="O183" s="354"/>
      <c r="P183" s="354"/>
      <c r="Q183" s="354"/>
    </row>
    <row r="184" spans="1:17" x14ac:dyDescent="0.2">
      <c r="A184" s="397"/>
      <c r="B184" s="421" t="s">
        <v>140</v>
      </c>
      <c r="C184" s="366">
        <f>+VLOOKUP(B184,'[7]Resumen E.P'!$A$4:$I$226,9,0)</f>
        <v>2.3748333333333336</v>
      </c>
      <c r="D184" s="367" t="s">
        <v>420</v>
      </c>
      <c r="E184" s="368">
        <v>44</v>
      </c>
      <c r="F184" s="367" t="s">
        <v>363</v>
      </c>
      <c r="G184" s="393">
        <f t="shared" si="10"/>
        <v>104.49266666666668</v>
      </c>
      <c r="H184" s="507"/>
      <c r="I184" s="377"/>
      <c r="J184" s="396"/>
      <c r="K184" s="359"/>
      <c r="L184" s="416"/>
      <c r="M184" s="358"/>
      <c r="N184" s="358"/>
      <c r="O184" s="354"/>
      <c r="P184" s="354"/>
      <c r="Q184" s="354"/>
    </row>
    <row r="185" spans="1:17" x14ac:dyDescent="0.2">
      <c r="A185" s="397"/>
      <c r="B185" s="421" t="s">
        <v>471</v>
      </c>
      <c r="C185" s="366">
        <f>+VLOOKUP(B185,'[7]Resumen E.P'!$A$4:$I$226,9,0)</f>
        <v>0.95250000000000001</v>
      </c>
      <c r="D185" s="367" t="s">
        <v>420</v>
      </c>
      <c r="E185" s="368">
        <v>60</v>
      </c>
      <c r="F185" s="367" t="s">
        <v>363</v>
      </c>
      <c r="G185" s="393">
        <f t="shared" si="10"/>
        <v>57.15</v>
      </c>
      <c r="H185" s="507"/>
      <c r="I185" s="377"/>
      <c r="J185" s="396"/>
      <c r="K185" s="359"/>
      <c r="L185" s="416"/>
      <c r="M185" s="358"/>
      <c r="N185" s="358"/>
      <c r="O185" s="354"/>
      <c r="P185" s="354"/>
      <c r="Q185" s="354"/>
    </row>
    <row r="186" spans="1:17" x14ac:dyDescent="0.2">
      <c r="A186" s="397"/>
      <c r="B186" s="421" t="s">
        <v>143</v>
      </c>
      <c r="C186" s="366">
        <f>+VLOOKUP(B186,'[7]Resumen E.P'!A184:I379,9,0)</f>
        <v>1.05</v>
      </c>
      <c r="D186" s="367" t="s">
        <v>420</v>
      </c>
      <c r="E186" s="368">
        <v>46</v>
      </c>
      <c r="F186" s="367" t="s">
        <v>363</v>
      </c>
      <c r="G186" s="393">
        <f t="shared" si="10"/>
        <v>48.300000000000004</v>
      </c>
      <c r="H186" s="507"/>
      <c r="I186" s="377"/>
      <c r="J186" s="396"/>
      <c r="K186" s="359"/>
      <c r="L186" s="416"/>
      <c r="M186" s="358"/>
      <c r="N186" s="358"/>
      <c r="O186" s="354"/>
      <c r="P186" s="354"/>
      <c r="Q186" s="354"/>
    </row>
    <row r="187" spans="1:17" x14ac:dyDescent="0.2">
      <c r="A187" s="397"/>
      <c r="B187" s="421" t="s">
        <v>472</v>
      </c>
      <c r="C187" s="366">
        <f>+VLOOKUP(B187,'[7]Resumen E.P'!$A$4:$I$226,9,0)</f>
        <v>4.75</v>
      </c>
      <c r="D187" s="367" t="s">
        <v>420</v>
      </c>
      <c r="E187" s="368">
        <v>56</v>
      </c>
      <c r="F187" s="367" t="s">
        <v>363</v>
      </c>
      <c r="G187" s="393">
        <f t="shared" si="10"/>
        <v>266</v>
      </c>
      <c r="H187" s="507"/>
      <c r="I187" s="377"/>
      <c r="J187" s="396"/>
      <c r="K187" s="359"/>
      <c r="L187" s="416"/>
      <c r="M187" s="358"/>
      <c r="N187" s="358"/>
      <c r="O187" s="354"/>
      <c r="P187" s="354"/>
      <c r="Q187" s="354"/>
    </row>
    <row r="188" spans="1:17" x14ac:dyDescent="0.2">
      <c r="A188" s="397"/>
      <c r="B188" s="421" t="s">
        <v>473</v>
      </c>
      <c r="C188" s="366">
        <f>+VLOOKUP(B188,'[7]Resumen E.P'!$A$4:$I$226,9,0)</f>
        <v>1</v>
      </c>
      <c r="D188" s="367" t="s">
        <v>420</v>
      </c>
      <c r="E188" s="368">
        <v>44</v>
      </c>
      <c r="F188" s="367" t="s">
        <v>363</v>
      </c>
      <c r="G188" s="393">
        <f t="shared" si="10"/>
        <v>44</v>
      </c>
      <c r="H188" s="507"/>
      <c r="I188" s="377"/>
      <c r="J188" s="396"/>
      <c r="K188" s="359"/>
      <c r="L188" s="416"/>
      <c r="M188" s="358"/>
      <c r="N188" s="358"/>
      <c r="O188" s="354"/>
      <c r="P188" s="354"/>
      <c r="Q188" s="354"/>
    </row>
    <row r="189" spans="1:17" x14ac:dyDescent="0.2">
      <c r="A189" s="397"/>
      <c r="B189" s="421" t="s">
        <v>145</v>
      </c>
      <c r="C189" s="366">
        <f>+VLOOKUP(B189,'[7]Resumen E.P'!A187:I382,9,0)</f>
        <v>3.0816666666666666</v>
      </c>
      <c r="D189" s="367" t="s">
        <v>420</v>
      </c>
      <c r="E189" s="368">
        <v>44</v>
      </c>
      <c r="F189" s="367" t="s">
        <v>363</v>
      </c>
      <c r="G189" s="393">
        <f t="shared" si="10"/>
        <v>135.59333333333333</v>
      </c>
      <c r="H189" s="507"/>
      <c r="I189" s="377"/>
      <c r="J189" s="396"/>
      <c r="K189" s="359"/>
      <c r="L189" s="416"/>
      <c r="M189" s="358"/>
      <c r="N189" s="358"/>
      <c r="O189" s="354"/>
      <c r="P189" s="354"/>
      <c r="Q189" s="354"/>
    </row>
    <row r="190" spans="1:17" x14ac:dyDescent="0.2">
      <c r="A190" s="397"/>
      <c r="B190" s="421" t="s">
        <v>475</v>
      </c>
      <c r="C190" s="366">
        <f>+VLOOKUP(B190,'[7]Resumen E.P'!$A$4:$I$226,9,0)</f>
        <v>13.176666666666666</v>
      </c>
      <c r="D190" s="367" t="s">
        <v>420</v>
      </c>
      <c r="E190" s="368">
        <v>80</v>
      </c>
      <c r="F190" s="367" t="s">
        <v>363</v>
      </c>
      <c r="G190" s="393">
        <f t="shared" si="10"/>
        <v>1054.1333333333332</v>
      </c>
      <c r="H190" s="507"/>
      <c r="I190" s="377"/>
      <c r="J190" s="396"/>
      <c r="K190" s="359"/>
      <c r="L190" s="416"/>
      <c r="M190" s="358"/>
      <c r="N190" s="358"/>
      <c r="O190" s="354"/>
      <c r="P190" s="354"/>
      <c r="Q190" s="354"/>
    </row>
    <row r="191" spans="1:17" x14ac:dyDescent="0.2">
      <c r="A191" s="397"/>
      <c r="B191" s="379" t="s">
        <v>513</v>
      </c>
      <c r="C191" s="366">
        <f>+VLOOKUP(B191,'[7]Resumen E.P'!$A$4:$I$226,9,0)</f>
        <v>1.29125</v>
      </c>
      <c r="D191" s="367" t="s">
        <v>420</v>
      </c>
      <c r="E191" s="368">
        <v>42</v>
      </c>
      <c r="F191" s="367" t="s">
        <v>363</v>
      </c>
      <c r="G191" s="393">
        <f t="shared" si="10"/>
        <v>54.232500000000002</v>
      </c>
      <c r="H191" s="507"/>
      <c r="I191" s="377"/>
      <c r="J191" s="396"/>
      <c r="K191" s="359"/>
      <c r="L191" s="416"/>
      <c r="M191" s="358"/>
      <c r="N191" s="358"/>
      <c r="O191" s="354"/>
      <c r="P191" s="354"/>
      <c r="Q191" s="354"/>
    </row>
    <row r="192" spans="1:17" x14ac:dyDescent="0.2">
      <c r="A192" s="397"/>
      <c r="B192" s="421" t="s">
        <v>142</v>
      </c>
      <c r="C192" s="366">
        <f>+VLOOKUP(B192,'[7]Resumen E.P'!A190:I385,9,0)</f>
        <v>1.5149999999999999</v>
      </c>
      <c r="D192" s="367" t="s">
        <v>420</v>
      </c>
      <c r="E192" s="368">
        <v>50</v>
      </c>
      <c r="F192" s="367" t="s">
        <v>363</v>
      </c>
      <c r="G192" s="393">
        <f t="shared" si="10"/>
        <v>75.75</v>
      </c>
      <c r="H192" s="507"/>
      <c r="I192" s="377"/>
      <c r="J192" s="396"/>
      <c r="K192" s="359"/>
      <c r="L192" s="416"/>
      <c r="M192" s="358"/>
      <c r="N192" s="358"/>
      <c r="O192" s="354"/>
      <c r="P192" s="354"/>
      <c r="Q192" s="354"/>
    </row>
    <row r="193" spans="1:17" x14ac:dyDescent="0.2">
      <c r="A193" s="395"/>
      <c r="B193" s="421" t="s">
        <v>514</v>
      </c>
      <c r="C193" s="366">
        <f>+VLOOKUP(B193,'[7]Resumen E.P'!$A$4:$I$226,9,0)</f>
        <v>2.2374999999999998</v>
      </c>
      <c r="D193" s="367" t="s">
        <v>420</v>
      </c>
      <c r="E193" s="368">
        <v>42</v>
      </c>
      <c r="F193" s="367" t="s">
        <v>363</v>
      </c>
      <c r="G193" s="393">
        <f t="shared" si="10"/>
        <v>93.974999999999994</v>
      </c>
      <c r="H193" s="507"/>
      <c r="I193" s="377"/>
      <c r="J193" s="396"/>
      <c r="K193" s="359"/>
      <c r="L193" s="359"/>
      <c r="M193" s="358"/>
      <c r="N193" s="358"/>
      <c r="O193" s="354"/>
      <c r="P193" s="354"/>
      <c r="Q193" s="354"/>
    </row>
    <row r="194" spans="1:17" x14ac:dyDescent="0.2">
      <c r="A194" s="395"/>
      <c r="B194" s="421" t="s">
        <v>476</v>
      </c>
      <c r="C194" s="366">
        <f>+VLOOKUP(B194,'[7]Resumen E.P'!$A$4:$I$226,9,0)</f>
        <v>0.8</v>
      </c>
      <c r="D194" s="367" t="s">
        <v>420</v>
      </c>
      <c r="E194" s="368">
        <v>44</v>
      </c>
      <c r="F194" s="367" t="s">
        <v>363</v>
      </c>
      <c r="G194" s="393">
        <f t="shared" si="10"/>
        <v>35.200000000000003</v>
      </c>
      <c r="H194" s="507"/>
      <c r="I194" s="377"/>
      <c r="J194" s="396"/>
      <c r="K194" s="359"/>
      <c r="L194" s="358"/>
      <c r="M194" s="358"/>
      <c r="N194" s="358"/>
      <c r="O194" s="354"/>
      <c r="P194" s="354"/>
      <c r="Q194" s="354"/>
    </row>
    <row r="195" spans="1:17" x14ac:dyDescent="0.2">
      <c r="A195" s="397"/>
      <c r="B195" s="499" t="s">
        <v>515</v>
      </c>
      <c r="C195" s="366">
        <f>+VLOOKUP(B195,'[7]Resumen E.P'!$A$4:$I$226,9,0)</f>
        <v>3.105</v>
      </c>
      <c r="D195" s="367" t="s">
        <v>420</v>
      </c>
      <c r="E195" s="368">
        <v>64</v>
      </c>
      <c r="F195" s="367" t="s">
        <v>363</v>
      </c>
      <c r="G195" s="393">
        <f t="shared" si="10"/>
        <v>198.72</v>
      </c>
      <c r="H195" s="507"/>
      <c r="I195" s="377"/>
      <c r="J195" s="396"/>
      <c r="K195" s="359"/>
      <c r="L195" s="358"/>
      <c r="M195" s="358"/>
      <c r="N195" s="358"/>
      <c r="O195" s="354"/>
      <c r="P195" s="354"/>
      <c r="Q195" s="354"/>
    </row>
    <row r="196" spans="1:17" x14ac:dyDescent="0.2">
      <c r="A196" s="398"/>
      <c r="B196" s="381"/>
      <c r="C196" s="508"/>
      <c r="D196" s="500"/>
      <c r="E196" s="463"/>
      <c r="F196" s="500"/>
      <c r="G196" s="403">
        <f>SUM(G181:G195)/15</f>
        <v>167.16478888888884</v>
      </c>
      <c r="H196" s="386" t="s">
        <v>23</v>
      </c>
      <c r="I196" s="377"/>
      <c r="J196" s="422"/>
      <c r="K196" s="490"/>
      <c r="L196" s="358"/>
      <c r="M196" s="358"/>
      <c r="N196" s="358"/>
      <c r="O196" s="354"/>
      <c r="P196" s="354"/>
      <c r="Q196" s="354"/>
    </row>
    <row r="197" spans="1:17" x14ac:dyDescent="0.2">
      <c r="A197" s="359"/>
      <c r="B197" s="412"/>
      <c r="C197" s="450"/>
      <c r="D197" s="412"/>
      <c r="E197" s="412"/>
      <c r="F197" s="412"/>
      <c r="G197" s="429"/>
      <c r="H197" s="430"/>
      <c r="I197" s="359"/>
      <c r="J197" s="417"/>
      <c r="K197" s="373"/>
      <c r="L197" s="359"/>
      <c r="M197" s="358"/>
      <c r="N197" s="358"/>
      <c r="O197" s="354"/>
      <c r="P197" s="354"/>
      <c r="Q197" s="354"/>
    </row>
    <row r="198" spans="1:17" x14ac:dyDescent="0.2">
      <c r="A198" s="431" t="s">
        <v>516</v>
      </c>
      <c r="B198" s="421" t="s">
        <v>517</v>
      </c>
      <c r="C198" s="366">
        <f>+VLOOKUP(B198,'[7]Resumen E.P'!$A$4:$I$226,9,0)</f>
        <v>6.3935000000000004</v>
      </c>
      <c r="D198" s="421" t="s">
        <v>518</v>
      </c>
      <c r="E198" s="421">
        <v>5</v>
      </c>
      <c r="F198" s="421" t="s">
        <v>359</v>
      </c>
      <c r="G198" s="393">
        <f>C198*E198</f>
        <v>31.967500000000001</v>
      </c>
      <c r="H198" s="419"/>
      <c r="I198" s="359"/>
      <c r="J198" s="417"/>
      <c r="K198" s="373"/>
      <c r="L198" s="358"/>
      <c r="M198" s="358"/>
      <c r="N198" s="358"/>
      <c r="O198" s="354"/>
      <c r="P198" s="354"/>
      <c r="Q198" s="354"/>
    </row>
    <row r="199" spans="1:17" x14ac:dyDescent="0.2">
      <c r="A199" s="433"/>
      <c r="B199" s="421" t="s">
        <v>519</v>
      </c>
      <c r="C199" s="366">
        <f>+VLOOKUP(B199,'[7]Resumen E.P'!$A$4:$I$226,9,0)</f>
        <v>11.373333333333333</v>
      </c>
      <c r="D199" s="367" t="s">
        <v>362</v>
      </c>
      <c r="E199" s="368">
        <v>6</v>
      </c>
      <c r="F199" s="367" t="s">
        <v>363</v>
      </c>
      <c r="G199" s="393">
        <f>C199*E199</f>
        <v>68.239999999999995</v>
      </c>
      <c r="H199" s="370"/>
      <c r="I199" s="359"/>
      <c r="J199" s="417"/>
      <c r="K199" s="373"/>
      <c r="L199" s="358"/>
      <c r="M199" s="358"/>
      <c r="N199" s="358"/>
      <c r="O199" s="354"/>
      <c r="P199" s="354"/>
      <c r="Q199" s="354"/>
    </row>
    <row r="200" spans="1:17" x14ac:dyDescent="0.2">
      <c r="A200" s="433"/>
      <c r="B200" s="421" t="s">
        <v>520</v>
      </c>
      <c r="C200" s="366">
        <f>+VLOOKUP(B200,'[7]Resumen E.P'!$A$4:$I$226,9,0)</f>
        <v>10.4</v>
      </c>
      <c r="D200" s="367" t="s">
        <v>420</v>
      </c>
      <c r="E200" s="368">
        <v>6</v>
      </c>
      <c r="F200" s="367" t="s">
        <v>363</v>
      </c>
      <c r="G200" s="393">
        <f>C200*E200</f>
        <v>62.400000000000006</v>
      </c>
      <c r="H200" s="370"/>
      <c r="I200" s="359"/>
      <c r="J200" s="417"/>
      <c r="K200" s="373"/>
      <c r="L200" s="358"/>
      <c r="M200" s="358"/>
      <c r="N200" s="358"/>
      <c r="O200" s="354"/>
      <c r="P200" s="354"/>
      <c r="Q200" s="354"/>
    </row>
    <row r="201" spans="1:17" x14ac:dyDescent="0.2">
      <c r="A201" s="509"/>
      <c r="B201" s="463"/>
      <c r="C201" s="485"/>
      <c r="D201" s="500"/>
      <c r="E201" s="463"/>
      <c r="F201" s="462"/>
      <c r="G201" s="510">
        <f>SUM(G198:G200)/3</f>
        <v>54.202500000000008</v>
      </c>
      <c r="H201" s="386" t="s">
        <v>23</v>
      </c>
      <c r="I201" s="359"/>
      <c r="J201" s="417"/>
      <c r="K201" s="373"/>
      <c r="L201" s="358"/>
      <c r="M201" s="358"/>
      <c r="N201" s="358"/>
      <c r="O201" s="354"/>
      <c r="P201" s="354"/>
      <c r="Q201" s="354"/>
    </row>
    <row r="202" spans="1:17" x14ac:dyDescent="0.2">
      <c r="A202" s="511"/>
      <c r="B202" s="387"/>
      <c r="C202" s="388"/>
      <c r="D202" s="387"/>
      <c r="E202" s="387"/>
      <c r="F202" s="387"/>
      <c r="G202" s="512"/>
      <c r="H202" s="363"/>
      <c r="I202" s="359"/>
      <c r="J202" s="417"/>
      <c r="K202" s="373"/>
      <c r="L202" s="358"/>
      <c r="M202" s="358"/>
      <c r="N202" s="358"/>
      <c r="O202" s="354"/>
      <c r="P202" s="354"/>
      <c r="Q202" s="354"/>
    </row>
    <row r="203" spans="1:17" x14ac:dyDescent="0.2">
      <c r="A203" s="418" t="s">
        <v>521</v>
      </c>
      <c r="B203" s="513" t="s">
        <v>376</v>
      </c>
      <c r="C203" s="409">
        <f>+VLOOKUP(B203,'[7]Resumen E.P'!$A$4:$I$226,9,0)</f>
        <v>10.817307692307692</v>
      </c>
      <c r="D203" s="421" t="s">
        <v>435</v>
      </c>
      <c r="E203" s="368">
        <v>1</v>
      </c>
      <c r="F203" s="421" t="s">
        <v>435</v>
      </c>
      <c r="G203" s="393">
        <f t="shared" ref="G203:G209" si="11">C203</f>
        <v>10.817307692307692</v>
      </c>
      <c r="H203" s="514"/>
      <c r="I203" s="359"/>
      <c r="J203" s="372"/>
      <c r="K203" s="373"/>
      <c r="L203" s="358"/>
      <c r="M203" s="358"/>
      <c r="N203" s="358"/>
      <c r="O203" s="354"/>
      <c r="P203" s="354"/>
      <c r="Q203" s="354"/>
    </row>
    <row r="204" spans="1:17" x14ac:dyDescent="0.2">
      <c r="A204" s="515"/>
      <c r="B204" s="513" t="s">
        <v>436</v>
      </c>
      <c r="C204" s="409">
        <f>+VLOOKUP(B204,'[7]Resumen E.P'!$A$4:$I$226,9,0)</f>
        <v>441</v>
      </c>
      <c r="D204" s="421" t="s">
        <v>437</v>
      </c>
      <c r="E204" s="368">
        <v>1</v>
      </c>
      <c r="F204" s="421" t="s">
        <v>437</v>
      </c>
      <c r="G204" s="393">
        <f t="shared" si="11"/>
        <v>441</v>
      </c>
      <c r="H204" s="514"/>
      <c r="I204" s="359"/>
      <c r="J204" s="372"/>
      <c r="K204" s="373"/>
      <c r="L204" s="358"/>
      <c r="M204" s="358"/>
      <c r="N204" s="358"/>
      <c r="O204" s="354"/>
      <c r="P204" s="354"/>
      <c r="Q204" s="354"/>
    </row>
    <row r="205" spans="1:17" x14ac:dyDescent="0.2">
      <c r="A205" s="515"/>
      <c r="B205" s="379" t="s">
        <v>438</v>
      </c>
      <c r="C205" s="409">
        <f>+VLOOKUP(B205,'[7]Resumen E.P'!$A$4:$I$226,9,0)</f>
        <v>577.29166666666663</v>
      </c>
      <c r="D205" s="421" t="s">
        <v>437</v>
      </c>
      <c r="E205" s="368">
        <v>1</v>
      </c>
      <c r="F205" s="421" t="s">
        <v>437</v>
      </c>
      <c r="G205" s="393">
        <f t="shared" si="11"/>
        <v>577.29166666666663</v>
      </c>
      <c r="H205" s="514"/>
      <c r="I205" s="359"/>
      <c r="J205" s="372"/>
      <c r="K205" s="373"/>
      <c r="L205" s="358"/>
      <c r="M205" s="358"/>
      <c r="N205" s="358"/>
      <c r="O205" s="354"/>
      <c r="P205" s="354"/>
      <c r="Q205" s="354"/>
    </row>
    <row r="206" spans="1:17" ht="12.75" x14ac:dyDescent="0.2">
      <c r="A206" s="515"/>
      <c r="B206" s="516" t="s">
        <v>440</v>
      </c>
      <c r="C206" s="409">
        <f>+VLOOKUP(B206,'[7]Resumen E.P'!$A$4:$I$226,9,0)</f>
        <v>8.8416666666666668</v>
      </c>
      <c r="D206" s="421" t="s">
        <v>437</v>
      </c>
      <c r="E206" s="368">
        <v>1</v>
      </c>
      <c r="F206" s="421" t="s">
        <v>437</v>
      </c>
      <c r="G206" s="393">
        <f t="shared" si="11"/>
        <v>8.8416666666666668</v>
      </c>
      <c r="H206" s="514"/>
      <c r="I206" s="359"/>
      <c r="J206" s="372"/>
      <c r="K206" s="373"/>
      <c r="L206" s="358"/>
      <c r="M206" s="358"/>
      <c r="N206" s="358"/>
      <c r="O206" s="354"/>
      <c r="P206" s="354"/>
      <c r="Q206" s="354"/>
    </row>
    <row r="207" spans="1:17" x14ac:dyDescent="0.2">
      <c r="A207" s="515"/>
      <c r="B207" s="513" t="s">
        <v>438</v>
      </c>
      <c r="C207" s="409">
        <f>+VLOOKUP(B207,'[7]Resumen E.P'!$A$4:$I$226,9,0)</f>
        <v>577.29166666666663</v>
      </c>
      <c r="D207" s="421" t="s">
        <v>437</v>
      </c>
      <c r="E207" s="368">
        <v>1</v>
      </c>
      <c r="F207" s="421" t="s">
        <v>437</v>
      </c>
      <c r="G207" s="393">
        <f t="shared" si="11"/>
        <v>577.29166666666663</v>
      </c>
      <c r="H207" s="514"/>
      <c r="I207" s="359"/>
      <c r="J207" s="372"/>
      <c r="K207" s="373"/>
      <c r="L207" s="358"/>
      <c r="M207" s="358"/>
      <c r="N207" s="358"/>
      <c r="O207" s="354"/>
      <c r="P207" s="354"/>
      <c r="Q207" s="354"/>
    </row>
    <row r="208" spans="1:17" x14ac:dyDescent="0.2">
      <c r="A208" s="515"/>
      <c r="B208" s="379" t="s">
        <v>522</v>
      </c>
      <c r="C208" s="409">
        <f>+VLOOKUP(B208,'[7]Resumen E.P'!$A$4:$I$226,9,0)</f>
        <v>9.3556507936507938</v>
      </c>
      <c r="D208" s="421" t="s">
        <v>437</v>
      </c>
      <c r="E208" s="368">
        <v>1</v>
      </c>
      <c r="F208" s="421" t="s">
        <v>437</v>
      </c>
      <c r="G208" s="393">
        <f t="shared" si="11"/>
        <v>9.3556507936507938</v>
      </c>
      <c r="H208" s="514"/>
      <c r="I208" s="359"/>
      <c r="J208" s="372"/>
      <c r="K208" s="373"/>
      <c r="L208" s="358"/>
      <c r="M208" s="358"/>
      <c r="N208" s="358"/>
      <c r="O208" s="354"/>
      <c r="P208" s="354"/>
      <c r="Q208" s="354"/>
    </row>
    <row r="209" spans="1:17" x14ac:dyDescent="0.2">
      <c r="A209" s="517"/>
      <c r="B209" s="513" t="s">
        <v>441</v>
      </c>
      <c r="C209" s="409">
        <f>+VLOOKUP(B209,'[7]Resumen E.P'!$A$4:$I$226,9,0)</f>
        <v>704</v>
      </c>
      <c r="D209" s="421" t="s">
        <v>437</v>
      </c>
      <c r="E209" s="368">
        <v>1</v>
      </c>
      <c r="F209" s="421" t="s">
        <v>437</v>
      </c>
      <c r="G209" s="393">
        <f t="shared" si="11"/>
        <v>704</v>
      </c>
      <c r="H209" s="514"/>
      <c r="I209" s="359"/>
      <c r="J209" s="372"/>
      <c r="K209" s="373"/>
      <c r="L209" s="358"/>
      <c r="M209" s="358"/>
      <c r="N209" s="358"/>
      <c r="O209" s="354"/>
      <c r="P209" s="354"/>
      <c r="Q209" s="354"/>
    </row>
    <row r="210" spans="1:17" x14ac:dyDescent="0.2">
      <c r="A210" s="457"/>
      <c r="B210" s="387"/>
      <c r="C210" s="388"/>
      <c r="D210" s="387"/>
      <c r="E210" s="426"/>
      <c r="F210" s="387"/>
      <c r="G210" s="518">
        <f>SUM(G203:G209)/7</f>
        <v>332.65685121227983</v>
      </c>
      <c r="H210" s="441" t="s">
        <v>23</v>
      </c>
      <c r="I210" s="359"/>
      <c r="J210" s="372"/>
      <c r="K210" s="373"/>
      <c r="L210" s="358"/>
      <c r="M210" s="358"/>
      <c r="N210" s="358"/>
      <c r="O210" s="354"/>
      <c r="P210" s="354"/>
      <c r="Q210" s="354"/>
    </row>
    <row r="211" spans="1:17" x14ac:dyDescent="0.2">
      <c r="A211" s="511"/>
      <c r="B211" s="387"/>
      <c r="C211" s="388"/>
      <c r="D211" s="387"/>
      <c r="E211" s="387"/>
      <c r="F211" s="387"/>
      <c r="G211" s="512"/>
      <c r="H211" s="363"/>
      <c r="I211" s="359"/>
      <c r="J211" s="417"/>
      <c r="K211" s="373"/>
      <c r="L211" s="358"/>
      <c r="M211" s="358"/>
      <c r="N211" s="358"/>
      <c r="O211" s="354"/>
      <c r="P211" s="354"/>
      <c r="Q211" s="354"/>
    </row>
    <row r="212" spans="1:17" x14ac:dyDescent="0.2">
      <c r="A212" s="457"/>
      <c r="B212" s="412"/>
      <c r="C212" s="413"/>
      <c r="D212" s="412"/>
      <c r="E212" s="412"/>
      <c r="F212" s="412"/>
      <c r="G212" s="458"/>
      <c r="H212" s="430"/>
      <c r="I212" s="359"/>
      <c r="J212" s="417"/>
      <c r="K212" s="373"/>
      <c r="L212" s="358"/>
      <c r="M212" s="358"/>
      <c r="N212" s="358"/>
      <c r="O212" s="354"/>
      <c r="P212" s="354"/>
      <c r="Q212" s="354"/>
    </row>
    <row r="213" spans="1:17" x14ac:dyDescent="0.2">
      <c r="A213" s="456" t="s">
        <v>523</v>
      </c>
      <c r="B213" s="519" t="s">
        <v>352</v>
      </c>
      <c r="C213" s="1591" t="s">
        <v>353</v>
      </c>
      <c r="D213" s="1591"/>
      <c r="E213" s="1591" t="s">
        <v>354</v>
      </c>
      <c r="F213" s="1591"/>
      <c r="G213" s="1591"/>
      <c r="H213" s="430"/>
      <c r="I213" s="359"/>
      <c r="J213" s="417"/>
      <c r="K213" s="373"/>
      <c r="L213" s="358"/>
      <c r="M213" s="358"/>
      <c r="N213" s="358"/>
      <c r="O213" s="354"/>
      <c r="P213" s="354"/>
      <c r="Q213" s="354"/>
    </row>
    <row r="214" spans="1:17" x14ac:dyDescent="0.2">
      <c r="A214" s="457"/>
      <c r="B214" s="412"/>
      <c r="C214" s="413"/>
      <c r="D214" s="412"/>
      <c r="E214" s="412"/>
      <c r="F214" s="412"/>
      <c r="G214" s="458"/>
      <c r="H214" s="430"/>
      <c r="I214" s="359"/>
      <c r="J214" s="417"/>
      <c r="K214" s="373"/>
      <c r="L214" s="358"/>
      <c r="M214" s="358"/>
      <c r="N214" s="358"/>
      <c r="O214" s="354"/>
      <c r="P214" s="354"/>
      <c r="Q214" s="354"/>
    </row>
    <row r="215" spans="1:17" x14ac:dyDescent="0.2">
      <c r="A215" s="459" t="s">
        <v>416</v>
      </c>
      <c r="B215" s="460"/>
      <c r="C215" s="460"/>
      <c r="D215" s="460"/>
      <c r="E215" s="1592" t="s">
        <v>417</v>
      </c>
      <c r="F215" s="1593"/>
      <c r="G215" s="1594"/>
      <c r="H215" s="362"/>
      <c r="I215" s="359"/>
      <c r="J215" s="417"/>
      <c r="K215" s="373"/>
      <c r="L215" s="358"/>
      <c r="M215" s="358"/>
      <c r="N215" s="358"/>
      <c r="O215" s="354"/>
      <c r="P215" s="354"/>
      <c r="Q215" s="354"/>
    </row>
    <row r="216" spans="1:17" x14ac:dyDescent="0.2">
      <c r="A216" s="374" t="s">
        <v>418</v>
      </c>
      <c r="B216" s="421" t="s">
        <v>419</v>
      </c>
      <c r="C216" s="366">
        <f>+VLOOKUP(B216,'[7]Resumen E.P'!$A$4:$I$226,9,0)</f>
        <v>1.2966666666666666</v>
      </c>
      <c r="D216" s="421" t="s">
        <v>420</v>
      </c>
      <c r="E216" s="421">
        <v>99</v>
      </c>
      <c r="F216" s="421" t="s">
        <v>363</v>
      </c>
      <c r="G216" s="375">
        <f>E216*C216</f>
        <v>128.37</v>
      </c>
      <c r="H216" s="370"/>
      <c r="I216" s="359"/>
      <c r="J216" s="417"/>
      <c r="K216" s="373"/>
      <c r="L216" s="358"/>
      <c r="M216" s="358"/>
      <c r="N216" s="358"/>
      <c r="O216" s="354"/>
      <c r="P216" s="354"/>
      <c r="Q216" s="354"/>
    </row>
    <row r="217" spans="1:17" x14ac:dyDescent="0.2">
      <c r="A217" s="378"/>
      <c r="B217" s="421" t="s">
        <v>421</v>
      </c>
      <c r="C217" s="366">
        <f>+VLOOKUP(B217,'[7]Resumen E.P'!$A$4:$I$226,9,0)</f>
        <v>2.2683333333333335</v>
      </c>
      <c r="D217" s="421" t="s">
        <v>420</v>
      </c>
      <c r="E217" s="421">
        <v>160</v>
      </c>
      <c r="F217" s="421" t="s">
        <v>363</v>
      </c>
      <c r="G217" s="375">
        <f t="shared" ref="G217:G224" si="12">E217*C217</f>
        <v>362.93333333333339</v>
      </c>
      <c r="H217" s="370"/>
      <c r="I217" s="359"/>
      <c r="J217" s="417"/>
      <c r="K217" s="373"/>
      <c r="L217" s="358"/>
      <c r="M217" s="358"/>
      <c r="N217" s="358"/>
      <c r="O217" s="354"/>
      <c r="P217" s="354"/>
      <c r="Q217" s="354"/>
    </row>
    <row r="218" spans="1:17" x14ac:dyDescent="0.2">
      <c r="A218" s="378"/>
      <c r="B218" s="421" t="s">
        <v>422</v>
      </c>
      <c r="C218" s="366">
        <f>+VLOOKUP(B218,'[7]Resumen E.P'!$A$4:$I$226,9,0)</f>
        <v>3.2183333333333333</v>
      </c>
      <c r="D218" s="367" t="s">
        <v>420</v>
      </c>
      <c r="E218" s="421">
        <v>115</v>
      </c>
      <c r="F218" s="421" t="s">
        <v>363</v>
      </c>
      <c r="G218" s="375">
        <f t="shared" si="12"/>
        <v>370.10833333333335</v>
      </c>
      <c r="H218" s="370"/>
      <c r="I218" s="359"/>
      <c r="J218" s="417"/>
      <c r="K218" s="373"/>
      <c r="L218" s="358"/>
      <c r="M218" s="358"/>
      <c r="N218" s="358"/>
      <c r="O218" s="354"/>
      <c r="P218" s="354"/>
      <c r="Q218" s="354"/>
    </row>
    <row r="219" spans="1:17" x14ac:dyDescent="0.2">
      <c r="A219" s="378"/>
      <c r="B219" s="421" t="s">
        <v>423</v>
      </c>
      <c r="C219" s="366">
        <f>+VLOOKUP(B219,'[7]Resumen E.P'!$A$4:$I$226,9,0)</f>
        <v>3.1625000000000001</v>
      </c>
      <c r="D219" s="421" t="s">
        <v>420</v>
      </c>
      <c r="E219" s="421">
        <v>114</v>
      </c>
      <c r="F219" s="421" t="s">
        <v>363</v>
      </c>
      <c r="G219" s="375">
        <f t="shared" si="12"/>
        <v>360.52500000000003</v>
      </c>
      <c r="H219" s="370"/>
      <c r="I219" s="359"/>
      <c r="J219" s="417"/>
      <c r="K219" s="373"/>
      <c r="L219" s="358"/>
      <c r="M219" s="358"/>
      <c r="N219" s="358"/>
      <c r="O219" s="354"/>
      <c r="P219" s="354"/>
      <c r="Q219" s="354"/>
    </row>
    <row r="220" spans="1:17" x14ac:dyDescent="0.2">
      <c r="A220" s="378"/>
      <c r="B220" s="421" t="s">
        <v>424</v>
      </c>
      <c r="C220" s="366">
        <f>+VLOOKUP(B220,'[7]Resumen E.P'!$A$4:$I$226,9,0)</f>
        <v>2.94875</v>
      </c>
      <c r="D220" s="421" t="s">
        <v>420</v>
      </c>
      <c r="E220" s="421">
        <v>132</v>
      </c>
      <c r="F220" s="421" t="s">
        <v>363</v>
      </c>
      <c r="G220" s="375">
        <f t="shared" si="12"/>
        <v>389.23500000000001</v>
      </c>
      <c r="H220" s="370"/>
      <c r="I220" s="359"/>
      <c r="J220" s="417"/>
      <c r="K220" s="373"/>
      <c r="L220" s="358"/>
      <c r="M220" s="358"/>
      <c r="N220" s="358"/>
      <c r="O220" s="354"/>
      <c r="P220" s="354"/>
      <c r="Q220" s="354"/>
    </row>
    <row r="221" spans="1:17" x14ac:dyDescent="0.2">
      <c r="A221" s="378"/>
      <c r="B221" s="499" t="s">
        <v>425</v>
      </c>
      <c r="C221" s="366">
        <f>+VLOOKUP(B221,'[7]Resumen E.P'!$A$4:$I$226,9,0)</f>
        <v>2.4079999999999999</v>
      </c>
      <c r="D221" s="421" t="s">
        <v>420</v>
      </c>
      <c r="E221" s="421">
        <v>132</v>
      </c>
      <c r="F221" s="421" t="s">
        <v>363</v>
      </c>
      <c r="G221" s="375">
        <f t="shared" si="12"/>
        <v>317.85599999999999</v>
      </c>
      <c r="H221" s="370"/>
      <c r="I221" s="359"/>
      <c r="J221" s="417"/>
      <c r="K221" s="373"/>
      <c r="L221" s="358"/>
      <c r="M221" s="358"/>
      <c r="N221" s="358"/>
      <c r="O221" s="354"/>
      <c r="P221" s="354"/>
      <c r="Q221" s="354"/>
    </row>
    <row r="222" spans="1:17" x14ac:dyDescent="0.2">
      <c r="A222" s="378"/>
      <c r="B222" s="421" t="s">
        <v>426</v>
      </c>
      <c r="C222" s="366">
        <f>+VLOOKUP(B222,'[7]Resumen E.P'!$A$4:$I$226,9,0)</f>
        <v>3.8532500000000001</v>
      </c>
      <c r="D222" s="421" t="s">
        <v>420</v>
      </c>
      <c r="E222" s="421">
        <v>83</v>
      </c>
      <c r="F222" s="421" t="s">
        <v>363</v>
      </c>
      <c r="G222" s="375">
        <f t="shared" si="12"/>
        <v>319.81975</v>
      </c>
      <c r="H222" s="370"/>
      <c r="I222" s="359"/>
      <c r="J222" s="417"/>
      <c r="K222" s="373"/>
      <c r="L222" s="358"/>
      <c r="M222" s="358"/>
      <c r="N222" s="358"/>
      <c r="O222" s="354"/>
      <c r="P222" s="354"/>
      <c r="Q222" s="354"/>
    </row>
    <row r="223" spans="1:17" x14ac:dyDescent="0.2">
      <c r="A223" s="378"/>
      <c r="B223" s="421" t="s">
        <v>427</v>
      </c>
      <c r="C223" s="366">
        <f>+VLOOKUP(B223,'[7]Resumen E.P'!$A$4:$I$226,9,0)</f>
        <v>1.9450000000000001</v>
      </c>
      <c r="D223" s="367" t="s">
        <v>420</v>
      </c>
      <c r="E223" s="421">
        <v>153</v>
      </c>
      <c r="F223" s="421" t="s">
        <v>363</v>
      </c>
      <c r="G223" s="375">
        <f t="shared" si="12"/>
        <v>297.58500000000004</v>
      </c>
      <c r="H223" s="370"/>
      <c r="I223" s="359"/>
      <c r="J223" s="417"/>
      <c r="K223" s="373"/>
      <c r="L223" s="358"/>
      <c r="M223" s="358"/>
      <c r="N223" s="358"/>
      <c r="O223" s="354"/>
      <c r="P223" s="354"/>
      <c r="Q223" s="354"/>
    </row>
    <row r="224" spans="1:17" x14ac:dyDescent="0.2">
      <c r="A224" s="378"/>
      <c r="B224" s="499" t="s">
        <v>428</v>
      </c>
      <c r="C224" s="366">
        <f>+VLOOKUP(B224,'[7]Resumen E.P'!$A$4:$I$226,9,0)</f>
        <v>3.46</v>
      </c>
      <c r="D224" s="421" t="s">
        <v>420</v>
      </c>
      <c r="E224" s="421">
        <v>160</v>
      </c>
      <c r="F224" s="421" t="s">
        <v>363</v>
      </c>
      <c r="G224" s="375">
        <f t="shared" si="12"/>
        <v>553.6</v>
      </c>
      <c r="H224" s="370"/>
      <c r="I224" s="359"/>
      <c r="J224" s="417"/>
      <c r="K224" s="373"/>
      <c r="L224" s="358"/>
      <c r="M224" s="358"/>
      <c r="N224" s="358"/>
      <c r="O224" s="354"/>
      <c r="P224" s="354"/>
      <c r="Q224" s="354"/>
    </row>
    <row r="225" spans="1:17" x14ac:dyDescent="0.2">
      <c r="A225" s="380"/>
      <c r="B225" s="381"/>
      <c r="C225" s="461"/>
      <c r="D225" s="462"/>
      <c r="E225" s="463"/>
      <c r="F225" s="462"/>
      <c r="G225" s="385">
        <f>SUM(G216:G224)/9</f>
        <v>344.4480462962963</v>
      </c>
      <c r="H225" s="441" t="s">
        <v>23</v>
      </c>
      <c r="I225" s="359"/>
      <c r="J225" s="417"/>
      <c r="K225" s="373"/>
      <c r="L225" s="358"/>
      <c r="M225" s="358"/>
      <c r="N225" s="358"/>
      <c r="O225" s="354"/>
      <c r="P225" s="354"/>
      <c r="Q225" s="354"/>
    </row>
    <row r="226" spans="1:17" x14ac:dyDescent="0.2">
      <c r="A226" s="378"/>
      <c r="B226" s="387"/>
      <c r="C226" s="426"/>
      <c r="D226" s="387"/>
      <c r="E226" s="387"/>
      <c r="F226" s="387"/>
      <c r="G226" s="464"/>
      <c r="H226" s="465"/>
      <c r="I226" s="359"/>
      <c r="J226" s="417"/>
      <c r="K226" s="373"/>
      <c r="L226" s="358"/>
      <c r="M226" s="358"/>
      <c r="N226" s="358"/>
      <c r="O226" s="354"/>
      <c r="P226" s="354"/>
      <c r="Q226" s="354"/>
    </row>
    <row r="227" spans="1:17" x14ac:dyDescent="0.2">
      <c r="A227" s="364" t="s">
        <v>360</v>
      </c>
      <c r="B227" s="499" t="s">
        <v>364</v>
      </c>
      <c r="C227" s="409">
        <f>+VLOOKUP(B227,'[7]Resumen E.P'!$A$4:$I$226,9,0)</f>
        <v>2.2658333333333331</v>
      </c>
      <c r="D227" s="452" t="s">
        <v>362</v>
      </c>
      <c r="E227" s="466">
        <v>23</v>
      </c>
      <c r="F227" s="454" t="s">
        <v>363</v>
      </c>
      <c r="G227" s="467">
        <f>E227*C227</f>
        <v>52.114166666666662</v>
      </c>
      <c r="H227" s="424"/>
      <c r="I227" s="359"/>
      <c r="J227" s="417"/>
      <c r="K227" s="373"/>
      <c r="L227" s="358"/>
      <c r="M227" s="358"/>
      <c r="N227" s="358"/>
      <c r="O227" s="354"/>
      <c r="P227" s="354"/>
      <c r="Q227" s="354"/>
    </row>
    <row r="228" spans="1:17" x14ac:dyDescent="0.2">
      <c r="A228" s="457"/>
      <c r="B228" s="412"/>
      <c r="C228" s="413"/>
      <c r="D228" s="412"/>
      <c r="E228" s="412"/>
      <c r="F228" s="412"/>
      <c r="G228" s="458"/>
      <c r="H228" s="430"/>
      <c r="I228" s="359"/>
      <c r="J228" s="417"/>
      <c r="K228" s="373"/>
      <c r="L228" s="358"/>
      <c r="M228" s="358"/>
      <c r="N228" s="358"/>
      <c r="O228" s="354"/>
      <c r="P228" s="354"/>
      <c r="Q228" s="354"/>
    </row>
    <row r="229" spans="1:17" x14ac:dyDescent="0.2">
      <c r="A229" s="431" t="s">
        <v>429</v>
      </c>
      <c r="B229" s="421" t="s">
        <v>376</v>
      </c>
      <c r="C229" s="366">
        <f>+VLOOKUP(B229,'[7]Resumen E.P'!$A$4:$I$226,9,0)</f>
        <v>10.817307692307692</v>
      </c>
      <c r="D229" s="367" t="s">
        <v>430</v>
      </c>
      <c r="E229" s="368">
        <v>3</v>
      </c>
      <c r="F229" s="367" t="s">
        <v>378</v>
      </c>
      <c r="G229" s="393">
        <f>E229*C229</f>
        <v>32.451923076923073</v>
      </c>
      <c r="H229" s="468"/>
      <c r="I229" s="359"/>
      <c r="J229" s="417"/>
      <c r="K229" s="373"/>
      <c r="L229" s="358"/>
      <c r="M229" s="358"/>
      <c r="N229" s="358"/>
      <c r="O229" s="354"/>
      <c r="P229" s="354"/>
      <c r="Q229" s="354"/>
    </row>
    <row r="230" spans="1:17" x14ac:dyDescent="0.2">
      <c r="A230" s="433" t="s">
        <v>431</v>
      </c>
      <c r="B230" s="421" t="s">
        <v>380</v>
      </c>
      <c r="C230" s="366">
        <f>+VLOOKUP(B230,'[7]Resumen E.P'!$A$4:$I$226,9,0)</f>
        <v>11.034722222222221</v>
      </c>
      <c r="D230" s="367" t="s">
        <v>432</v>
      </c>
      <c r="E230" s="368">
        <v>3</v>
      </c>
      <c r="F230" s="367" t="s">
        <v>378</v>
      </c>
      <c r="G230" s="393">
        <f t="shared" ref="G230:G241" si="13">E230*C230</f>
        <v>33.104166666666664</v>
      </c>
      <c r="H230" s="469"/>
      <c r="I230" s="359"/>
      <c r="J230" s="417"/>
      <c r="K230" s="373"/>
      <c r="L230" s="358"/>
      <c r="M230" s="358"/>
      <c r="N230" s="358"/>
      <c r="O230" s="354"/>
      <c r="P230" s="354"/>
      <c r="Q230" s="354"/>
    </row>
    <row r="231" spans="1:17" x14ac:dyDescent="0.2">
      <c r="A231" s="378" t="s">
        <v>433</v>
      </c>
      <c r="B231" s="421" t="s">
        <v>382</v>
      </c>
      <c r="C231" s="366">
        <f>+VLOOKUP(B231,'[7]Resumen E.P'!$A$4:$I$226,9,0)</f>
        <v>5.3680792124542123</v>
      </c>
      <c r="D231" s="367" t="s">
        <v>383</v>
      </c>
      <c r="E231" s="368">
        <v>1</v>
      </c>
      <c r="F231" s="367" t="s">
        <v>384</v>
      </c>
      <c r="G231" s="393">
        <f t="shared" si="13"/>
        <v>5.3680792124542123</v>
      </c>
      <c r="H231" s="469"/>
      <c r="I231" s="359"/>
      <c r="J231" s="417"/>
      <c r="K231" s="373"/>
      <c r="L231" s="358"/>
      <c r="M231" s="358"/>
      <c r="N231" s="358"/>
      <c r="O231" s="354"/>
      <c r="P231" s="354"/>
      <c r="Q231" s="354"/>
    </row>
    <row r="232" spans="1:17" x14ac:dyDescent="0.2">
      <c r="A232" s="470"/>
      <c r="B232" s="421" t="s">
        <v>385</v>
      </c>
      <c r="C232" s="366">
        <f>+VLOOKUP(B232,'[7]Resumen E.P'!$A$4:$I$226,9,0)</f>
        <v>13.292857142857143</v>
      </c>
      <c r="D232" s="367" t="s">
        <v>386</v>
      </c>
      <c r="E232" s="368">
        <v>1</v>
      </c>
      <c r="F232" s="367" t="s">
        <v>386</v>
      </c>
      <c r="G232" s="393">
        <f t="shared" si="13"/>
        <v>13.292857142857143</v>
      </c>
      <c r="H232" s="469"/>
      <c r="I232" s="359"/>
      <c r="J232" s="417"/>
      <c r="K232" s="373"/>
      <c r="L232" s="358"/>
      <c r="M232" s="358"/>
      <c r="N232" s="358"/>
      <c r="O232" s="354"/>
      <c r="P232" s="354"/>
      <c r="Q232" s="354"/>
    </row>
    <row r="233" spans="1:17" x14ac:dyDescent="0.2">
      <c r="A233" s="470"/>
      <c r="B233" s="421" t="s">
        <v>387</v>
      </c>
      <c r="C233" s="366">
        <f>+VLOOKUP(B233,'[7]Resumen E.P'!$A$4:$I$226,9,0)</f>
        <v>10.048830409356727</v>
      </c>
      <c r="D233" s="367" t="s">
        <v>388</v>
      </c>
      <c r="E233" s="368">
        <v>2</v>
      </c>
      <c r="F233" s="367" t="s">
        <v>388</v>
      </c>
      <c r="G233" s="393">
        <f t="shared" si="13"/>
        <v>20.097660818713454</v>
      </c>
      <c r="H233" s="469"/>
      <c r="I233" s="359"/>
      <c r="J233" s="417"/>
      <c r="K233" s="373"/>
      <c r="L233" s="358"/>
      <c r="M233" s="358"/>
      <c r="N233" s="358"/>
      <c r="O233" s="354"/>
      <c r="P233" s="354"/>
      <c r="Q233" s="354"/>
    </row>
    <row r="234" spans="1:17" x14ac:dyDescent="0.2">
      <c r="A234" s="470"/>
      <c r="B234" s="421" t="s">
        <v>389</v>
      </c>
      <c r="C234" s="366">
        <f>+VLOOKUP(B234,'[7]Resumen E.P'!$A$4:$I$226,9,0)</f>
        <v>15.787071078431373</v>
      </c>
      <c r="D234" s="367" t="s">
        <v>388</v>
      </c>
      <c r="E234" s="368">
        <v>2</v>
      </c>
      <c r="F234" s="367" t="s">
        <v>388</v>
      </c>
      <c r="G234" s="393">
        <f t="shared" si="13"/>
        <v>31.574142156862745</v>
      </c>
      <c r="H234" s="469"/>
      <c r="I234" s="359"/>
      <c r="J234" s="417"/>
      <c r="K234" s="373"/>
      <c r="L234" s="358"/>
      <c r="M234" s="358"/>
      <c r="N234" s="358"/>
      <c r="O234" s="354"/>
      <c r="P234" s="354"/>
      <c r="Q234" s="354"/>
    </row>
    <row r="235" spans="1:17" x14ac:dyDescent="0.2">
      <c r="A235" s="470"/>
      <c r="B235" s="421" t="s">
        <v>434</v>
      </c>
      <c r="C235" s="366">
        <f>+VLOOKUP(B235,'[7]Resumen E.P'!$A$4:$I$226,9,0)</f>
        <v>12.667782112845137</v>
      </c>
      <c r="D235" s="421" t="s">
        <v>435</v>
      </c>
      <c r="E235" s="368">
        <v>1</v>
      </c>
      <c r="F235" s="421" t="s">
        <v>435</v>
      </c>
      <c r="G235" s="393">
        <f t="shared" si="13"/>
        <v>12.667782112845137</v>
      </c>
      <c r="H235" s="469"/>
      <c r="I235" s="359"/>
      <c r="J235" s="417"/>
      <c r="K235" s="373"/>
      <c r="L235" s="358"/>
      <c r="M235" s="358"/>
      <c r="N235" s="358"/>
      <c r="O235" s="354"/>
      <c r="P235" s="354"/>
      <c r="Q235" s="354"/>
    </row>
    <row r="236" spans="1:17" x14ac:dyDescent="0.2">
      <c r="A236" s="470"/>
      <c r="B236" s="421" t="s">
        <v>436</v>
      </c>
      <c r="C236" s="366">
        <f>+VLOOKUP(B236,'[7]Resumen E.P'!$A$4:$I$226,9,0)</f>
        <v>441</v>
      </c>
      <c r="D236" s="421" t="s">
        <v>437</v>
      </c>
      <c r="E236" s="368">
        <v>1</v>
      </c>
      <c r="F236" s="421" t="s">
        <v>437</v>
      </c>
      <c r="G236" s="393">
        <f t="shared" si="13"/>
        <v>441</v>
      </c>
      <c r="H236" s="469"/>
      <c r="I236" s="359"/>
      <c r="J236" s="417"/>
      <c r="K236" s="373"/>
      <c r="L236" s="358"/>
      <c r="M236" s="358"/>
      <c r="N236" s="358"/>
      <c r="O236" s="354"/>
      <c r="P236" s="354"/>
      <c r="Q236" s="354"/>
    </row>
    <row r="237" spans="1:17" x14ac:dyDescent="0.2">
      <c r="A237" s="470"/>
      <c r="B237" s="379" t="s">
        <v>438</v>
      </c>
      <c r="C237" s="366">
        <f>+VLOOKUP(B237,'[7]Resumen E.P'!$A$4:$I$226,9,0)</f>
        <v>577.29166666666663</v>
      </c>
      <c r="D237" s="421" t="s">
        <v>437</v>
      </c>
      <c r="E237" s="368">
        <v>1</v>
      </c>
      <c r="F237" s="421" t="s">
        <v>437</v>
      </c>
      <c r="G237" s="393">
        <f t="shared" si="13"/>
        <v>577.29166666666663</v>
      </c>
      <c r="H237" s="469"/>
      <c r="I237" s="359"/>
      <c r="J237" s="417"/>
      <c r="K237" s="373"/>
      <c r="L237" s="358"/>
      <c r="M237" s="358"/>
      <c r="N237" s="358"/>
      <c r="O237" s="354"/>
      <c r="P237" s="354"/>
      <c r="Q237" s="354"/>
    </row>
    <row r="238" spans="1:17" x14ac:dyDescent="0.2">
      <c r="A238" s="470"/>
      <c r="B238" s="379" t="s">
        <v>440</v>
      </c>
      <c r="C238" s="366">
        <f>+VLOOKUP(B238,'[7]Resumen E.P'!$A$4:$I$226,9,0)</f>
        <v>8.8416666666666668</v>
      </c>
      <c r="D238" s="421" t="s">
        <v>437</v>
      </c>
      <c r="E238" s="368">
        <v>1</v>
      </c>
      <c r="F238" s="421" t="s">
        <v>437</v>
      </c>
      <c r="G238" s="393">
        <f t="shared" si="13"/>
        <v>8.8416666666666668</v>
      </c>
      <c r="H238" s="469"/>
      <c r="I238" s="359"/>
      <c r="J238" s="417"/>
      <c r="K238" s="373"/>
      <c r="L238" s="358"/>
      <c r="M238" s="358"/>
      <c r="N238" s="358"/>
      <c r="O238" s="354"/>
      <c r="P238" s="354"/>
      <c r="Q238" s="354"/>
    </row>
    <row r="239" spans="1:17" x14ac:dyDescent="0.2">
      <c r="A239" s="470"/>
      <c r="B239" s="421" t="s">
        <v>438</v>
      </c>
      <c r="C239" s="366">
        <f>+VLOOKUP(B239,'[7]Resumen E.P'!$A$4:$I$226,9,0)</f>
        <v>577.29166666666663</v>
      </c>
      <c r="D239" s="421" t="s">
        <v>437</v>
      </c>
      <c r="E239" s="368">
        <v>1</v>
      </c>
      <c r="F239" s="421" t="s">
        <v>437</v>
      </c>
      <c r="G239" s="393">
        <f t="shared" si="13"/>
        <v>577.29166666666663</v>
      </c>
      <c r="H239" s="469"/>
      <c r="I239" s="359"/>
      <c r="J239" s="417"/>
      <c r="K239" s="373"/>
      <c r="L239" s="358"/>
      <c r="M239" s="358"/>
      <c r="N239" s="358"/>
      <c r="O239" s="354"/>
      <c r="P239" s="354"/>
      <c r="Q239" s="354"/>
    </row>
    <row r="240" spans="1:17" x14ac:dyDescent="0.2">
      <c r="A240" s="470"/>
      <c r="B240" s="379" t="s">
        <v>522</v>
      </c>
      <c r="C240" s="366">
        <f>+VLOOKUP(B240,'[7]Resumen E.P'!$A$4:$I$226,9,0)</f>
        <v>9.3556507936507938</v>
      </c>
      <c r="D240" s="421" t="s">
        <v>437</v>
      </c>
      <c r="E240" s="368">
        <v>1</v>
      </c>
      <c r="F240" s="421" t="s">
        <v>437</v>
      </c>
      <c r="G240" s="393">
        <f t="shared" si="13"/>
        <v>9.3556507936507938</v>
      </c>
      <c r="H240" s="469"/>
      <c r="I240" s="359"/>
      <c r="J240" s="417"/>
      <c r="K240" s="373"/>
      <c r="L240" s="358"/>
      <c r="M240" s="358"/>
      <c r="N240" s="358"/>
      <c r="O240" s="354"/>
      <c r="P240" s="354"/>
      <c r="Q240" s="354"/>
    </row>
    <row r="241" spans="1:18" x14ac:dyDescent="0.2">
      <c r="A241" s="470"/>
      <c r="B241" s="421" t="s">
        <v>441</v>
      </c>
      <c r="C241" s="366">
        <f>+VLOOKUP(B241,'[7]Resumen E.P'!$A$4:$I$226,9,0)</f>
        <v>704</v>
      </c>
      <c r="D241" s="421" t="s">
        <v>437</v>
      </c>
      <c r="E241" s="368">
        <v>1</v>
      </c>
      <c r="F241" s="421" t="s">
        <v>437</v>
      </c>
      <c r="G241" s="393">
        <f t="shared" si="13"/>
        <v>704</v>
      </c>
      <c r="H241" s="469"/>
      <c r="I241" s="359"/>
      <c r="J241" s="417"/>
      <c r="K241" s="373"/>
      <c r="L241" s="358"/>
      <c r="M241" s="358"/>
      <c r="N241" s="358"/>
      <c r="O241" s="354"/>
      <c r="P241" s="354"/>
      <c r="Q241" s="354"/>
    </row>
    <row r="242" spans="1:18" x14ac:dyDescent="0.2">
      <c r="A242" s="472"/>
      <c r="B242" s="476"/>
      <c r="C242" s="366"/>
      <c r="D242" s="520"/>
      <c r="E242" s="520"/>
      <c r="F242" s="520"/>
      <c r="G242" s="369">
        <f>SUM(G229:G241)/13</f>
        <v>189.71825092161333</v>
      </c>
      <c r="H242" s="441" t="s">
        <v>23</v>
      </c>
      <c r="I242" s="359"/>
      <c r="J242" s="417"/>
      <c r="K242" s="373"/>
      <c r="L242" s="358"/>
      <c r="M242" s="358"/>
      <c r="N242" s="358"/>
      <c r="O242" s="354"/>
      <c r="P242" s="354"/>
      <c r="Q242" s="354"/>
    </row>
    <row r="243" spans="1:18" x14ac:dyDescent="0.2">
      <c r="A243" s="457"/>
      <c r="B243" s="412"/>
      <c r="C243" s="413"/>
      <c r="D243" s="412"/>
      <c r="E243" s="412"/>
      <c r="F243" s="412"/>
      <c r="G243" s="458"/>
      <c r="H243" s="430"/>
      <c r="I243" s="359"/>
      <c r="J243" s="417"/>
      <c r="K243" s="373"/>
      <c r="L243" s="358"/>
      <c r="M243" s="358"/>
      <c r="N243" s="358"/>
      <c r="O243" s="354"/>
      <c r="P243" s="354"/>
      <c r="Q243" s="354"/>
    </row>
    <row r="244" spans="1:18" x14ac:dyDescent="0.2">
      <c r="A244" s="355" t="s">
        <v>524</v>
      </c>
      <c r="B244" s="519" t="s">
        <v>352</v>
      </c>
      <c r="C244" s="1579" t="s">
        <v>353</v>
      </c>
      <c r="D244" s="1580"/>
      <c r="E244" s="1579" t="s">
        <v>354</v>
      </c>
      <c r="F244" s="1580"/>
      <c r="G244" s="1581"/>
      <c r="H244" s="1597"/>
      <c r="I244" s="1597"/>
      <c r="J244" s="1598"/>
      <c r="K244" s="478"/>
      <c r="L244" s="1597"/>
      <c r="M244" s="1597"/>
      <c r="N244" s="1598"/>
      <c r="O244" s="1599"/>
      <c r="P244" s="1599"/>
      <c r="Q244" s="1600"/>
      <c r="R244" s="445"/>
    </row>
    <row r="245" spans="1:18" x14ac:dyDescent="0.2">
      <c r="A245" s="521"/>
      <c r="B245" s="522"/>
      <c r="C245" s="522"/>
      <c r="D245" s="522"/>
      <c r="E245" s="478"/>
      <c r="F245" s="523"/>
      <c r="G245" s="523"/>
      <c r="H245" s="478"/>
      <c r="I245" s="478"/>
      <c r="J245" s="523"/>
      <c r="K245" s="478"/>
      <c r="L245" s="478"/>
      <c r="M245" s="478"/>
      <c r="N245" s="523"/>
      <c r="O245" s="524"/>
      <c r="P245" s="524"/>
      <c r="Q245" s="525"/>
      <c r="R245" s="445"/>
    </row>
    <row r="246" spans="1:18" x14ac:dyDescent="0.2">
      <c r="A246" s="360" t="s">
        <v>355</v>
      </c>
      <c r="B246" s="526"/>
      <c r="C246" s="526"/>
      <c r="D246" s="526"/>
      <c r="E246" s="1609"/>
      <c r="F246" s="1609"/>
      <c r="G246" s="1609"/>
      <c r="H246" s="362"/>
      <c r="I246" s="478"/>
      <c r="J246" s="523"/>
      <c r="K246" s="478"/>
      <c r="L246" s="478"/>
      <c r="M246" s="478"/>
      <c r="N246" s="523"/>
      <c r="O246" s="524"/>
      <c r="P246" s="524"/>
      <c r="Q246" s="525"/>
      <c r="R246" s="445"/>
    </row>
    <row r="247" spans="1:18" x14ac:dyDescent="0.2">
      <c r="A247" s="364" t="s">
        <v>356</v>
      </c>
      <c r="B247" s="421" t="s">
        <v>357</v>
      </c>
      <c r="C247" s="409">
        <f>+VLOOKUP(B247,'[7]Resumen E.P'!$A$4:$I$226,9,0)</f>
        <v>2.0751666666666666</v>
      </c>
      <c r="D247" s="452" t="s">
        <v>358</v>
      </c>
      <c r="E247" s="453">
        <v>200</v>
      </c>
      <c r="F247" s="454" t="s">
        <v>359</v>
      </c>
      <c r="G247" s="369">
        <f>E247*C247</f>
        <v>415.0333333333333</v>
      </c>
      <c r="H247" s="370"/>
      <c r="I247" s="478"/>
      <c r="J247" s="523"/>
      <c r="K247" s="478"/>
      <c r="L247" s="478"/>
      <c r="M247" s="478"/>
      <c r="N247" s="523"/>
      <c r="O247" s="524"/>
      <c r="P247" s="524"/>
      <c r="Q247" s="525"/>
      <c r="R247" s="445"/>
    </row>
    <row r="248" spans="1:18" x14ac:dyDescent="0.2">
      <c r="A248" s="378"/>
      <c r="B248" s="387"/>
      <c r="C248" s="388"/>
      <c r="D248" s="389"/>
      <c r="E248" s="426"/>
      <c r="F248" s="389"/>
      <c r="G248" s="406"/>
      <c r="H248" s="370"/>
      <c r="I248" s="478"/>
      <c r="J248" s="523"/>
      <c r="K248" s="478"/>
      <c r="L248" s="478"/>
      <c r="M248" s="478"/>
      <c r="N248" s="523"/>
      <c r="O248" s="524"/>
      <c r="P248" s="524"/>
      <c r="Q248" s="525"/>
      <c r="R248" s="445"/>
    </row>
    <row r="249" spans="1:18" x14ac:dyDescent="0.2">
      <c r="A249" s="374" t="s">
        <v>360</v>
      </c>
      <c r="B249" s="527" t="s">
        <v>525</v>
      </c>
      <c r="C249" s="366">
        <f>+VLOOKUP(B249,'[7]Resumen E.P'!$A$4:$I$226,9,0)</f>
        <v>2.69875</v>
      </c>
      <c r="D249" s="367" t="s">
        <v>362</v>
      </c>
      <c r="E249" s="368">
        <v>35</v>
      </c>
      <c r="F249" s="367" t="s">
        <v>363</v>
      </c>
      <c r="G249" s="375">
        <f>E249*C249</f>
        <v>94.456249999999997</v>
      </c>
      <c r="H249" s="376"/>
      <c r="I249" s="478"/>
      <c r="J249" s="523"/>
      <c r="K249" s="478"/>
      <c r="L249" s="478"/>
      <c r="M249" s="478"/>
      <c r="N249" s="523"/>
      <c r="O249" s="524"/>
      <c r="P249" s="524"/>
      <c r="Q249" s="525"/>
      <c r="R249" s="445"/>
    </row>
    <row r="250" spans="1:18" x14ac:dyDescent="0.2">
      <c r="A250" s="378"/>
      <c r="B250" s="499" t="s">
        <v>364</v>
      </c>
      <c r="C250" s="366">
        <f>+VLOOKUP(B250,'[7]Resumen E.P'!$A$4:$I$226,9,0)</f>
        <v>2.2658333333333331</v>
      </c>
      <c r="D250" s="367" t="s">
        <v>362</v>
      </c>
      <c r="E250" s="368">
        <v>30</v>
      </c>
      <c r="F250" s="367" t="s">
        <v>363</v>
      </c>
      <c r="G250" s="375">
        <f>E250*C250</f>
        <v>67.974999999999994</v>
      </c>
      <c r="H250" s="376"/>
      <c r="I250" s="478"/>
      <c r="J250" s="523"/>
      <c r="K250" s="478"/>
      <c r="L250" s="478"/>
      <c r="M250" s="478"/>
      <c r="N250" s="523"/>
      <c r="O250" s="524"/>
      <c r="P250" s="524"/>
      <c r="Q250" s="525"/>
      <c r="R250" s="445"/>
    </row>
    <row r="251" spans="1:18" x14ac:dyDescent="0.2">
      <c r="A251" s="380"/>
      <c r="B251" s="381"/>
      <c r="C251" s="528"/>
      <c r="D251" s="383"/>
      <c r="E251" s="384"/>
      <c r="F251" s="383"/>
      <c r="G251" s="385">
        <f>SUM(G249:G250)/2</f>
        <v>81.215624999999989</v>
      </c>
      <c r="H251" s="441" t="s">
        <v>23</v>
      </c>
      <c r="I251" s="478"/>
      <c r="J251" s="523"/>
      <c r="K251" s="478"/>
      <c r="L251" s="478"/>
      <c r="M251" s="478"/>
      <c r="N251" s="523"/>
      <c r="O251" s="524"/>
      <c r="P251" s="524"/>
      <c r="Q251" s="525"/>
      <c r="R251" s="445"/>
    </row>
    <row r="252" spans="1:18" x14ac:dyDescent="0.2">
      <c r="A252" s="378"/>
      <c r="B252" s="387"/>
      <c r="C252" s="388"/>
      <c r="D252" s="389"/>
      <c r="E252" s="389"/>
      <c r="F252" s="389"/>
      <c r="G252" s="390"/>
      <c r="H252" s="370"/>
      <c r="I252" s="478"/>
      <c r="J252" s="523"/>
      <c r="K252" s="478"/>
      <c r="L252" s="478"/>
      <c r="M252" s="478"/>
      <c r="N252" s="523"/>
      <c r="O252" s="524"/>
      <c r="P252" s="524"/>
      <c r="Q252" s="525"/>
      <c r="R252" s="445"/>
    </row>
    <row r="253" spans="1:18" x14ac:dyDescent="0.2">
      <c r="A253" s="391" t="s">
        <v>365</v>
      </c>
      <c r="B253" s="421" t="s">
        <v>366</v>
      </c>
      <c r="C253" s="366">
        <f>+VLOOKUP(B253,'[7]Resumen E.P'!$A$4:$I$226,9,0)</f>
        <v>19.946666666666669</v>
      </c>
      <c r="D253" s="367" t="s">
        <v>362</v>
      </c>
      <c r="E253" s="392">
        <v>0.75</v>
      </c>
      <c r="F253" s="367" t="s">
        <v>367</v>
      </c>
      <c r="G253" s="393">
        <f>E253*C253</f>
        <v>14.96</v>
      </c>
      <c r="H253" s="394"/>
      <c r="I253" s="478"/>
      <c r="J253" s="523"/>
      <c r="K253" s="478"/>
      <c r="L253" s="478"/>
      <c r="M253" s="478"/>
      <c r="N253" s="523"/>
      <c r="O253" s="524"/>
      <c r="P253" s="524"/>
      <c r="Q253" s="525"/>
      <c r="R253" s="445"/>
    </row>
    <row r="254" spans="1:18" x14ac:dyDescent="0.2">
      <c r="A254" s="395"/>
      <c r="B254" s="421" t="s">
        <v>368</v>
      </c>
      <c r="C254" s="366">
        <f>+VLOOKUP(B254,'[7]Resumen E.P'!$A$4:$I$226,9,0)</f>
        <v>17.670999999999999</v>
      </c>
      <c r="D254" s="367" t="s">
        <v>362</v>
      </c>
      <c r="E254" s="368">
        <v>7</v>
      </c>
      <c r="F254" s="367" t="s">
        <v>363</v>
      </c>
      <c r="G254" s="393">
        <f>E254*C254</f>
        <v>123.697</v>
      </c>
      <c r="H254" s="370"/>
      <c r="I254" s="478"/>
      <c r="J254" s="523"/>
      <c r="K254" s="478"/>
      <c r="L254" s="478"/>
      <c r="M254" s="478"/>
      <c r="N254" s="523"/>
      <c r="O254" s="524"/>
      <c r="P254" s="524"/>
      <c r="Q254" s="525"/>
      <c r="R254" s="445"/>
    </row>
    <row r="255" spans="1:18" x14ac:dyDescent="0.2">
      <c r="A255" s="395"/>
      <c r="B255" s="421" t="s">
        <v>370</v>
      </c>
      <c r="C255" s="366">
        <f>+VLOOKUP(B255,'[7]Resumen E.P'!$A$4:$I$226,9,0)</f>
        <v>61.122549019607845</v>
      </c>
      <c r="D255" s="367" t="s">
        <v>362</v>
      </c>
      <c r="E255" s="368">
        <v>7</v>
      </c>
      <c r="F255" s="367" t="s">
        <v>363</v>
      </c>
      <c r="G255" s="393">
        <f>E255*C255</f>
        <v>427.85784313725492</v>
      </c>
      <c r="H255" s="370"/>
      <c r="I255" s="478"/>
      <c r="J255" s="523"/>
      <c r="K255" s="478"/>
      <c r="L255" s="478"/>
      <c r="M255" s="478"/>
      <c r="N255" s="523"/>
      <c r="O255" s="524"/>
      <c r="P255" s="524"/>
      <c r="Q255" s="525"/>
      <c r="R255" s="445"/>
    </row>
    <row r="256" spans="1:18" x14ac:dyDescent="0.2">
      <c r="A256" s="398"/>
      <c r="B256" s="381"/>
      <c r="C256" s="399"/>
      <c r="D256" s="400"/>
      <c r="E256" s="401"/>
      <c r="F256" s="402"/>
      <c r="G256" s="403">
        <f>SUM(G253:G255)/3</f>
        <v>188.83828104575164</v>
      </c>
      <c r="H256" s="386" t="s">
        <v>23</v>
      </c>
      <c r="I256" s="478"/>
      <c r="J256" s="523"/>
      <c r="K256" s="478"/>
      <c r="L256" s="478"/>
      <c r="M256" s="478"/>
      <c r="N256" s="523"/>
      <c r="O256" s="524"/>
      <c r="P256" s="524"/>
      <c r="Q256" s="525"/>
      <c r="R256" s="445"/>
    </row>
    <row r="257" spans="1:18" x14ac:dyDescent="0.2">
      <c r="A257" s="521"/>
      <c r="B257" s="522"/>
      <c r="C257" s="522"/>
      <c r="D257" s="522"/>
      <c r="E257" s="478"/>
      <c r="F257" s="523"/>
      <c r="G257" s="523"/>
      <c r="H257" s="478"/>
      <c r="I257" s="478"/>
      <c r="J257" s="523"/>
      <c r="K257" s="478"/>
      <c r="L257" s="478"/>
      <c r="M257" s="478"/>
      <c r="N257" s="523"/>
      <c r="O257" s="524"/>
      <c r="P257" s="524"/>
      <c r="Q257" s="525"/>
      <c r="R257" s="445"/>
    </row>
    <row r="258" spans="1:18" x14ac:dyDescent="0.2">
      <c r="A258" s="431" t="s">
        <v>443</v>
      </c>
      <c r="B258" s="479"/>
      <c r="C258" s="480"/>
      <c r="D258" s="479"/>
      <c r="E258" s="479"/>
      <c r="F258" s="479"/>
      <c r="G258" s="481"/>
      <c r="H258" s="419"/>
      <c r="I258" s="359"/>
      <c r="J258" s="359"/>
      <c r="K258" s="359"/>
      <c r="L258" s="358"/>
      <c r="M258" s="358"/>
      <c r="N258" s="358"/>
      <c r="O258" s="354"/>
      <c r="P258" s="354"/>
      <c r="Q258" s="354"/>
    </row>
    <row r="259" spans="1:18" x14ac:dyDescent="0.2">
      <c r="A259" s="374" t="s">
        <v>444</v>
      </c>
      <c r="B259" s="421" t="s">
        <v>445</v>
      </c>
      <c r="C259" s="366">
        <f>+VLOOKUP(B259,'[7]Resumen E.P'!$A$4:$I$226,9,0)</f>
        <v>2.9083333333333337</v>
      </c>
      <c r="D259" s="367" t="s">
        <v>420</v>
      </c>
      <c r="E259" s="368">
        <v>26.6</v>
      </c>
      <c r="F259" s="421" t="s">
        <v>363</v>
      </c>
      <c r="G259" s="393">
        <f>E259*C259</f>
        <v>77.361666666666679</v>
      </c>
      <c r="H259" s="370"/>
      <c r="I259" s="359"/>
      <c r="J259" s="420"/>
      <c r="K259" s="359"/>
      <c r="L259" s="358"/>
      <c r="M259" s="358"/>
      <c r="N259" s="358"/>
      <c r="O259" s="354"/>
      <c r="P259" s="354"/>
      <c r="Q259" s="354"/>
    </row>
    <row r="260" spans="1:18" x14ac:dyDescent="0.2">
      <c r="A260" s="378" t="s">
        <v>446</v>
      </c>
      <c r="B260" s="421" t="s">
        <v>447</v>
      </c>
      <c r="C260" s="366">
        <f>+VLOOKUP(B260,'[7]Resumen E.P'!$A$4:$I$226,9,0)</f>
        <v>4.5694444444444455</v>
      </c>
      <c r="D260" s="367" t="s">
        <v>362</v>
      </c>
      <c r="E260" s="368">
        <v>24</v>
      </c>
      <c r="F260" s="421" t="s">
        <v>363</v>
      </c>
      <c r="G260" s="393">
        <f t="shared" ref="G260:G269" si="14">E260*C260</f>
        <v>109.66666666666669</v>
      </c>
      <c r="H260" s="370"/>
      <c r="I260" s="359"/>
      <c r="J260" s="420"/>
      <c r="K260" s="359"/>
      <c r="L260" s="358"/>
      <c r="M260" s="358"/>
      <c r="N260" s="358"/>
      <c r="O260" s="354"/>
      <c r="P260" s="354"/>
      <c r="Q260" s="354"/>
    </row>
    <row r="261" spans="1:18" x14ac:dyDescent="0.2">
      <c r="A261" s="378"/>
      <c r="B261" s="499" t="s">
        <v>526</v>
      </c>
      <c r="C261" s="366">
        <f>+VLOOKUP(B261,'[7]Resumen E.P'!$A$4:$I$226,9,0)</f>
        <v>6.2324999999999999</v>
      </c>
      <c r="D261" s="367" t="s">
        <v>449</v>
      </c>
      <c r="E261" s="368">
        <v>27</v>
      </c>
      <c r="F261" s="421" t="s">
        <v>363</v>
      </c>
      <c r="G261" s="393">
        <f t="shared" si="14"/>
        <v>168.2775</v>
      </c>
      <c r="H261" s="370"/>
      <c r="I261" s="359"/>
      <c r="J261" s="420"/>
      <c r="K261" s="359"/>
      <c r="L261" s="358"/>
      <c r="M261" s="358"/>
      <c r="N261" s="358"/>
      <c r="O261" s="354"/>
      <c r="P261" s="354"/>
      <c r="Q261" s="354"/>
    </row>
    <row r="262" spans="1:18" x14ac:dyDescent="0.2">
      <c r="A262" s="378"/>
      <c r="B262" s="421" t="s">
        <v>450</v>
      </c>
      <c r="C262" s="366">
        <f>+VLOOKUP(B262,'[7]Resumen E.P'!$A$4:$I$226,9,0)</f>
        <v>2.8166666666666664</v>
      </c>
      <c r="D262" s="367" t="s">
        <v>420</v>
      </c>
      <c r="E262" s="368">
        <v>120</v>
      </c>
      <c r="F262" s="421" t="s">
        <v>363</v>
      </c>
      <c r="G262" s="393">
        <f t="shared" si="14"/>
        <v>338</v>
      </c>
      <c r="H262" s="370"/>
      <c r="I262" s="359"/>
      <c r="J262" s="420"/>
      <c r="K262" s="359"/>
      <c r="L262" s="358"/>
      <c r="M262" s="358"/>
      <c r="N262" s="358"/>
      <c r="O262" s="354"/>
      <c r="P262" s="354"/>
      <c r="Q262" s="354"/>
    </row>
    <row r="263" spans="1:18" x14ac:dyDescent="0.2">
      <c r="A263" s="378"/>
      <c r="B263" s="421" t="s">
        <v>451</v>
      </c>
      <c r="C263" s="366">
        <f>+VLOOKUP(B263,'[7]Resumen E.P'!$A$4:$I$226,9,0)</f>
        <v>1.3066666666666666</v>
      </c>
      <c r="D263" s="367" t="s">
        <v>420</v>
      </c>
      <c r="E263" s="368">
        <v>104</v>
      </c>
      <c r="F263" s="421" t="s">
        <v>363</v>
      </c>
      <c r="G263" s="393">
        <f t="shared" si="14"/>
        <v>135.89333333333332</v>
      </c>
      <c r="H263" s="370"/>
      <c r="I263" s="359"/>
      <c r="J263" s="420"/>
      <c r="K263" s="359"/>
      <c r="L263" s="358"/>
      <c r="M263" s="358"/>
      <c r="N263" s="358"/>
      <c r="O263" s="354"/>
      <c r="P263" s="354"/>
      <c r="Q263" s="354"/>
    </row>
    <row r="264" spans="1:18" x14ac:dyDescent="0.2">
      <c r="A264" s="378"/>
      <c r="B264" s="421" t="s">
        <v>452</v>
      </c>
      <c r="C264" s="366">
        <f>+VLOOKUP(B264,'[7]Resumen E.P'!$A$4:$I$226,9,0)</f>
        <v>3.05</v>
      </c>
      <c r="D264" s="367" t="s">
        <v>420</v>
      </c>
      <c r="E264" s="368">
        <v>120</v>
      </c>
      <c r="F264" s="421" t="s">
        <v>363</v>
      </c>
      <c r="G264" s="393">
        <f t="shared" si="14"/>
        <v>366</v>
      </c>
      <c r="H264" s="370"/>
      <c r="I264" s="359"/>
      <c r="J264" s="420"/>
      <c r="K264" s="359"/>
      <c r="L264" s="358"/>
      <c r="M264" s="358"/>
      <c r="N264" s="358"/>
      <c r="O264" s="354"/>
      <c r="P264" s="354"/>
      <c r="Q264" s="354"/>
    </row>
    <row r="265" spans="1:18" x14ac:dyDescent="0.2">
      <c r="A265" s="378"/>
      <c r="B265" s="421" t="s">
        <v>453</v>
      </c>
      <c r="C265" s="366">
        <f>+VLOOKUP(B265,'[7]Resumen E.P'!$A$4:$I$226,9,0)</f>
        <v>1.8412500000000001</v>
      </c>
      <c r="D265" s="367" t="s">
        <v>420</v>
      </c>
      <c r="E265" s="368">
        <v>99</v>
      </c>
      <c r="F265" s="421" t="s">
        <v>363</v>
      </c>
      <c r="G265" s="393">
        <f t="shared" si="14"/>
        <v>182.28375</v>
      </c>
      <c r="H265" s="370"/>
      <c r="I265" s="359"/>
      <c r="J265" s="420"/>
      <c r="K265" s="359"/>
      <c r="L265" s="358"/>
      <c r="M265" s="358"/>
      <c r="N265" s="358"/>
      <c r="O265" s="354"/>
      <c r="P265" s="354"/>
      <c r="Q265" s="354"/>
    </row>
    <row r="266" spans="1:18" x14ac:dyDescent="0.2">
      <c r="A266" s="378"/>
      <c r="B266" s="421" t="s">
        <v>454</v>
      </c>
      <c r="C266" s="366">
        <f>+VLOOKUP(B266,'[7]Resumen E.P'!$A$4:$I$226,9,0)</f>
        <v>1.8574999999999999</v>
      </c>
      <c r="D266" s="367" t="s">
        <v>420</v>
      </c>
      <c r="E266" s="368">
        <v>78</v>
      </c>
      <c r="F266" s="421" t="s">
        <v>363</v>
      </c>
      <c r="G266" s="393">
        <f t="shared" si="14"/>
        <v>144.88499999999999</v>
      </c>
      <c r="H266" s="370"/>
      <c r="I266" s="359"/>
      <c r="J266" s="420"/>
      <c r="K266" s="359"/>
      <c r="L266" s="358"/>
      <c r="M266" s="358"/>
      <c r="N266" s="358"/>
      <c r="O266" s="354"/>
      <c r="P266" s="354"/>
      <c r="Q266" s="354"/>
    </row>
    <row r="267" spans="1:18" x14ac:dyDescent="0.2">
      <c r="A267" s="378"/>
      <c r="B267" s="421" t="s">
        <v>455</v>
      </c>
      <c r="C267" s="366">
        <f>+VLOOKUP(B267,'[7]Resumen E.P'!$A$4:$I$226,9,0)</f>
        <v>0.92749999999999999</v>
      </c>
      <c r="D267" s="367" t="s">
        <v>420</v>
      </c>
      <c r="E267" s="368">
        <v>130</v>
      </c>
      <c r="F267" s="421" t="s">
        <v>363</v>
      </c>
      <c r="G267" s="393">
        <f t="shared" si="14"/>
        <v>120.575</v>
      </c>
      <c r="H267" s="370"/>
      <c r="I267" s="359"/>
      <c r="J267" s="420"/>
      <c r="K267" s="359"/>
      <c r="L267" s="358"/>
      <c r="M267" s="358"/>
      <c r="N267" s="358"/>
      <c r="O267" s="354"/>
      <c r="P267" s="354"/>
      <c r="Q267" s="354"/>
    </row>
    <row r="268" spans="1:18" x14ac:dyDescent="0.2">
      <c r="A268" s="378"/>
      <c r="B268" s="421" t="s">
        <v>456</v>
      </c>
      <c r="C268" s="366">
        <f>+VLOOKUP(B268,'[7]Resumen E.P'!$A$4:$I$226,9,0)</f>
        <v>1.1924999999999999</v>
      </c>
      <c r="D268" s="367" t="s">
        <v>420</v>
      </c>
      <c r="E268" s="368">
        <v>130</v>
      </c>
      <c r="F268" s="421" t="s">
        <v>363</v>
      </c>
      <c r="G268" s="393">
        <f t="shared" si="14"/>
        <v>155.02499999999998</v>
      </c>
      <c r="H268" s="370"/>
      <c r="I268" s="359"/>
      <c r="J268" s="420"/>
      <c r="K268" s="359"/>
      <c r="L268" s="358"/>
      <c r="M268" s="358"/>
      <c r="N268" s="358"/>
      <c r="O268" s="354"/>
      <c r="P268" s="354"/>
      <c r="Q268" s="354"/>
    </row>
    <row r="269" spans="1:18" x14ac:dyDescent="0.2">
      <c r="A269" s="378"/>
      <c r="B269" s="421" t="s">
        <v>457</v>
      </c>
      <c r="C269" s="366">
        <f>+VLOOKUP(B269,'[7]Resumen E.P'!$A$4:$I$226,9,0)</f>
        <v>2.3445</v>
      </c>
      <c r="D269" s="421" t="s">
        <v>420</v>
      </c>
      <c r="E269" s="368">
        <v>24</v>
      </c>
      <c r="F269" s="421" t="s">
        <v>363</v>
      </c>
      <c r="G269" s="393">
        <f t="shared" si="14"/>
        <v>56.268000000000001</v>
      </c>
      <c r="H269" s="370"/>
      <c r="I269" s="359"/>
      <c r="J269" s="420"/>
      <c r="K269" s="359"/>
      <c r="L269" s="358"/>
      <c r="M269" s="358"/>
      <c r="N269" s="358"/>
      <c r="O269" s="354"/>
      <c r="P269" s="354"/>
      <c r="Q269" s="354"/>
    </row>
    <row r="270" spans="1:18" x14ac:dyDescent="0.2">
      <c r="A270" s="380"/>
      <c r="B270" s="381"/>
      <c r="C270" s="485"/>
      <c r="D270" s="500"/>
      <c r="E270" s="487"/>
      <c r="F270" s="462"/>
      <c r="G270" s="403">
        <f>SUM(G259:G269)/11</f>
        <v>168.56690151515156</v>
      </c>
      <c r="H270" s="441" t="s">
        <v>23</v>
      </c>
      <c r="I270" s="359"/>
      <c r="J270" s="420"/>
      <c r="K270" s="359"/>
      <c r="L270" s="358"/>
      <c r="M270" s="358"/>
      <c r="N270" s="358"/>
      <c r="O270" s="354"/>
      <c r="P270" s="354"/>
      <c r="Q270" s="354"/>
    </row>
    <row r="271" spans="1:18" x14ac:dyDescent="0.2">
      <c r="A271" s="378"/>
      <c r="B271" s="436"/>
      <c r="C271" s="437"/>
      <c r="D271" s="529"/>
      <c r="E271" s="426"/>
      <c r="F271" s="387"/>
      <c r="G271" s="530"/>
      <c r="H271" s="465"/>
      <c r="I271" s="359"/>
      <c r="J271" s="420"/>
      <c r="K271" s="359"/>
      <c r="L271" s="358"/>
      <c r="M271" s="358"/>
      <c r="N271" s="358"/>
      <c r="O271" s="354"/>
      <c r="P271" s="354"/>
      <c r="Q271" s="354"/>
    </row>
    <row r="272" spans="1:18" x14ac:dyDescent="0.2">
      <c r="A272" s="374" t="s">
        <v>467</v>
      </c>
      <c r="B272" s="421" t="s">
        <v>468</v>
      </c>
      <c r="C272" s="366">
        <f>+VLOOKUP(B272,'[7]Resumen E.P'!$A$4:$I$226,9,0)</f>
        <v>2.4442499999999998</v>
      </c>
      <c r="D272" s="367" t="s">
        <v>420</v>
      </c>
      <c r="E272" s="368">
        <v>44</v>
      </c>
      <c r="F272" s="367" t="s">
        <v>363</v>
      </c>
      <c r="G272" s="375">
        <f>E272*C272</f>
        <v>107.547</v>
      </c>
      <c r="H272" s="491"/>
      <c r="I272" s="359"/>
      <c r="J272" s="420"/>
      <c r="K272" s="359"/>
      <c r="L272" s="358"/>
      <c r="M272" s="358"/>
      <c r="N272" s="358"/>
      <c r="O272" s="354"/>
      <c r="P272" s="354"/>
      <c r="Q272" s="354"/>
    </row>
    <row r="273" spans="1:17" x14ac:dyDescent="0.2">
      <c r="A273" s="378"/>
      <c r="B273" s="421" t="s">
        <v>469</v>
      </c>
      <c r="C273" s="366">
        <f>+VLOOKUP(B273,'[7]Resumen E.P'!$A$4:$I$226,9,0)</f>
        <v>1.2162500000000001</v>
      </c>
      <c r="D273" s="367" t="s">
        <v>420</v>
      </c>
      <c r="E273" s="368">
        <v>49</v>
      </c>
      <c r="F273" s="367" t="s">
        <v>363</v>
      </c>
      <c r="G273" s="375">
        <f t="shared" ref="G273:G284" si="15">E273*C273</f>
        <v>59.596250000000005</v>
      </c>
      <c r="H273" s="491"/>
      <c r="I273" s="359"/>
      <c r="J273" s="420"/>
      <c r="K273" s="359"/>
      <c r="L273" s="358"/>
      <c r="M273" s="358"/>
      <c r="N273" s="358"/>
      <c r="O273" s="354"/>
      <c r="P273" s="354"/>
      <c r="Q273" s="354"/>
    </row>
    <row r="274" spans="1:17" x14ac:dyDescent="0.2">
      <c r="A274" s="378"/>
      <c r="B274" s="421" t="s">
        <v>470</v>
      </c>
      <c r="C274" s="366">
        <f>+VLOOKUP(B274,'[7]Resumen E.P'!$A$4:$I$226,9,0)</f>
        <v>3.9544999999999999</v>
      </c>
      <c r="D274" s="367" t="s">
        <v>420</v>
      </c>
      <c r="E274" s="368">
        <v>44</v>
      </c>
      <c r="F274" s="367" t="s">
        <v>363</v>
      </c>
      <c r="G274" s="375">
        <f t="shared" si="15"/>
        <v>173.99799999999999</v>
      </c>
      <c r="H274" s="491"/>
      <c r="I274" s="359"/>
      <c r="J274" s="420"/>
      <c r="K274" s="359"/>
      <c r="L274" s="358"/>
      <c r="M274" s="358"/>
      <c r="N274" s="358"/>
      <c r="O274" s="354"/>
      <c r="P274" s="354"/>
      <c r="Q274" s="354"/>
    </row>
    <row r="275" spans="1:17" x14ac:dyDescent="0.2">
      <c r="A275" s="378"/>
      <c r="B275" s="421" t="s">
        <v>140</v>
      </c>
      <c r="C275" s="366">
        <f>+VLOOKUP(B275,'[7]Resumen E.P'!$A$4:$I$226,9,0)</f>
        <v>2.3748333333333336</v>
      </c>
      <c r="D275" s="367" t="s">
        <v>420</v>
      </c>
      <c r="E275" s="368">
        <v>44</v>
      </c>
      <c r="F275" s="367" t="s">
        <v>363</v>
      </c>
      <c r="G275" s="375">
        <f t="shared" si="15"/>
        <v>104.49266666666668</v>
      </c>
      <c r="H275" s="491"/>
      <c r="I275" s="359"/>
      <c r="J275" s="420"/>
      <c r="K275" s="359"/>
      <c r="L275" s="358"/>
      <c r="M275" s="358"/>
      <c r="N275" s="358"/>
      <c r="O275" s="354"/>
      <c r="P275" s="354"/>
      <c r="Q275" s="354"/>
    </row>
    <row r="276" spans="1:17" x14ac:dyDescent="0.2">
      <c r="A276" s="378"/>
      <c r="B276" s="421" t="s">
        <v>471</v>
      </c>
      <c r="C276" s="366">
        <f>+VLOOKUP(B276,'[7]Resumen E.P'!$A$4:$I$226,9,0)</f>
        <v>0.95250000000000001</v>
      </c>
      <c r="D276" s="367" t="s">
        <v>420</v>
      </c>
      <c r="E276" s="368">
        <v>57</v>
      </c>
      <c r="F276" s="367" t="s">
        <v>363</v>
      </c>
      <c r="G276" s="375">
        <f t="shared" si="15"/>
        <v>54.292500000000004</v>
      </c>
      <c r="H276" s="491"/>
      <c r="I276" s="359"/>
      <c r="J276" s="420"/>
      <c r="K276" s="359"/>
      <c r="L276" s="358"/>
      <c r="M276" s="358"/>
      <c r="N276" s="358"/>
      <c r="O276" s="354"/>
      <c r="P276" s="354"/>
      <c r="Q276" s="354"/>
    </row>
    <row r="277" spans="1:17" x14ac:dyDescent="0.2">
      <c r="A277" s="378"/>
      <c r="B277" s="499" t="s">
        <v>143</v>
      </c>
      <c r="C277" s="366">
        <f>+VLOOKUP(B277,'[7]Resumen E.P'!$A$4:$I$226,9,0)</f>
        <v>1.05</v>
      </c>
      <c r="D277" s="367" t="s">
        <v>420</v>
      </c>
      <c r="E277" s="368">
        <v>45</v>
      </c>
      <c r="F277" s="367" t="s">
        <v>363</v>
      </c>
      <c r="G277" s="375">
        <f t="shared" si="15"/>
        <v>47.25</v>
      </c>
      <c r="H277" s="491"/>
      <c r="I277" s="359"/>
      <c r="J277" s="420"/>
      <c r="K277" s="359"/>
      <c r="L277" s="358"/>
      <c r="M277" s="358"/>
      <c r="N277" s="358"/>
      <c r="O277" s="354"/>
      <c r="P277" s="354"/>
      <c r="Q277" s="354"/>
    </row>
    <row r="278" spans="1:17" x14ac:dyDescent="0.2">
      <c r="A278" s="378"/>
      <c r="B278" s="421" t="s">
        <v>472</v>
      </c>
      <c r="C278" s="366">
        <f>+VLOOKUP(B278,'[7]Resumen E.P'!$A$4:$I$226,9,0)</f>
        <v>4.75</v>
      </c>
      <c r="D278" s="367" t="s">
        <v>420</v>
      </c>
      <c r="E278" s="368">
        <v>56</v>
      </c>
      <c r="F278" s="367" t="s">
        <v>363</v>
      </c>
      <c r="G278" s="375">
        <f t="shared" si="15"/>
        <v>266</v>
      </c>
      <c r="H278" s="491"/>
      <c r="I278" s="359"/>
      <c r="J278" s="420"/>
      <c r="K278" s="359"/>
      <c r="L278" s="358"/>
      <c r="M278" s="358"/>
      <c r="N278" s="358"/>
      <c r="O278" s="354"/>
      <c r="P278" s="354"/>
      <c r="Q278" s="354"/>
    </row>
    <row r="279" spans="1:17" x14ac:dyDescent="0.2">
      <c r="A279" s="378"/>
      <c r="B279" s="421" t="s">
        <v>473</v>
      </c>
      <c r="C279" s="366">
        <f>+VLOOKUP(B279,'[7]Resumen E.P'!$A$4:$I$226,9,0)</f>
        <v>1</v>
      </c>
      <c r="D279" s="367" t="s">
        <v>420</v>
      </c>
      <c r="E279" s="368">
        <v>44</v>
      </c>
      <c r="F279" s="367" t="s">
        <v>363</v>
      </c>
      <c r="G279" s="375">
        <f t="shared" si="15"/>
        <v>44</v>
      </c>
      <c r="H279" s="491"/>
      <c r="I279" s="359"/>
      <c r="J279" s="420"/>
      <c r="K279" s="359"/>
      <c r="L279" s="358"/>
      <c r="M279" s="358"/>
      <c r="N279" s="358"/>
      <c r="O279" s="354"/>
      <c r="P279" s="354"/>
      <c r="Q279" s="354"/>
    </row>
    <row r="280" spans="1:17" x14ac:dyDescent="0.2">
      <c r="A280" s="378"/>
      <c r="B280" s="421" t="s">
        <v>145</v>
      </c>
      <c r="C280" s="366">
        <f>+VLOOKUP(B280,'[7]Resumen E.P'!$A$4:$I$226,9,0)</f>
        <v>3.0816666666666666</v>
      </c>
      <c r="D280" s="367" t="s">
        <v>420</v>
      </c>
      <c r="E280" s="368">
        <v>44</v>
      </c>
      <c r="F280" s="367" t="s">
        <v>363</v>
      </c>
      <c r="G280" s="375">
        <f t="shared" si="15"/>
        <v>135.59333333333333</v>
      </c>
      <c r="H280" s="491"/>
      <c r="I280" s="359"/>
      <c r="J280" s="420"/>
      <c r="K280" s="359"/>
      <c r="L280" s="358"/>
      <c r="M280" s="358"/>
      <c r="N280" s="358"/>
      <c r="O280" s="354"/>
      <c r="P280" s="354"/>
      <c r="Q280" s="354"/>
    </row>
    <row r="281" spans="1:17" x14ac:dyDescent="0.2">
      <c r="A281" s="378"/>
      <c r="B281" s="421" t="s">
        <v>474</v>
      </c>
      <c r="C281" s="366"/>
      <c r="D281" s="367" t="s">
        <v>420</v>
      </c>
      <c r="E281" s="368">
        <v>61</v>
      </c>
      <c r="F281" s="367" t="s">
        <v>363</v>
      </c>
      <c r="G281" s="375">
        <f t="shared" si="15"/>
        <v>0</v>
      </c>
      <c r="H281" s="491"/>
      <c r="I281" s="359"/>
      <c r="J281" s="420"/>
      <c r="K281" s="359"/>
      <c r="L281" s="358"/>
      <c r="M281" s="358"/>
      <c r="N281" s="358"/>
      <c r="O281" s="354"/>
      <c r="P281" s="354"/>
      <c r="Q281" s="354"/>
    </row>
    <row r="282" spans="1:17" x14ac:dyDescent="0.2">
      <c r="A282" s="378"/>
      <c r="B282" s="499" t="s">
        <v>475</v>
      </c>
      <c r="C282" s="366">
        <f>+VLOOKUP(B282,'[7]Resumen E.P'!$A$4:$I$226,9,0)</f>
        <v>13.176666666666666</v>
      </c>
      <c r="D282" s="367" t="s">
        <v>420</v>
      </c>
      <c r="E282" s="368">
        <v>80</v>
      </c>
      <c r="F282" s="367" t="s">
        <v>363</v>
      </c>
      <c r="G282" s="375">
        <f t="shared" si="15"/>
        <v>1054.1333333333332</v>
      </c>
      <c r="H282" s="491"/>
      <c r="I282" s="359"/>
      <c r="J282" s="420"/>
      <c r="K282" s="359"/>
      <c r="L282" s="358"/>
      <c r="M282" s="358"/>
      <c r="N282" s="358"/>
      <c r="O282" s="354"/>
      <c r="P282" s="354"/>
      <c r="Q282" s="354"/>
    </row>
    <row r="283" spans="1:17" x14ac:dyDescent="0.2">
      <c r="A283" s="378"/>
      <c r="B283" s="421" t="s">
        <v>476</v>
      </c>
      <c r="C283" s="366">
        <f>+VLOOKUP(B283,'[7]Resumen E.P'!$A$4:$I$226,9,0)</f>
        <v>0.8</v>
      </c>
      <c r="D283" s="367" t="s">
        <v>420</v>
      </c>
      <c r="E283" s="368">
        <v>45</v>
      </c>
      <c r="F283" s="367" t="s">
        <v>363</v>
      </c>
      <c r="G283" s="375">
        <f t="shared" si="15"/>
        <v>36</v>
      </c>
      <c r="H283" s="491"/>
      <c r="I283" s="359"/>
      <c r="J283" s="420"/>
      <c r="K283" s="359"/>
      <c r="L283" s="358"/>
      <c r="M283" s="358"/>
      <c r="N283" s="358"/>
      <c r="O283" s="354"/>
      <c r="P283" s="354"/>
      <c r="Q283" s="354"/>
    </row>
    <row r="284" spans="1:17" x14ac:dyDescent="0.2">
      <c r="A284" s="378"/>
      <c r="B284" s="421" t="s">
        <v>477</v>
      </c>
      <c r="C284" s="366"/>
      <c r="D284" s="367" t="s">
        <v>420</v>
      </c>
      <c r="E284" s="368">
        <v>41</v>
      </c>
      <c r="F284" s="367" t="s">
        <v>363</v>
      </c>
      <c r="G284" s="375">
        <f t="shared" si="15"/>
        <v>0</v>
      </c>
      <c r="H284" s="491"/>
      <c r="I284" s="359"/>
      <c r="J284" s="420"/>
      <c r="K284" s="359"/>
      <c r="L284" s="358"/>
      <c r="M284" s="358"/>
      <c r="N284" s="358"/>
      <c r="O284" s="354"/>
      <c r="P284" s="354"/>
      <c r="Q284" s="354"/>
    </row>
    <row r="285" spans="1:17" x14ac:dyDescent="0.2">
      <c r="A285" s="380"/>
      <c r="B285" s="381"/>
      <c r="C285" s="485"/>
      <c r="D285" s="462"/>
      <c r="E285" s="384"/>
      <c r="F285" s="462"/>
      <c r="G285" s="385">
        <f>SUM(G272:G284)/13</f>
        <v>160.22331410256407</v>
      </c>
      <c r="H285" s="386" t="s">
        <v>23</v>
      </c>
      <c r="I285" s="359"/>
      <c r="J285" s="417"/>
      <c r="K285" s="490"/>
      <c r="L285" s="358"/>
      <c r="M285" s="358"/>
      <c r="N285" s="358"/>
      <c r="O285" s="354"/>
      <c r="P285" s="354"/>
      <c r="Q285" s="354"/>
    </row>
    <row r="286" spans="1:17" x14ac:dyDescent="0.2">
      <c r="A286" s="378"/>
      <c r="B286" s="436"/>
      <c r="C286" s="437"/>
      <c r="D286" s="529"/>
      <c r="E286" s="426"/>
      <c r="F286" s="387"/>
      <c r="G286" s="530"/>
      <c r="H286" s="465"/>
      <c r="I286" s="359"/>
      <c r="J286" s="420"/>
      <c r="K286" s="359"/>
      <c r="L286" s="358"/>
      <c r="M286" s="358"/>
      <c r="N286" s="358"/>
      <c r="O286" s="354"/>
      <c r="P286" s="354"/>
      <c r="Q286" s="354"/>
    </row>
    <row r="287" spans="1:17" x14ac:dyDescent="0.2">
      <c r="A287" s="391" t="s">
        <v>478</v>
      </c>
      <c r="B287" s="421" t="s">
        <v>145</v>
      </c>
      <c r="C287" s="366">
        <f>+VLOOKUP(B287,'[7]Resumen E.P'!$A$4:$I$226,9,0)</f>
        <v>3.0816666666666666</v>
      </c>
      <c r="D287" s="367" t="s">
        <v>420</v>
      </c>
      <c r="E287" s="368">
        <v>5</v>
      </c>
      <c r="F287" s="367" t="s">
        <v>363</v>
      </c>
      <c r="G287" s="375">
        <f t="shared" ref="G287:G292" si="16">E287*C287</f>
        <v>15.408333333333333</v>
      </c>
      <c r="H287" s="376"/>
      <c r="I287" s="359"/>
      <c r="J287" s="420"/>
      <c r="K287" s="359"/>
      <c r="L287" s="358"/>
      <c r="M287" s="358"/>
      <c r="N287" s="358"/>
      <c r="O287" s="354"/>
      <c r="P287" s="354"/>
      <c r="Q287" s="354"/>
    </row>
    <row r="288" spans="1:17" x14ac:dyDescent="0.2">
      <c r="A288" s="397" t="s">
        <v>479</v>
      </c>
      <c r="B288" s="499" t="s">
        <v>468</v>
      </c>
      <c r="C288" s="366">
        <f>+VLOOKUP(B288,'[7]Resumen E.P'!$A$4:$I$226,9,0)</f>
        <v>2.4442499999999998</v>
      </c>
      <c r="D288" s="367" t="s">
        <v>420</v>
      </c>
      <c r="E288" s="368">
        <v>2.5</v>
      </c>
      <c r="F288" s="367" t="s">
        <v>363</v>
      </c>
      <c r="G288" s="375">
        <f t="shared" si="16"/>
        <v>6.1106249999999998</v>
      </c>
      <c r="H288" s="376"/>
      <c r="I288" s="359"/>
      <c r="J288" s="420"/>
      <c r="K288" s="359"/>
      <c r="L288" s="358"/>
      <c r="M288" s="358"/>
      <c r="N288" s="358"/>
      <c r="O288" s="354"/>
      <c r="P288" s="354"/>
      <c r="Q288" s="354"/>
    </row>
    <row r="289" spans="1:17" x14ac:dyDescent="0.2">
      <c r="A289" s="397" t="s">
        <v>480</v>
      </c>
      <c r="B289" s="367" t="s">
        <v>481</v>
      </c>
      <c r="C289" s="366">
        <f>+VLOOKUP(B289,'[7]Resumen E.P'!$A$4:$I$226,9,0)</f>
        <v>2.25875</v>
      </c>
      <c r="D289" s="367" t="s">
        <v>420</v>
      </c>
      <c r="E289" s="368">
        <v>2.5</v>
      </c>
      <c r="F289" s="367" t="s">
        <v>363</v>
      </c>
      <c r="G289" s="375">
        <f t="shared" si="16"/>
        <v>5.6468749999999996</v>
      </c>
      <c r="H289" s="376"/>
      <c r="I289" s="359"/>
      <c r="J289" s="420"/>
      <c r="K289" s="359"/>
      <c r="L289" s="358"/>
      <c r="M289" s="358"/>
      <c r="N289" s="358"/>
      <c r="O289" s="354"/>
      <c r="P289" s="354"/>
      <c r="Q289" s="354"/>
    </row>
    <row r="290" spans="1:17" x14ac:dyDescent="0.2">
      <c r="A290" s="397" t="s">
        <v>482</v>
      </c>
      <c r="B290" s="367" t="s">
        <v>139</v>
      </c>
      <c r="C290" s="366">
        <f>+VLOOKUP(B290,'[7]Resumen E.P'!$A$4:$I$226,9,0)</f>
        <v>13.743478260869566</v>
      </c>
      <c r="D290" s="367" t="s">
        <v>420</v>
      </c>
      <c r="E290" s="368">
        <v>1</v>
      </c>
      <c r="F290" s="367" t="s">
        <v>363</v>
      </c>
      <c r="G290" s="375">
        <f t="shared" si="16"/>
        <v>13.743478260869566</v>
      </c>
      <c r="H290" s="376"/>
      <c r="I290" s="359"/>
      <c r="J290" s="420"/>
      <c r="K290" s="359"/>
      <c r="L290" s="358"/>
      <c r="M290" s="358"/>
      <c r="N290" s="358"/>
      <c r="O290" s="354"/>
      <c r="P290" s="354"/>
      <c r="Q290" s="354"/>
    </row>
    <row r="291" spans="1:17" x14ac:dyDescent="0.2">
      <c r="A291" s="378"/>
      <c r="B291" s="367" t="s">
        <v>483</v>
      </c>
      <c r="C291" s="366">
        <f>+VLOOKUP(B291,'[7]Resumen E.P'!$A$4:$I$226,9,0)</f>
        <v>247.31944444444443</v>
      </c>
      <c r="D291" s="367" t="s">
        <v>484</v>
      </c>
      <c r="E291" s="492">
        <v>0.1</v>
      </c>
      <c r="F291" s="367" t="s">
        <v>378</v>
      </c>
      <c r="G291" s="375">
        <f t="shared" si="16"/>
        <v>24.731944444444444</v>
      </c>
      <c r="H291" s="376"/>
      <c r="I291" s="373"/>
      <c r="J291" s="417"/>
      <c r="K291" s="373"/>
      <c r="L291" s="416"/>
      <c r="M291" s="359"/>
      <c r="N291" s="358"/>
      <c r="O291" s="354"/>
      <c r="P291" s="354"/>
      <c r="Q291" s="354"/>
    </row>
    <row r="292" spans="1:17" x14ac:dyDescent="0.2">
      <c r="A292" s="378"/>
      <c r="B292" s="421" t="s">
        <v>485</v>
      </c>
      <c r="C292" s="366">
        <f>+VLOOKUP(B292,'[7]Resumen E.P'!$A$4:$I$226,9,0)</f>
        <v>0.83516666666666661</v>
      </c>
      <c r="D292" s="367" t="s">
        <v>420</v>
      </c>
      <c r="E292" s="493">
        <v>2</v>
      </c>
      <c r="F292" s="367" t="s">
        <v>363</v>
      </c>
      <c r="G292" s="375">
        <f t="shared" si="16"/>
        <v>1.6703333333333332</v>
      </c>
      <c r="H292" s="376"/>
      <c r="I292" s="373"/>
      <c r="J292" s="417"/>
      <c r="K292" s="373"/>
      <c r="L292" s="416"/>
      <c r="M292" s="359"/>
      <c r="N292" s="358"/>
      <c r="O292" s="354"/>
      <c r="P292" s="354"/>
      <c r="Q292" s="354"/>
    </row>
    <row r="293" spans="1:17" x14ac:dyDescent="0.2">
      <c r="A293" s="380"/>
      <c r="B293" s="502"/>
      <c r="C293" s="503"/>
      <c r="D293" s="400"/>
      <c r="E293" s="401"/>
      <c r="F293" s="402"/>
      <c r="G293" s="385">
        <f>SUM(G287:G292)</f>
        <v>67.311589371980673</v>
      </c>
      <c r="H293" s="496"/>
      <c r="I293" s="359"/>
      <c r="J293" s="531"/>
      <c r="L293" s="416"/>
      <c r="M293" s="359"/>
      <c r="N293" s="358"/>
      <c r="O293" s="354"/>
      <c r="P293" s="354"/>
      <c r="Q293" s="354"/>
    </row>
    <row r="294" spans="1:17" x14ac:dyDescent="0.2">
      <c r="A294" s="359"/>
      <c r="B294" s="412"/>
      <c r="C294" s="412"/>
      <c r="D294" s="412"/>
      <c r="E294" s="412"/>
      <c r="F294" s="412"/>
      <c r="G294" s="412"/>
      <c r="H294" s="373"/>
      <c r="I294" s="359"/>
      <c r="J294" s="417"/>
      <c r="K294" s="490"/>
      <c r="L294" s="359"/>
      <c r="M294" s="359"/>
      <c r="N294" s="358"/>
      <c r="O294" s="354"/>
      <c r="P294" s="354"/>
      <c r="Q294" s="354"/>
    </row>
    <row r="295" spans="1:17" x14ac:dyDescent="0.2">
      <c r="A295" s="359"/>
      <c r="B295" s="412"/>
      <c r="C295" s="412"/>
      <c r="D295" s="412"/>
      <c r="E295" s="1592" t="s">
        <v>527</v>
      </c>
      <c r="F295" s="1593"/>
      <c r="G295" s="1594"/>
      <c r="H295" s="1605"/>
      <c r="I295" s="1605"/>
      <c r="J295" s="1605"/>
      <c r="K295" s="490"/>
      <c r="L295" s="359"/>
      <c r="M295" s="359"/>
      <c r="N295" s="358"/>
      <c r="O295" s="354"/>
      <c r="P295" s="354"/>
      <c r="Q295" s="354"/>
    </row>
    <row r="296" spans="1:17" x14ac:dyDescent="0.2">
      <c r="A296" s="408" t="s">
        <v>528</v>
      </c>
      <c r="B296" s="421" t="s">
        <v>445</v>
      </c>
      <c r="C296" s="409">
        <f>+VLOOKUP(B296,'[7]Resumen E.P'!$A$4:$I$226,9,0)</f>
        <v>2.9083333333333337</v>
      </c>
      <c r="D296" s="367" t="s">
        <v>401</v>
      </c>
      <c r="E296" s="368">
        <v>26.6</v>
      </c>
      <c r="F296" s="367" t="s">
        <v>363</v>
      </c>
      <c r="G296" s="369">
        <f>E296*C296</f>
        <v>77.361666666666679</v>
      </c>
      <c r="H296" s="411"/>
      <c r="I296" s="371"/>
      <c r="J296" s="497"/>
      <c r="K296" s="490"/>
      <c r="L296" s="359"/>
      <c r="M296" s="359"/>
      <c r="N296" s="358"/>
      <c r="O296" s="354"/>
      <c r="P296" s="354"/>
      <c r="Q296" s="354"/>
    </row>
    <row r="297" spans="1:17" x14ac:dyDescent="0.2">
      <c r="A297" s="359"/>
      <c r="B297" s="412"/>
      <c r="C297" s="412"/>
      <c r="D297" s="412"/>
      <c r="E297" s="412"/>
      <c r="F297" s="412"/>
      <c r="G297" s="412"/>
      <c r="H297" s="373"/>
      <c r="I297" s="359"/>
      <c r="J297" s="417"/>
      <c r="K297" s="490"/>
      <c r="L297" s="359"/>
      <c r="M297" s="359"/>
      <c r="N297" s="358"/>
      <c r="O297" s="354"/>
      <c r="P297" s="354"/>
      <c r="Q297" s="354"/>
    </row>
    <row r="298" spans="1:17" x14ac:dyDescent="0.2">
      <c r="A298" s="451" t="s">
        <v>488</v>
      </c>
      <c r="B298" s="532"/>
      <c r="C298" s="532"/>
      <c r="D298" s="532"/>
      <c r="E298" s="532"/>
      <c r="F298" s="532"/>
      <c r="G298" s="532"/>
      <c r="H298" s="533"/>
      <c r="I298" s="359"/>
      <c r="J298" s="417"/>
      <c r="K298" s="490"/>
      <c r="L298" s="359"/>
      <c r="M298" s="359"/>
      <c r="N298" s="358"/>
      <c r="O298" s="354"/>
      <c r="P298" s="354"/>
      <c r="Q298" s="354"/>
    </row>
    <row r="299" spans="1:17" x14ac:dyDescent="0.2">
      <c r="A299" s="378" t="s">
        <v>489</v>
      </c>
      <c r="B299" s="421" t="s">
        <v>447</v>
      </c>
      <c r="C299" s="366">
        <f>+VLOOKUP(B299,'[7]Resumen E.P'!$A$4:$I$226,9,0)</f>
        <v>4.5694444444444455</v>
      </c>
      <c r="D299" s="367" t="s">
        <v>362</v>
      </c>
      <c r="E299" s="368">
        <v>24</v>
      </c>
      <c r="F299" s="421" t="s">
        <v>363</v>
      </c>
      <c r="G299" s="393">
        <f>C299*E299</f>
        <v>109.66666666666669</v>
      </c>
      <c r="H299" s="370"/>
      <c r="I299" s="359"/>
      <c r="J299" s="417"/>
      <c r="K299" s="490"/>
      <c r="L299" s="359"/>
      <c r="M299" s="359"/>
      <c r="N299" s="358"/>
      <c r="O299" s="354"/>
      <c r="P299" s="354"/>
      <c r="Q299" s="354"/>
    </row>
    <row r="300" spans="1:17" x14ac:dyDescent="0.2">
      <c r="A300" s="378" t="s">
        <v>446</v>
      </c>
      <c r="B300" s="499" t="s">
        <v>490</v>
      </c>
      <c r="C300" s="366">
        <f>+VLOOKUP(B300,'[7]Resumen E.P'!$A$4:$I$226,9,0)</f>
        <v>5.29</v>
      </c>
      <c r="D300" s="367" t="s">
        <v>449</v>
      </c>
      <c r="E300" s="368">
        <v>27</v>
      </c>
      <c r="F300" s="421" t="s">
        <v>363</v>
      </c>
      <c r="G300" s="393">
        <f t="shared" ref="G300:G312" si="17">C300*E300</f>
        <v>142.83000000000001</v>
      </c>
      <c r="H300" s="370"/>
      <c r="I300" s="359"/>
      <c r="J300" s="417"/>
      <c r="K300" s="490"/>
      <c r="L300" s="359"/>
      <c r="M300" s="359"/>
      <c r="N300" s="358"/>
      <c r="O300" s="354"/>
      <c r="P300" s="354"/>
      <c r="Q300" s="354"/>
    </row>
    <row r="301" spans="1:17" x14ac:dyDescent="0.2">
      <c r="A301" s="378"/>
      <c r="B301" s="421" t="s">
        <v>450</v>
      </c>
      <c r="C301" s="366">
        <f>+VLOOKUP(B301,'[7]Resumen E.P'!$A$4:$I$226,9,0)</f>
        <v>2.8166666666666664</v>
      </c>
      <c r="D301" s="367" t="s">
        <v>420</v>
      </c>
      <c r="E301" s="368">
        <v>120</v>
      </c>
      <c r="F301" s="421" t="s">
        <v>363</v>
      </c>
      <c r="G301" s="393">
        <f t="shared" si="17"/>
        <v>338</v>
      </c>
      <c r="H301" s="370"/>
      <c r="I301" s="359"/>
      <c r="J301" s="417"/>
      <c r="K301" s="490"/>
      <c r="L301" s="359"/>
      <c r="M301" s="359"/>
      <c r="N301" s="358"/>
      <c r="O301" s="354"/>
      <c r="P301" s="354"/>
      <c r="Q301" s="354"/>
    </row>
    <row r="302" spans="1:17" x14ac:dyDescent="0.2">
      <c r="A302" s="378"/>
      <c r="B302" s="421" t="s">
        <v>451</v>
      </c>
      <c r="C302" s="366">
        <f>+VLOOKUP(B302,'[7]Resumen E.P'!$A$4:$I$226,9,0)</f>
        <v>1.3066666666666666</v>
      </c>
      <c r="D302" s="367" t="s">
        <v>420</v>
      </c>
      <c r="E302" s="368">
        <v>104</v>
      </c>
      <c r="F302" s="421" t="s">
        <v>363</v>
      </c>
      <c r="G302" s="393">
        <f t="shared" si="17"/>
        <v>135.89333333333332</v>
      </c>
      <c r="H302" s="370"/>
      <c r="I302" s="359"/>
      <c r="J302" s="417"/>
      <c r="K302" s="490"/>
      <c r="L302" s="359"/>
      <c r="M302" s="359"/>
      <c r="N302" s="358"/>
      <c r="O302" s="354"/>
      <c r="P302" s="354"/>
      <c r="Q302" s="354"/>
    </row>
    <row r="303" spans="1:17" x14ac:dyDescent="0.2">
      <c r="A303" s="378"/>
      <c r="B303" s="421" t="s">
        <v>452</v>
      </c>
      <c r="C303" s="366">
        <f>+VLOOKUP(B303,'[7]Resumen E.P'!$A$4:$I$226,9,0)</f>
        <v>3.05</v>
      </c>
      <c r="D303" s="367" t="s">
        <v>420</v>
      </c>
      <c r="E303" s="368">
        <v>120</v>
      </c>
      <c r="F303" s="421" t="s">
        <v>363</v>
      </c>
      <c r="G303" s="393">
        <f t="shared" si="17"/>
        <v>366</v>
      </c>
      <c r="H303" s="370"/>
      <c r="I303" s="359"/>
      <c r="J303" s="417"/>
      <c r="K303" s="490"/>
      <c r="L303" s="359"/>
      <c r="M303" s="359"/>
      <c r="N303" s="358"/>
      <c r="O303" s="354"/>
      <c r="P303" s="354"/>
      <c r="Q303" s="354"/>
    </row>
    <row r="304" spans="1:17" x14ac:dyDescent="0.2">
      <c r="A304" s="378"/>
      <c r="B304" s="421" t="s">
        <v>453</v>
      </c>
      <c r="C304" s="366">
        <f>+VLOOKUP(B304,'[7]Resumen E.P'!$A$4:$I$226,9,0)</f>
        <v>1.8412500000000001</v>
      </c>
      <c r="D304" s="367" t="s">
        <v>420</v>
      </c>
      <c r="E304" s="368">
        <v>99</v>
      </c>
      <c r="F304" s="421" t="s">
        <v>363</v>
      </c>
      <c r="G304" s="393">
        <f t="shared" si="17"/>
        <v>182.28375</v>
      </c>
      <c r="H304" s="370"/>
      <c r="I304" s="359"/>
      <c r="J304" s="417"/>
      <c r="K304" s="490"/>
      <c r="L304" s="359"/>
      <c r="M304" s="359"/>
      <c r="N304" s="358"/>
      <c r="O304" s="354"/>
      <c r="P304" s="354"/>
      <c r="Q304" s="354"/>
    </row>
    <row r="305" spans="1:17" x14ac:dyDescent="0.2">
      <c r="A305" s="378"/>
      <c r="B305" s="421" t="s">
        <v>454</v>
      </c>
      <c r="C305" s="366">
        <f>+VLOOKUP(B305,'[7]Resumen E.P'!$A$4:$I$226,9,0)</f>
        <v>1.8574999999999999</v>
      </c>
      <c r="D305" s="367" t="s">
        <v>420</v>
      </c>
      <c r="E305" s="368">
        <v>78</v>
      </c>
      <c r="F305" s="421" t="s">
        <v>363</v>
      </c>
      <c r="G305" s="393">
        <f t="shared" si="17"/>
        <v>144.88499999999999</v>
      </c>
      <c r="H305" s="370"/>
      <c r="I305" s="359"/>
      <c r="J305" s="417"/>
      <c r="K305" s="490"/>
      <c r="L305" s="359"/>
      <c r="M305" s="359"/>
      <c r="N305" s="358"/>
      <c r="O305" s="354"/>
      <c r="P305" s="354"/>
      <c r="Q305" s="354"/>
    </row>
    <row r="306" spans="1:17" x14ac:dyDescent="0.2">
      <c r="A306" s="378"/>
      <c r="B306" s="421" t="s">
        <v>455</v>
      </c>
      <c r="C306" s="366">
        <f>+VLOOKUP(B306,'[7]Resumen E.P'!$A$4:$I$226,9,0)</f>
        <v>0.92749999999999999</v>
      </c>
      <c r="D306" s="367" t="s">
        <v>420</v>
      </c>
      <c r="E306" s="368">
        <v>130</v>
      </c>
      <c r="F306" s="421" t="s">
        <v>363</v>
      </c>
      <c r="G306" s="393">
        <f t="shared" si="17"/>
        <v>120.575</v>
      </c>
      <c r="H306" s="370"/>
      <c r="I306" s="359"/>
      <c r="J306" s="417"/>
      <c r="K306" s="490"/>
      <c r="L306" s="359"/>
      <c r="M306" s="359"/>
      <c r="N306" s="358"/>
      <c r="O306" s="354"/>
      <c r="P306" s="354"/>
      <c r="Q306" s="354"/>
    </row>
    <row r="307" spans="1:17" x14ac:dyDescent="0.2">
      <c r="A307" s="378"/>
      <c r="B307" s="421" t="s">
        <v>456</v>
      </c>
      <c r="C307" s="366">
        <f>+VLOOKUP(B307,'[7]Resumen E.P'!$A$4:$I$226,9,0)</f>
        <v>1.1924999999999999</v>
      </c>
      <c r="D307" s="367" t="s">
        <v>420</v>
      </c>
      <c r="E307" s="368">
        <v>130</v>
      </c>
      <c r="F307" s="421" t="s">
        <v>363</v>
      </c>
      <c r="G307" s="393">
        <f t="shared" si="17"/>
        <v>155.02499999999998</v>
      </c>
      <c r="H307" s="370"/>
      <c r="I307" s="359"/>
      <c r="J307" s="417"/>
      <c r="K307" s="490"/>
      <c r="L307" s="359"/>
      <c r="M307" s="359"/>
      <c r="N307" s="358"/>
      <c r="O307" s="354"/>
      <c r="P307" s="354"/>
      <c r="Q307" s="354"/>
    </row>
    <row r="308" spans="1:17" x14ac:dyDescent="0.2">
      <c r="A308" s="378"/>
      <c r="B308" s="421" t="s">
        <v>457</v>
      </c>
      <c r="C308" s="366">
        <f>+VLOOKUP(B308,'[7]Resumen E.P'!$A$4:$I$226,9,0)</f>
        <v>2.3445</v>
      </c>
      <c r="D308" s="421" t="s">
        <v>420</v>
      </c>
      <c r="E308" s="368">
        <v>24</v>
      </c>
      <c r="F308" s="421" t="s">
        <v>363</v>
      </c>
      <c r="G308" s="393">
        <f t="shared" si="17"/>
        <v>56.268000000000001</v>
      </c>
      <c r="H308" s="370"/>
      <c r="I308" s="359"/>
      <c r="J308" s="417"/>
      <c r="K308" s="490"/>
      <c r="L308" s="359"/>
      <c r="M308" s="359"/>
      <c r="N308" s="358"/>
      <c r="O308" s="354"/>
      <c r="P308" s="354"/>
      <c r="Q308" s="354"/>
    </row>
    <row r="309" spans="1:17" x14ac:dyDescent="0.2">
      <c r="A309" s="378"/>
      <c r="B309" s="421" t="s">
        <v>491</v>
      </c>
      <c r="C309" s="366">
        <f>+VLOOKUP(B309,'[7]Resumen E.P'!$A$4:$I$226,9,0)</f>
        <v>1.4045000000000001</v>
      </c>
      <c r="D309" s="367" t="s">
        <v>420</v>
      </c>
      <c r="E309" s="368">
        <v>110</v>
      </c>
      <c r="F309" s="421" t="s">
        <v>363</v>
      </c>
      <c r="G309" s="393">
        <f t="shared" si="17"/>
        <v>154.495</v>
      </c>
      <c r="H309" s="370"/>
      <c r="I309" s="359"/>
      <c r="J309" s="417"/>
      <c r="K309" s="490"/>
      <c r="L309" s="359"/>
      <c r="M309" s="359"/>
      <c r="N309" s="358"/>
      <c r="O309" s="354"/>
      <c r="P309" s="354"/>
      <c r="Q309" s="354"/>
    </row>
    <row r="310" spans="1:17" x14ac:dyDescent="0.2">
      <c r="A310" s="378"/>
      <c r="B310" s="421" t="s">
        <v>382</v>
      </c>
      <c r="C310" s="366">
        <f>+VLOOKUP(B310,'[7]Resumen E.P'!$A$4:$I$226,9,0)</f>
        <v>5.3680792124542123</v>
      </c>
      <c r="D310" s="367" t="s">
        <v>383</v>
      </c>
      <c r="E310" s="368">
        <v>1</v>
      </c>
      <c r="F310" s="367" t="s">
        <v>384</v>
      </c>
      <c r="G310" s="393">
        <f t="shared" si="17"/>
        <v>5.3680792124542123</v>
      </c>
      <c r="H310" s="370"/>
      <c r="I310" s="359"/>
      <c r="J310" s="417"/>
      <c r="K310" s="490"/>
      <c r="L310" s="359"/>
      <c r="M310" s="359"/>
      <c r="N310" s="358"/>
      <c r="O310" s="354"/>
      <c r="P310" s="354"/>
      <c r="Q310" s="354"/>
    </row>
    <row r="311" spans="1:17" x14ac:dyDescent="0.2">
      <c r="A311" s="378"/>
      <c r="B311" s="421" t="s">
        <v>385</v>
      </c>
      <c r="C311" s="366">
        <f>+VLOOKUP(B311,'[7]Resumen E.P'!$A$4:$I$226,9,0)</f>
        <v>13.292857142857143</v>
      </c>
      <c r="D311" s="367" t="s">
        <v>386</v>
      </c>
      <c r="E311" s="368">
        <v>1</v>
      </c>
      <c r="F311" s="367" t="s">
        <v>386</v>
      </c>
      <c r="G311" s="393">
        <f t="shared" si="17"/>
        <v>13.292857142857143</v>
      </c>
      <c r="H311" s="370"/>
      <c r="I311" s="359"/>
      <c r="J311" s="417"/>
      <c r="K311" s="490"/>
      <c r="L311" s="359"/>
      <c r="M311" s="359"/>
      <c r="N311" s="358"/>
      <c r="O311" s="354"/>
      <c r="P311" s="354"/>
      <c r="Q311" s="354"/>
    </row>
    <row r="312" spans="1:17" x14ac:dyDescent="0.2">
      <c r="A312" s="378"/>
      <c r="B312" s="421" t="s">
        <v>492</v>
      </c>
      <c r="C312" s="366">
        <f>+VLOOKUP(B312,'[7]Resumen E.P'!$A$4:$I$226,9,0)</f>
        <v>4.1791666666666671</v>
      </c>
      <c r="D312" s="367" t="s">
        <v>363</v>
      </c>
      <c r="E312" s="368">
        <v>1</v>
      </c>
      <c r="F312" s="367" t="s">
        <v>493</v>
      </c>
      <c r="G312" s="393">
        <f t="shared" si="17"/>
        <v>4.1791666666666671</v>
      </c>
      <c r="H312" s="370"/>
      <c r="I312" s="359"/>
      <c r="J312" s="417"/>
      <c r="K312" s="490"/>
      <c r="L312" s="359"/>
      <c r="M312" s="359"/>
      <c r="N312" s="358"/>
      <c r="O312" s="354"/>
      <c r="P312" s="354"/>
      <c r="Q312" s="354"/>
    </row>
    <row r="313" spans="1:17" x14ac:dyDescent="0.2">
      <c r="A313" s="380"/>
      <c r="B313" s="381"/>
      <c r="C313" s="384"/>
      <c r="D313" s="500"/>
      <c r="E313" s="384"/>
      <c r="F313" s="462"/>
      <c r="G313" s="403">
        <f>SUM(G299:G312)/14</f>
        <v>137.76870378728412</v>
      </c>
      <c r="H313" s="386" t="s">
        <v>23</v>
      </c>
      <c r="I313" s="359"/>
      <c r="J313" s="422"/>
      <c r="K313" s="490"/>
      <c r="L313" s="359"/>
      <c r="M313" s="359"/>
      <c r="N313" s="358"/>
      <c r="O313" s="354"/>
      <c r="P313" s="354"/>
      <c r="Q313" s="354"/>
    </row>
    <row r="314" spans="1:17" x14ac:dyDescent="0.2">
      <c r="A314" s="374" t="s">
        <v>478</v>
      </c>
      <c r="B314" s="421" t="s">
        <v>145</v>
      </c>
      <c r="C314" s="366">
        <f>+VLOOKUP(B314,'[7]Resumen E.P'!$A$4:$I$226,9,0)</f>
        <v>3.0816666666666666</v>
      </c>
      <c r="D314" s="367" t="s">
        <v>420</v>
      </c>
      <c r="E314" s="368">
        <v>5</v>
      </c>
      <c r="F314" s="367" t="s">
        <v>363</v>
      </c>
      <c r="G314" s="375">
        <f t="shared" ref="G314:G319" si="18">E314*C314</f>
        <v>15.408333333333333</v>
      </c>
      <c r="H314" s="376"/>
      <c r="I314" s="359"/>
      <c r="J314" s="417"/>
      <c r="K314" s="490"/>
      <c r="L314" s="359"/>
      <c r="M314" s="359"/>
      <c r="N314" s="358"/>
      <c r="O314" s="354"/>
      <c r="P314" s="354"/>
      <c r="Q314" s="354"/>
    </row>
    <row r="315" spans="1:17" x14ac:dyDescent="0.2">
      <c r="A315" s="378" t="s">
        <v>479</v>
      </c>
      <c r="B315" s="499" t="s">
        <v>468</v>
      </c>
      <c r="C315" s="366">
        <f>+VLOOKUP(B315,'[7]Resumen E.P'!$A$4:$I$226,9,0)</f>
        <v>2.4442499999999998</v>
      </c>
      <c r="D315" s="367" t="s">
        <v>420</v>
      </c>
      <c r="E315" s="368">
        <v>2.5</v>
      </c>
      <c r="F315" s="367" t="s">
        <v>363</v>
      </c>
      <c r="G315" s="375">
        <f t="shared" si="18"/>
        <v>6.1106249999999998</v>
      </c>
      <c r="H315" s="376"/>
      <c r="I315" s="359"/>
      <c r="J315" s="417"/>
      <c r="K315" s="490"/>
      <c r="L315" s="359"/>
      <c r="M315" s="359"/>
      <c r="N315" s="358"/>
      <c r="O315" s="354"/>
      <c r="P315" s="354"/>
      <c r="Q315" s="354"/>
    </row>
    <row r="316" spans="1:17" x14ac:dyDescent="0.2">
      <c r="A316" s="378" t="s">
        <v>480</v>
      </c>
      <c r="B316" s="367" t="s">
        <v>481</v>
      </c>
      <c r="C316" s="366">
        <f>+VLOOKUP(B316,'[7]Resumen E.P'!$A$4:$I$226,9,0)</f>
        <v>2.25875</v>
      </c>
      <c r="D316" s="367" t="s">
        <v>420</v>
      </c>
      <c r="E316" s="368">
        <v>2.5</v>
      </c>
      <c r="F316" s="367" t="s">
        <v>363</v>
      </c>
      <c r="G316" s="375">
        <f t="shared" si="18"/>
        <v>5.6468749999999996</v>
      </c>
      <c r="H316" s="376"/>
      <c r="I316" s="359"/>
      <c r="J316" s="417"/>
      <c r="K316" s="490"/>
      <c r="L316" s="359"/>
      <c r="M316" s="359"/>
      <c r="N316" s="358"/>
      <c r="O316" s="354"/>
      <c r="P316" s="354"/>
      <c r="Q316" s="354"/>
    </row>
    <row r="317" spans="1:17" x14ac:dyDescent="0.2">
      <c r="A317" s="378" t="s">
        <v>494</v>
      </c>
      <c r="B317" s="421" t="s">
        <v>403</v>
      </c>
      <c r="C317" s="366">
        <f>+VLOOKUP(B317,'[7]Resumen E.P'!$A$4:$I$226,9,0)</f>
        <v>259.375</v>
      </c>
      <c r="D317" s="367" t="s">
        <v>404</v>
      </c>
      <c r="E317" s="501">
        <v>0.1</v>
      </c>
      <c r="F317" s="367" t="s">
        <v>378</v>
      </c>
      <c r="G317" s="375">
        <f t="shared" si="18"/>
        <v>25.9375</v>
      </c>
      <c r="H317" s="376"/>
      <c r="I317" s="359"/>
      <c r="J317" s="417"/>
      <c r="K317" s="490"/>
      <c r="L317" s="359"/>
      <c r="M317" s="359"/>
      <c r="N317" s="358"/>
      <c r="O317" s="354"/>
      <c r="P317" s="354"/>
      <c r="Q317" s="354"/>
    </row>
    <row r="318" spans="1:17" x14ac:dyDescent="0.2">
      <c r="A318" s="378" t="s">
        <v>495</v>
      </c>
      <c r="B318" s="421" t="s">
        <v>457</v>
      </c>
      <c r="C318" s="366">
        <f>+VLOOKUP(B318,'[7]Resumen E.P'!$A$4:$I$226,9,0)</f>
        <v>2.3445</v>
      </c>
      <c r="D318" s="421" t="s">
        <v>420</v>
      </c>
      <c r="E318" s="368">
        <v>5</v>
      </c>
      <c r="F318" s="421" t="s">
        <v>363</v>
      </c>
      <c r="G318" s="375">
        <f t="shared" si="18"/>
        <v>11.7225</v>
      </c>
      <c r="H318" s="376"/>
      <c r="I318" s="359"/>
      <c r="J318" s="417"/>
      <c r="K318" s="490"/>
      <c r="L318" s="359"/>
      <c r="M318" s="359"/>
      <c r="N318" s="358"/>
      <c r="O318" s="354"/>
      <c r="P318" s="354"/>
      <c r="Q318" s="354"/>
    </row>
    <row r="319" spans="1:17" x14ac:dyDescent="0.2">
      <c r="A319" s="378" t="s">
        <v>379</v>
      </c>
      <c r="B319" s="421" t="s">
        <v>485</v>
      </c>
      <c r="C319" s="366">
        <f>+VLOOKUP(B319,'[7]Resumen E.P'!$A$4:$I$226,9,0)</f>
        <v>0.83516666666666661</v>
      </c>
      <c r="D319" s="367" t="s">
        <v>420</v>
      </c>
      <c r="E319" s="493">
        <v>2</v>
      </c>
      <c r="F319" s="367" t="s">
        <v>363</v>
      </c>
      <c r="G319" s="375">
        <f t="shared" si="18"/>
        <v>1.6703333333333332</v>
      </c>
      <c r="H319" s="376"/>
      <c r="I319" s="359"/>
      <c r="J319" s="417"/>
      <c r="K319" s="490"/>
      <c r="L319" s="359"/>
      <c r="M319" s="359"/>
      <c r="N319" s="358"/>
      <c r="O319" s="354"/>
      <c r="P319" s="354"/>
      <c r="Q319" s="354"/>
    </row>
    <row r="320" spans="1:17" x14ac:dyDescent="0.2">
      <c r="A320" s="380"/>
      <c r="B320" s="502"/>
      <c r="C320" s="401"/>
      <c r="D320" s="400"/>
      <c r="E320" s="401"/>
      <c r="F320" s="402"/>
      <c r="G320" s="385">
        <f>SUM(G314:G319)</f>
        <v>66.496166666666667</v>
      </c>
      <c r="H320" s="496"/>
      <c r="I320" s="359"/>
      <c r="J320" s="417"/>
      <c r="K320" s="490"/>
      <c r="L320" s="359"/>
      <c r="M320" s="359"/>
      <c r="N320" s="358"/>
      <c r="O320" s="354"/>
      <c r="P320" s="354"/>
      <c r="Q320" s="354"/>
    </row>
    <row r="321" spans="1:17" x14ac:dyDescent="0.2">
      <c r="A321" s="377"/>
      <c r="B321" s="405"/>
      <c r="C321" s="405"/>
      <c r="D321" s="405"/>
      <c r="E321" s="405"/>
      <c r="F321" s="405"/>
      <c r="G321" s="406"/>
      <c r="H321" s="363"/>
      <c r="I321" s="359"/>
      <c r="J321" s="417"/>
      <c r="K321" s="490"/>
      <c r="L321" s="359"/>
      <c r="M321" s="359"/>
      <c r="N321" s="358"/>
      <c r="O321" s="354"/>
      <c r="P321" s="354"/>
      <c r="Q321" s="354"/>
    </row>
    <row r="322" spans="1:17" x14ac:dyDescent="0.2">
      <c r="A322" s="374"/>
      <c r="B322" s="479"/>
      <c r="C322" s="479"/>
      <c r="D322" s="479"/>
      <c r="E322" s="1610" t="s">
        <v>496</v>
      </c>
      <c r="F322" s="1609"/>
      <c r="G322" s="1611"/>
      <c r="H322" s="363"/>
      <c r="I322" s="363"/>
      <c r="J322" s="363"/>
      <c r="K322" s="490"/>
      <c r="L322" s="1606"/>
      <c r="M322" s="1606"/>
      <c r="N322" s="1606"/>
      <c r="O322" s="448"/>
      <c r="P322" s="448"/>
      <c r="Q322" s="448"/>
    </row>
    <row r="323" spans="1:17" x14ac:dyDescent="0.2">
      <c r="A323" s="431" t="s">
        <v>497</v>
      </c>
      <c r="B323" s="421" t="s">
        <v>498</v>
      </c>
      <c r="C323" s="366">
        <f>+VLOOKUP(B323,'[7]Resumen E.P'!$A$4:$I$226,9,0)</f>
        <v>11.67</v>
      </c>
      <c r="D323" s="367" t="s">
        <v>420</v>
      </c>
      <c r="E323" s="368">
        <v>80</v>
      </c>
      <c r="F323" s="367" t="s">
        <v>363</v>
      </c>
      <c r="G323" s="393">
        <f t="shared" ref="G323:G334" si="19">E323*C323</f>
        <v>933.6</v>
      </c>
      <c r="H323" s="422"/>
      <c r="I323" s="446"/>
      <c r="J323" s="422" t="s">
        <v>529</v>
      </c>
      <c r="K323" s="359"/>
      <c r="L323" s="1607" t="s">
        <v>500</v>
      </c>
      <c r="M323" s="1584"/>
      <c r="N323" s="417"/>
      <c r="O323" s="448"/>
      <c r="P323" s="448"/>
      <c r="Q323" s="449"/>
    </row>
    <row r="324" spans="1:17" x14ac:dyDescent="0.2">
      <c r="A324" s="378"/>
      <c r="B324" s="499" t="s">
        <v>501</v>
      </c>
      <c r="C324" s="366">
        <f>+VLOOKUP(B324,'[7]Resumen E.P'!$A$4:$I$226,9,0)</f>
        <v>13.151</v>
      </c>
      <c r="D324" s="367" t="s">
        <v>420</v>
      </c>
      <c r="E324" s="368">
        <v>80</v>
      </c>
      <c r="F324" s="367" t="s">
        <v>363</v>
      </c>
      <c r="G324" s="393">
        <f t="shared" si="19"/>
        <v>1052.08</v>
      </c>
      <c r="H324" s="377"/>
      <c r="I324" s="446"/>
      <c r="J324" s="422" t="s">
        <v>530</v>
      </c>
      <c r="K324" s="359"/>
      <c r="L324" s="1584"/>
      <c r="M324" s="1584"/>
      <c r="N324" s="417"/>
      <c r="O324" s="448"/>
      <c r="P324" s="448"/>
      <c r="Q324" s="449"/>
    </row>
    <row r="325" spans="1:17" x14ac:dyDescent="0.2">
      <c r="A325" s="378"/>
      <c r="B325" s="421" t="s">
        <v>503</v>
      </c>
      <c r="C325" s="366">
        <f>+VLOOKUP(B325,'[7]Resumen E.P'!$A$4:$I$226,9,0)</f>
        <v>11.59</v>
      </c>
      <c r="D325" s="367" t="s">
        <v>420</v>
      </c>
      <c r="E325" s="368">
        <v>80</v>
      </c>
      <c r="F325" s="367" t="s">
        <v>363</v>
      </c>
      <c r="G325" s="393">
        <f t="shared" si="19"/>
        <v>927.2</v>
      </c>
      <c r="H325" s="377"/>
      <c r="I325" s="446"/>
      <c r="J325" s="422" t="s">
        <v>504</v>
      </c>
      <c r="K325" s="359"/>
      <c r="L325" s="1584"/>
      <c r="M325" s="1584"/>
      <c r="N325" s="534">
        <f>(G323*7+G324*2+G325*2+G326*2+G327*1+G328*3)/17</f>
        <v>993.29447570332468</v>
      </c>
      <c r="O325" s="448"/>
      <c r="P325" s="448"/>
      <c r="Q325" s="449"/>
    </row>
    <row r="326" spans="1:17" x14ac:dyDescent="0.2">
      <c r="A326" s="378"/>
      <c r="B326" s="499" t="s">
        <v>505</v>
      </c>
      <c r="C326" s="366">
        <f>+VLOOKUP(B326,'[7]Resumen E.P'!$A$4:$I$226,9,0)</f>
        <v>15.984500000000001</v>
      </c>
      <c r="D326" s="367" t="s">
        <v>420</v>
      </c>
      <c r="E326" s="368">
        <v>80</v>
      </c>
      <c r="F326" s="367" t="s">
        <v>363</v>
      </c>
      <c r="G326" s="393">
        <f t="shared" si="19"/>
        <v>1278.76</v>
      </c>
      <c r="H326" s="377"/>
      <c r="I326" s="446"/>
      <c r="J326" s="422" t="s">
        <v>504</v>
      </c>
      <c r="K326" s="359"/>
      <c r="L326" s="1584"/>
      <c r="M326" s="1584"/>
      <c r="N326" s="447"/>
      <c r="O326" s="448"/>
      <c r="P326" s="448"/>
      <c r="Q326" s="449"/>
    </row>
    <row r="327" spans="1:17" x14ac:dyDescent="0.2">
      <c r="A327" s="378"/>
      <c r="B327" s="379" t="s">
        <v>506</v>
      </c>
      <c r="C327" s="366">
        <f>+VLOOKUP(B327,'[7]Resumen E.P'!$A$4:$I$226,9,0)</f>
        <v>17.859601449275363</v>
      </c>
      <c r="D327" s="367" t="s">
        <v>363</v>
      </c>
      <c r="E327" s="421">
        <v>60</v>
      </c>
      <c r="F327" s="421" t="s">
        <v>363</v>
      </c>
      <c r="G327" s="393">
        <f t="shared" si="19"/>
        <v>1071.5760869565217</v>
      </c>
      <c r="H327" s="377"/>
      <c r="I327" s="446"/>
      <c r="J327" s="422" t="s">
        <v>507</v>
      </c>
      <c r="K327" s="359"/>
      <c r="L327" s="1584"/>
      <c r="M327" s="1584"/>
      <c r="N327" s="535"/>
      <c r="O327" s="448"/>
      <c r="P327" s="448"/>
      <c r="Q327" s="449"/>
    </row>
    <row r="328" spans="1:17" x14ac:dyDescent="0.2">
      <c r="A328" s="378"/>
      <c r="B328" s="421" t="s">
        <v>508</v>
      </c>
      <c r="C328" s="366">
        <f>+VLOOKUP(B328,'[7]Resumen E.P'!$A$4:$I$226,9,0)</f>
        <v>7.085</v>
      </c>
      <c r="D328" s="367" t="s">
        <v>420</v>
      </c>
      <c r="E328" s="368">
        <v>130</v>
      </c>
      <c r="F328" s="367" t="s">
        <v>363</v>
      </c>
      <c r="G328" s="393">
        <f t="shared" si="19"/>
        <v>921.05</v>
      </c>
      <c r="H328" s="377"/>
      <c r="I328" s="446"/>
      <c r="J328" s="422" t="s">
        <v>502</v>
      </c>
      <c r="K328" s="359"/>
      <c r="L328" s="1584"/>
      <c r="M328" s="1584"/>
      <c r="N328" s="447"/>
      <c r="O328" s="448"/>
      <c r="P328" s="448"/>
      <c r="Q328" s="449"/>
    </row>
    <row r="329" spans="1:17" x14ac:dyDescent="0.2">
      <c r="A329" s="391" t="s">
        <v>478</v>
      </c>
      <c r="B329" s="421" t="s">
        <v>145</v>
      </c>
      <c r="C329" s="366">
        <f>+VLOOKUP(B329,'[7]Resumen E.P'!$A$4:$I$226,9,0)</f>
        <v>3.0816666666666666</v>
      </c>
      <c r="D329" s="367" t="s">
        <v>420</v>
      </c>
      <c r="E329" s="368">
        <v>5</v>
      </c>
      <c r="F329" s="367" t="s">
        <v>363</v>
      </c>
      <c r="G329" s="375">
        <f t="shared" si="19"/>
        <v>15.408333333333333</v>
      </c>
      <c r="H329" s="404"/>
      <c r="I329" s="536"/>
      <c r="J329" s="396"/>
      <c r="K329" s="373"/>
      <c r="L329" s="359"/>
      <c r="M329" s="359"/>
      <c r="N329" s="359"/>
      <c r="O329" s="448"/>
      <c r="P329" s="448"/>
      <c r="Q329" s="448"/>
    </row>
    <row r="330" spans="1:17" x14ac:dyDescent="0.2">
      <c r="A330" s="397" t="s">
        <v>479</v>
      </c>
      <c r="B330" s="499" t="s">
        <v>468</v>
      </c>
      <c r="C330" s="366">
        <f>+VLOOKUP(B330,'[7]Resumen E.P'!$A$4:$I$226,9,0)</f>
        <v>2.4442499999999998</v>
      </c>
      <c r="D330" s="367" t="s">
        <v>420</v>
      </c>
      <c r="E330" s="368">
        <v>2.5</v>
      </c>
      <c r="F330" s="367" t="s">
        <v>363</v>
      </c>
      <c r="G330" s="375">
        <f t="shared" si="19"/>
        <v>6.1106249999999998</v>
      </c>
      <c r="H330" s="404"/>
      <c r="I330" s="536"/>
      <c r="J330" s="396"/>
      <c r="K330" s="373"/>
      <c r="L330" s="359"/>
      <c r="M330" s="359"/>
      <c r="N330" s="359"/>
      <c r="O330" s="448"/>
      <c r="P330" s="448"/>
      <c r="Q330" s="448"/>
    </row>
    <row r="331" spans="1:17" x14ac:dyDescent="0.2">
      <c r="A331" s="397" t="s">
        <v>480</v>
      </c>
      <c r="B331" s="367" t="s">
        <v>481</v>
      </c>
      <c r="C331" s="366">
        <f>+VLOOKUP(B331,'[7]Resumen E.P'!$A$4:$I$226,9,0)</f>
        <v>2.25875</v>
      </c>
      <c r="D331" s="367" t="s">
        <v>420</v>
      </c>
      <c r="E331" s="368">
        <v>2.5</v>
      </c>
      <c r="F331" s="367" t="s">
        <v>363</v>
      </c>
      <c r="G331" s="375">
        <f t="shared" si="19"/>
        <v>5.6468749999999996</v>
      </c>
      <c r="H331" s="404"/>
      <c r="I331" s="536"/>
      <c r="J331" s="396"/>
      <c r="K331" s="373"/>
      <c r="L331" s="359"/>
      <c r="M331" s="359"/>
      <c r="N331" s="359"/>
      <c r="O331" s="448"/>
      <c r="P331" s="448"/>
      <c r="Q331" s="448"/>
    </row>
    <row r="332" spans="1:17" x14ac:dyDescent="0.2">
      <c r="A332" s="397" t="s">
        <v>511</v>
      </c>
      <c r="B332" s="367" t="s">
        <v>139</v>
      </c>
      <c r="C332" s="366">
        <f>+VLOOKUP(B332,'[7]Resumen E.P'!$A$4:$I$226,9,0)</f>
        <v>13.743478260869566</v>
      </c>
      <c r="D332" s="367" t="s">
        <v>420</v>
      </c>
      <c r="E332" s="368">
        <v>1</v>
      </c>
      <c r="F332" s="367" t="s">
        <v>363</v>
      </c>
      <c r="G332" s="375">
        <f t="shared" si="19"/>
        <v>13.743478260869566</v>
      </c>
      <c r="H332" s="404"/>
      <c r="I332" s="536"/>
      <c r="J332" s="396"/>
      <c r="K332" s="373"/>
      <c r="L332" s="359"/>
      <c r="M332" s="359"/>
      <c r="N332" s="359"/>
      <c r="O332" s="448"/>
      <c r="P332" s="448"/>
      <c r="Q332" s="448"/>
    </row>
    <row r="333" spans="1:17" x14ac:dyDescent="0.2">
      <c r="A333" s="397"/>
      <c r="B333" s="421" t="s">
        <v>457</v>
      </c>
      <c r="C333" s="366">
        <f>+VLOOKUP(B333,'[7]Resumen E.P'!$A$4:$I$226,9,0)</f>
        <v>2.3445</v>
      </c>
      <c r="D333" s="421" t="s">
        <v>420</v>
      </c>
      <c r="E333" s="368">
        <v>2.5</v>
      </c>
      <c r="F333" s="421" t="s">
        <v>363</v>
      </c>
      <c r="G333" s="375">
        <f t="shared" si="19"/>
        <v>5.8612500000000001</v>
      </c>
      <c r="H333" s="404"/>
      <c r="I333" s="536"/>
      <c r="J333" s="377"/>
      <c r="K333" s="373"/>
      <c r="L333" s="359"/>
      <c r="M333" s="359"/>
      <c r="N333" s="359"/>
      <c r="O333" s="448"/>
      <c r="P333" s="448"/>
      <c r="Q333" s="448"/>
    </row>
    <row r="334" spans="1:17" x14ac:dyDescent="0.2">
      <c r="A334" s="397"/>
      <c r="B334" s="421" t="s">
        <v>485</v>
      </c>
      <c r="C334" s="366">
        <f>+VLOOKUP(B334,'[7]Resumen E.P'!$A$4:$I$226,9,0)</f>
        <v>0.83516666666666661</v>
      </c>
      <c r="D334" s="367" t="s">
        <v>420</v>
      </c>
      <c r="E334" s="493">
        <v>2</v>
      </c>
      <c r="F334" s="367" t="s">
        <v>363</v>
      </c>
      <c r="G334" s="375">
        <f t="shared" si="19"/>
        <v>1.6703333333333332</v>
      </c>
      <c r="H334" s="404"/>
      <c r="I334" s="404"/>
      <c r="J334" s="377"/>
      <c r="K334" s="359"/>
      <c r="L334" s="359"/>
      <c r="M334" s="359"/>
      <c r="N334" s="359"/>
      <c r="O334" s="448"/>
      <c r="P334" s="448"/>
      <c r="Q334" s="448"/>
    </row>
    <row r="335" spans="1:17" x14ac:dyDescent="0.2">
      <c r="A335" s="398"/>
      <c r="B335" s="400"/>
      <c r="C335" s="503"/>
      <c r="D335" s="400"/>
      <c r="E335" s="401"/>
      <c r="F335" s="402"/>
      <c r="G335" s="385">
        <f>SUM(G329:G334)</f>
        <v>48.440894927536227</v>
      </c>
      <c r="H335" s="363"/>
      <c r="I335" s="404"/>
      <c r="J335" s="377"/>
      <c r="K335" s="359"/>
      <c r="L335" s="359"/>
      <c r="M335" s="359"/>
      <c r="N335" s="359"/>
      <c r="O335" s="448"/>
      <c r="P335" s="354"/>
      <c r="Q335" s="354"/>
    </row>
    <row r="336" spans="1:17" x14ac:dyDescent="0.2">
      <c r="A336" s="377"/>
      <c r="B336" s="405"/>
      <c r="C336" s="537"/>
      <c r="D336" s="405"/>
      <c r="E336" s="405"/>
      <c r="F336" s="405"/>
      <c r="G336" s="538"/>
      <c r="H336" s="363"/>
      <c r="I336" s="404"/>
      <c r="J336" s="377"/>
      <c r="K336" s="359"/>
      <c r="L336" s="359"/>
      <c r="M336" s="359"/>
      <c r="N336" s="359"/>
      <c r="O336" s="448"/>
      <c r="P336" s="354"/>
      <c r="Q336" s="354"/>
    </row>
    <row r="337" spans="1:17" x14ac:dyDescent="0.2">
      <c r="A337" s="374" t="s">
        <v>467</v>
      </c>
      <c r="B337" s="499" t="s">
        <v>468</v>
      </c>
      <c r="C337" s="366">
        <f>+VLOOKUP(B337,'[7]Resumen E.P'!$A$4:$I$226,9,0)</f>
        <v>2.4442499999999998</v>
      </c>
      <c r="D337" s="367" t="s">
        <v>420</v>
      </c>
      <c r="E337" s="368">
        <v>44</v>
      </c>
      <c r="F337" s="367" t="s">
        <v>363</v>
      </c>
      <c r="G337" s="375">
        <f>E337*C337</f>
        <v>107.547</v>
      </c>
      <c r="H337" s="491"/>
      <c r="I337" s="359"/>
      <c r="J337" s="420"/>
      <c r="K337" s="359"/>
      <c r="L337" s="358"/>
      <c r="M337" s="358"/>
      <c r="N337" s="358"/>
      <c r="O337" s="354"/>
      <c r="P337" s="354"/>
      <c r="Q337" s="354"/>
    </row>
    <row r="338" spans="1:17" x14ac:dyDescent="0.2">
      <c r="A338" s="378"/>
      <c r="B338" s="421" t="s">
        <v>469</v>
      </c>
      <c r="C338" s="366">
        <f>+VLOOKUP(B338,'[7]Resumen E.P'!$A$4:$I$226,9,0)</f>
        <v>1.2162500000000001</v>
      </c>
      <c r="D338" s="367" t="s">
        <v>420</v>
      </c>
      <c r="E338" s="368">
        <v>49</v>
      </c>
      <c r="F338" s="367" t="s">
        <v>363</v>
      </c>
      <c r="G338" s="375">
        <f t="shared" ref="G338:G349" si="20">E338*C338</f>
        <v>59.596250000000005</v>
      </c>
      <c r="H338" s="491"/>
      <c r="I338" s="359"/>
      <c r="J338" s="420"/>
      <c r="K338" s="359"/>
      <c r="L338" s="358"/>
      <c r="M338" s="358"/>
      <c r="N338" s="358"/>
      <c r="O338" s="354"/>
      <c r="P338" s="354"/>
      <c r="Q338" s="354"/>
    </row>
    <row r="339" spans="1:17" x14ac:dyDescent="0.2">
      <c r="A339" s="378"/>
      <c r="B339" s="421" t="s">
        <v>470</v>
      </c>
      <c r="C339" s="366">
        <f>+VLOOKUP(B339,'[7]Resumen E.P'!$A$4:$I$226,9,0)</f>
        <v>3.9544999999999999</v>
      </c>
      <c r="D339" s="367" t="s">
        <v>420</v>
      </c>
      <c r="E339" s="368">
        <v>44</v>
      </c>
      <c r="F339" s="367" t="s">
        <v>363</v>
      </c>
      <c r="G339" s="375">
        <f t="shared" si="20"/>
        <v>173.99799999999999</v>
      </c>
      <c r="H339" s="491"/>
      <c r="I339" s="359"/>
      <c r="J339" s="420"/>
      <c r="K339" s="359"/>
      <c r="L339" s="358"/>
      <c r="M339" s="358"/>
      <c r="N339" s="358"/>
      <c r="O339" s="354"/>
      <c r="P339" s="354"/>
      <c r="Q339" s="354"/>
    </row>
    <row r="340" spans="1:17" x14ac:dyDescent="0.2">
      <c r="A340" s="378"/>
      <c r="B340" s="421" t="s">
        <v>140</v>
      </c>
      <c r="C340" s="366">
        <f>+VLOOKUP(B340,'[7]Resumen E.P'!$A$4:$I$226,9,0)</f>
        <v>2.3748333333333336</v>
      </c>
      <c r="D340" s="367" t="s">
        <v>420</v>
      </c>
      <c r="E340" s="368">
        <v>44</v>
      </c>
      <c r="F340" s="367" t="s">
        <v>363</v>
      </c>
      <c r="G340" s="375">
        <f t="shared" si="20"/>
        <v>104.49266666666668</v>
      </c>
      <c r="H340" s="491"/>
      <c r="I340" s="359"/>
      <c r="J340" s="420"/>
      <c r="K340" s="359"/>
      <c r="L340" s="358"/>
      <c r="M340" s="358"/>
      <c r="N340" s="358"/>
      <c r="O340" s="354"/>
      <c r="P340" s="354"/>
      <c r="Q340" s="354"/>
    </row>
    <row r="341" spans="1:17" x14ac:dyDescent="0.2">
      <c r="A341" s="378"/>
      <c r="B341" s="421" t="s">
        <v>471</v>
      </c>
      <c r="C341" s="366">
        <f>+VLOOKUP(B341,'[7]Resumen E.P'!$A$4:$I$226,9,0)</f>
        <v>0.95250000000000001</v>
      </c>
      <c r="D341" s="367" t="s">
        <v>420</v>
      </c>
      <c r="E341" s="368">
        <v>57</v>
      </c>
      <c r="F341" s="367" t="s">
        <v>363</v>
      </c>
      <c r="G341" s="375">
        <f t="shared" si="20"/>
        <v>54.292500000000004</v>
      </c>
      <c r="H341" s="491"/>
      <c r="I341" s="359"/>
      <c r="J341" s="420"/>
      <c r="K341" s="359"/>
      <c r="L341" s="358"/>
      <c r="M341" s="358"/>
      <c r="N341" s="358"/>
      <c r="O341" s="354"/>
      <c r="P341" s="354"/>
      <c r="Q341" s="354"/>
    </row>
    <row r="342" spans="1:17" x14ac:dyDescent="0.2">
      <c r="A342" s="378"/>
      <c r="B342" s="421" t="s">
        <v>143</v>
      </c>
      <c r="C342" s="366">
        <f>+VLOOKUP(B342,'[7]Resumen E.P'!$A$4:$I$226,9,0)</f>
        <v>1.05</v>
      </c>
      <c r="D342" s="367" t="s">
        <v>420</v>
      </c>
      <c r="E342" s="368">
        <v>45</v>
      </c>
      <c r="F342" s="367" t="s">
        <v>363</v>
      </c>
      <c r="G342" s="375">
        <f t="shared" si="20"/>
        <v>47.25</v>
      </c>
      <c r="H342" s="491"/>
      <c r="I342" s="359"/>
      <c r="J342" s="420"/>
      <c r="K342" s="359"/>
      <c r="L342" s="358"/>
      <c r="M342" s="358"/>
      <c r="N342" s="358"/>
      <c r="O342" s="354"/>
      <c r="P342" s="354"/>
      <c r="Q342" s="354"/>
    </row>
    <row r="343" spans="1:17" x14ac:dyDescent="0.2">
      <c r="A343" s="378"/>
      <c r="B343" s="421" t="s">
        <v>472</v>
      </c>
      <c r="C343" s="366">
        <f>+VLOOKUP(B343,'[7]Resumen E.P'!$A$4:$I$226,9,0)</f>
        <v>4.75</v>
      </c>
      <c r="D343" s="367" t="s">
        <v>420</v>
      </c>
      <c r="E343" s="368">
        <v>56</v>
      </c>
      <c r="F343" s="367" t="s">
        <v>363</v>
      </c>
      <c r="G343" s="375">
        <f t="shared" si="20"/>
        <v>266</v>
      </c>
      <c r="H343" s="491"/>
      <c r="I343" s="359"/>
      <c r="J343" s="420"/>
      <c r="K343" s="359"/>
      <c r="L343" s="358"/>
      <c r="M343" s="358"/>
      <c r="N343" s="358"/>
      <c r="O343" s="354"/>
      <c r="P343" s="354"/>
      <c r="Q343" s="354"/>
    </row>
    <row r="344" spans="1:17" x14ac:dyDescent="0.2">
      <c r="A344" s="378"/>
      <c r="B344" s="421" t="s">
        <v>473</v>
      </c>
      <c r="C344" s="366">
        <f>+VLOOKUP(B344,'[7]Resumen E.P'!$A$4:$I$226,9,0)</f>
        <v>1</v>
      </c>
      <c r="D344" s="367" t="s">
        <v>420</v>
      </c>
      <c r="E344" s="368">
        <v>44</v>
      </c>
      <c r="F344" s="367" t="s">
        <v>363</v>
      </c>
      <c r="G344" s="375">
        <f t="shared" si="20"/>
        <v>44</v>
      </c>
      <c r="H344" s="491"/>
      <c r="I344" s="359"/>
      <c r="J344" s="420"/>
      <c r="K344" s="359"/>
      <c r="L344" s="358"/>
      <c r="M344" s="358"/>
      <c r="N344" s="358"/>
      <c r="O344" s="354"/>
      <c r="P344" s="354"/>
      <c r="Q344" s="354"/>
    </row>
    <row r="345" spans="1:17" x14ac:dyDescent="0.2">
      <c r="A345" s="378"/>
      <c r="B345" s="421" t="s">
        <v>145</v>
      </c>
      <c r="C345" s="366">
        <f>+VLOOKUP(B345,'[7]Resumen E.P'!$A$4:$I$226,9,0)</f>
        <v>3.0816666666666666</v>
      </c>
      <c r="D345" s="367" t="s">
        <v>420</v>
      </c>
      <c r="E345" s="368">
        <v>44</v>
      </c>
      <c r="F345" s="367" t="s">
        <v>363</v>
      </c>
      <c r="G345" s="375">
        <f t="shared" si="20"/>
        <v>135.59333333333333</v>
      </c>
      <c r="H345" s="491"/>
      <c r="I345" s="359"/>
      <c r="J345" s="420"/>
      <c r="K345" s="359"/>
      <c r="L345" s="358"/>
      <c r="M345" s="358"/>
      <c r="N345" s="358"/>
      <c r="O345" s="354"/>
      <c r="P345" s="354"/>
      <c r="Q345" s="354"/>
    </row>
    <row r="346" spans="1:17" x14ac:dyDescent="0.2">
      <c r="A346" s="378"/>
      <c r="B346" s="421" t="s">
        <v>474</v>
      </c>
      <c r="C346" s="366"/>
      <c r="D346" s="367" t="s">
        <v>420</v>
      </c>
      <c r="E346" s="368">
        <v>61</v>
      </c>
      <c r="F346" s="367" t="s">
        <v>363</v>
      </c>
      <c r="G346" s="375">
        <f t="shared" si="20"/>
        <v>0</v>
      </c>
      <c r="H346" s="491"/>
      <c r="I346" s="359"/>
      <c r="J346" s="420"/>
      <c r="K346" s="359"/>
      <c r="L346" s="358"/>
      <c r="M346" s="358"/>
      <c r="N346" s="358"/>
      <c r="O346" s="354"/>
      <c r="P346" s="354"/>
      <c r="Q346" s="354"/>
    </row>
    <row r="347" spans="1:17" x14ac:dyDescent="0.2">
      <c r="A347" s="378"/>
      <c r="B347" s="499" t="s">
        <v>475</v>
      </c>
      <c r="C347" s="366">
        <f>+VLOOKUP(B347,'[7]Resumen E.P'!$A$4:$I$226,9,0)</f>
        <v>13.176666666666666</v>
      </c>
      <c r="D347" s="367" t="s">
        <v>420</v>
      </c>
      <c r="E347" s="368">
        <v>80</v>
      </c>
      <c r="F347" s="367" t="s">
        <v>363</v>
      </c>
      <c r="G347" s="375">
        <f t="shared" si="20"/>
        <v>1054.1333333333332</v>
      </c>
      <c r="H347" s="491"/>
      <c r="I347" s="359"/>
      <c r="J347" s="420"/>
      <c r="K347" s="359"/>
      <c r="L347" s="358"/>
      <c r="M347" s="358"/>
      <c r="N347" s="358"/>
      <c r="O347" s="354"/>
      <c r="P347" s="354"/>
      <c r="Q347" s="354"/>
    </row>
    <row r="348" spans="1:17" x14ac:dyDescent="0.2">
      <c r="A348" s="378"/>
      <c r="B348" s="421" t="s">
        <v>476</v>
      </c>
      <c r="C348" s="366">
        <f>+VLOOKUP(B348,'[7]Resumen E.P'!$A$4:$I$226,9,0)</f>
        <v>0.8</v>
      </c>
      <c r="D348" s="367" t="s">
        <v>420</v>
      </c>
      <c r="E348" s="368">
        <v>45</v>
      </c>
      <c r="F348" s="367" t="s">
        <v>363</v>
      </c>
      <c r="G348" s="375">
        <f t="shared" si="20"/>
        <v>36</v>
      </c>
      <c r="H348" s="491"/>
      <c r="I348" s="359"/>
      <c r="J348" s="420"/>
      <c r="K348" s="359"/>
      <c r="L348" s="358"/>
      <c r="M348" s="358"/>
      <c r="N348" s="358"/>
      <c r="O348" s="354"/>
      <c r="P348" s="354"/>
      <c r="Q348" s="354"/>
    </row>
    <row r="349" spans="1:17" x14ac:dyDescent="0.2">
      <c r="A349" s="378"/>
      <c r="B349" s="421" t="s">
        <v>477</v>
      </c>
      <c r="C349" s="366"/>
      <c r="D349" s="367" t="s">
        <v>420</v>
      </c>
      <c r="E349" s="368">
        <v>41</v>
      </c>
      <c r="F349" s="367" t="s">
        <v>363</v>
      </c>
      <c r="G349" s="375">
        <f t="shared" si="20"/>
        <v>0</v>
      </c>
      <c r="H349" s="491"/>
      <c r="I349" s="359"/>
      <c r="J349" s="420"/>
      <c r="K349" s="359"/>
      <c r="L349" s="358"/>
      <c r="M349" s="358"/>
      <c r="N349" s="358"/>
      <c r="O349" s="354"/>
      <c r="P349" s="354"/>
      <c r="Q349" s="354"/>
    </row>
    <row r="350" spans="1:17" x14ac:dyDescent="0.2">
      <c r="A350" s="380"/>
      <c r="B350" s="381"/>
      <c r="C350" s="485"/>
      <c r="D350" s="462"/>
      <c r="E350" s="384"/>
      <c r="F350" s="462"/>
      <c r="G350" s="385">
        <f>SUM(G337:G349)/13</f>
        <v>160.22331410256407</v>
      </c>
      <c r="H350" s="386" t="s">
        <v>23</v>
      </c>
      <c r="I350" s="359"/>
      <c r="J350" s="417"/>
      <c r="K350" s="490"/>
      <c r="L350" s="358"/>
      <c r="M350" s="358"/>
      <c r="N350" s="358"/>
      <c r="O350" s="354"/>
      <c r="P350" s="354"/>
      <c r="Q350" s="354"/>
    </row>
    <row r="351" spans="1:17" x14ac:dyDescent="0.2">
      <c r="A351" s="377"/>
      <c r="B351" s="405"/>
      <c r="C351" s="537"/>
      <c r="D351" s="405"/>
      <c r="E351" s="405"/>
      <c r="F351" s="405"/>
      <c r="G351" s="538"/>
      <c r="H351" s="363"/>
      <c r="I351" s="404"/>
      <c r="J351" s="377"/>
      <c r="K351" s="359"/>
      <c r="L351" s="359"/>
      <c r="M351" s="359"/>
      <c r="N351" s="359"/>
      <c r="O351" s="448"/>
      <c r="P351" s="354"/>
      <c r="Q351" s="354"/>
    </row>
    <row r="352" spans="1:17" x14ac:dyDescent="0.2">
      <c r="A352" s="431" t="s">
        <v>531</v>
      </c>
      <c r="B352" s="421" t="s">
        <v>517</v>
      </c>
      <c r="C352" s="366">
        <f>+VLOOKUP(B352,'[7]Resumen E.P'!$A$4:$I$226,9,0)</f>
        <v>6.3935000000000004</v>
      </c>
      <c r="D352" s="421" t="s">
        <v>518</v>
      </c>
      <c r="E352" s="421">
        <v>5</v>
      </c>
      <c r="F352" s="421" t="s">
        <v>359</v>
      </c>
      <c r="G352" s="393">
        <f>C352*E352</f>
        <v>31.967500000000001</v>
      </c>
      <c r="H352" s="407"/>
      <c r="I352" s="377"/>
      <c r="J352" s="417"/>
      <c r="K352" s="373"/>
      <c r="L352" s="359"/>
      <c r="M352" s="358"/>
      <c r="N352" s="358"/>
      <c r="O352" s="354"/>
      <c r="P352" s="354"/>
      <c r="Q352" s="354"/>
    </row>
    <row r="353" spans="1:18" x14ac:dyDescent="0.2">
      <c r="A353" s="433"/>
      <c r="B353" s="421" t="s">
        <v>519</v>
      </c>
      <c r="C353" s="366">
        <f>+VLOOKUP(B353,'[7]Resumen E.P'!$A$4:$I$226,9,0)</f>
        <v>11.373333333333333</v>
      </c>
      <c r="D353" s="367" t="s">
        <v>414</v>
      </c>
      <c r="E353" s="368">
        <v>6</v>
      </c>
      <c r="F353" s="367" t="s">
        <v>363</v>
      </c>
      <c r="G353" s="393">
        <f>C353*E353</f>
        <v>68.239999999999995</v>
      </c>
      <c r="H353" s="407"/>
      <c r="I353" s="377"/>
      <c r="J353" s="417"/>
      <c r="K353" s="373"/>
      <c r="L353" s="359"/>
      <c r="M353" s="358"/>
      <c r="N353" s="358"/>
      <c r="O353" s="354"/>
      <c r="P353" s="354"/>
      <c r="Q353" s="354"/>
    </row>
    <row r="354" spans="1:18" x14ac:dyDescent="0.2">
      <c r="A354" s="433"/>
      <c r="B354" s="421" t="s">
        <v>520</v>
      </c>
      <c r="C354" s="366">
        <f>+VLOOKUP(B354,'[7]Resumen E.P'!$A$4:$I$226,9,0)</f>
        <v>10.4</v>
      </c>
      <c r="D354" s="367" t="s">
        <v>420</v>
      </c>
      <c r="E354" s="368">
        <v>6</v>
      </c>
      <c r="F354" s="367" t="s">
        <v>363</v>
      </c>
      <c r="G354" s="393">
        <f>C354*E354</f>
        <v>62.400000000000006</v>
      </c>
      <c r="H354" s="407"/>
      <c r="I354" s="377"/>
      <c r="J354" s="417"/>
      <c r="K354" s="373"/>
      <c r="L354" s="359"/>
      <c r="M354" s="358"/>
      <c r="N354" s="358"/>
      <c r="O354" s="354"/>
      <c r="P354" s="354"/>
      <c r="Q354" s="354"/>
    </row>
    <row r="355" spans="1:18" x14ac:dyDescent="0.2">
      <c r="A355" s="509"/>
      <c r="B355" s="463"/>
      <c r="C355" s="539"/>
      <c r="D355" s="500"/>
      <c r="E355" s="463"/>
      <c r="F355" s="462"/>
      <c r="G355" s="510">
        <f>SUM(G352:G354)/3</f>
        <v>54.202500000000008</v>
      </c>
      <c r="H355" s="386" t="s">
        <v>23</v>
      </c>
      <c r="I355" s="377"/>
      <c r="J355" s="417"/>
      <c r="K355" s="373"/>
      <c r="L355" s="359"/>
      <c r="M355" s="358"/>
      <c r="N355" s="358"/>
      <c r="O355" s="354"/>
      <c r="P355" s="354"/>
      <c r="Q355" s="354"/>
    </row>
    <row r="356" spans="1:18" x14ac:dyDescent="0.2">
      <c r="A356" s="511"/>
      <c r="B356" s="387"/>
      <c r="C356" s="388"/>
      <c r="D356" s="387"/>
      <c r="E356" s="387"/>
      <c r="F356" s="387"/>
      <c r="G356" s="512"/>
      <c r="H356" s="363"/>
      <c r="I356" s="377"/>
      <c r="J356" s="417"/>
      <c r="K356" s="373"/>
      <c r="L356" s="359"/>
      <c r="M356" s="358"/>
      <c r="N356" s="358"/>
      <c r="O356" s="354"/>
      <c r="P356" s="354"/>
      <c r="Q356" s="354"/>
    </row>
    <row r="357" spans="1:18" x14ac:dyDescent="0.2">
      <c r="A357" s="531"/>
      <c r="B357" s="540"/>
      <c r="C357" s="540"/>
      <c r="D357" s="540"/>
      <c r="E357" s="540"/>
      <c r="F357" s="540"/>
      <c r="G357" s="540"/>
      <c r="H357" s="531"/>
      <c r="I357" s="531"/>
      <c r="J357" s="531"/>
    </row>
    <row r="358" spans="1:18" x14ac:dyDescent="0.2">
      <c r="A358" s="355" t="s">
        <v>532</v>
      </c>
      <c r="B358" s="519" t="s">
        <v>352</v>
      </c>
      <c r="C358" s="1579" t="s">
        <v>353</v>
      </c>
      <c r="D358" s="1581"/>
      <c r="E358" s="1579" t="s">
        <v>354</v>
      </c>
      <c r="F358" s="1580"/>
      <c r="G358" s="1581"/>
      <c r="H358" s="1608"/>
      <c r="I358" s="1597"/>
      <c r="J358" s="1597"/>
    </row>
    <row r="359" spans="1:18" x14ac:dyDescent="0.2">
      <c r="A359" s="521"/>
      <c r="B359" s="522"/>
      <c r="C359" s="522"/>
      <c r="D359" s="522"/>
      <c r="E359" s="478"/>
      <c r="F359" s="523"/>
      <c r="G359" s="523"/>
      <c r="H359" s="478"/>
      <c r="I359" s="478"/>
      <c r="J359" s="523"/>
    </row>
    <row r="360" spans="1:18" x14ac:dyDescent="0.2">
      <c r="A360" s="360" t="s">
        <v>355</v>
      </c>
      <c r="B360" s="526"/>
      <c r="C360" s="526"/>
      <c r="D360" s="526"/>
      <c r="E360" s="1593"/>
      <c r="F360" s="1593"/>
      <c r="G360" s="1593"/>
      <c r="H360" s="362"/>
      <c r="I360" s="478"/>
      <c r="J360" s="523"/>
    </row>
    <row r="361" spans="1:18" x14ac:dyDescent="0.2">
      <c r="A361" s="364" t="s">
        <v>356</v>
      </c>
      <c r="B361" s="421" t="s">
        <v>357</v>
      </c>
      <c r="C361" s="409">
        <f>+VLOOKUP(B361,'[7]Resumen E.P'!$A$4:$I$226,9,0)</f>
        <v>2.0751666666666666</v>
      </c>
      <c r="D361" s="452" t="s">
        <v>358</v>
      </c>
      <c r="E361" s="453">
        <v>200</v>
      </c>
      <c r="F361" s="454" t="s">
        <v>359</v>
      </c>
      <c r="G361" s="369">
        <f>E361*C361</f>
        <v>415.0333333333333</v>
      </c>
      <c r="H361" s="370"/>
      <c r="I361" s="478"/>
      <c r="J361" s="523"/>
      <c r="K361" s="478"/>
      <c r="L361" s="478"/>
      <c r="M361" s="478"/>
      <c r="N361" s="523"/>
      <c r="O361" s="524"/>
      <c r="P361" s="524"/>
      <c r="Q361" s="525"/>
      <c r="R361" s="445"/>
    </row>
    <row r="362" spans="1:18" x14ac:dyDescent="0.2">
      <c r="A362" s="374"/>
      <c r="B362" s="527"/>
      <c r="C362" s="541"/>
      <c r="D362" s="542"/>
      <c r="E362" s="543"/>
      <c r="F362" s="542"/>
      <c r="G362" s="530"/>
      <c r="H362" s="370"/>
      <c r="I362" s="478"/>
      <c r="J362" s="523"/>
      <c r="K362" s="478"/>
      <c r="L362" s="478"/>
      <c r="M362" s="478"/>
      <c r="N362" s="523"/>
      <c r="O362" s="524"/>
      <c r="P362" s="524"/>
      <c r="Q362" s="525"/>
      <c r="R362" s="445"/>
    </row>
    <row r="363" spans="1:18" x14ac:dyDescent="0.2">
      <c r="A363" s="374" t="s">
        <v>360</v>
      </c>
      <c r="B363" s="421" t="s">
        <v>525</v>
      </c>
      <c r="C363" s="366">
        <f>+VLOOKUP(B363,'[7]Resumen E.P'!$A$4:$I$226,9,0)</f>
        <v>2.69875</v>
      </c>
      <c r="D363" s="367" t="s">
        <v>362</v>
      </c>
      <c r="E363" s="368">
        <v>29</v>
      </c>
      <c r="F363" s="367" t="s">
        <v>363</v>
      </c>
      <c r="G363" s="375">
        <f>E363*C363</f>
        <v>78.263750000000002</v>
      </c>
      <c r="H363" s="376"/>
      <c r="I363" s="478"/>
      <c r="J363" s="523"/>
    </row>
    <row r="364" spans="1:18" x14ac:dyDescent="0.2">
      <c r="A364" s="378"/>
      <c r="B364" s="499" t="s">
        <v>445</v>
      </c>
      <c r="C364" s="366">
        <f>+VLOOKUP(B364,'[7]Resumen E.P'!$A$4:$I$226,9,0)</f>
        <v>2.9083333333333337</v>
      </c>
      <c r="D364" s="367" t="s">
        <v>362</v>
      </c>
      <c r="E364" s="368">
        <v>23</v>
      </c>
      <c r="F364" s="367" t="s">
        <v>363</v>
      </c>
      <c r="G364" s="375">
        <f>E364*C364</f>
        <v>66.89166666666668</v>
      </c>
      <c r="H364" s="376"/>
      <c r="I364" s="478"/>
      <c r="J364" s="523"/>
    </row>
    <row r="365" spans="1:18" x14ac:dyDescent="0.2">
      <c r="A365" s="380"/>
      <c r="B365" s="381"/>
      <c r="C365" s="382"/>
      <c r="D365" s="383"/>
      <c r="E365" s="384"/>
      <c r="F365" s="383"/>
      <c r="G365" s="385">
        <f>SUM(G363:G364)/2</f>
        <v>72.577708333333334</v>
      </c>
      <c r="H365" s="386" t="s">
        <v>23</v>
      </c>
      <c r="I365" s="478"/>
      <c r="J365" s="523"/>
    </row>
    <row r="366" spans="1:18" x14ac:dyDescent="0.2">
      <c r="A366" s="378"/>
      <c r="B366" s="387"/>
      <c r="C366" s="388"/>
      <c r="D366" s="389"/>
      <c r="E366" s="389"/>
      <c r="F366" s="389"/>
      <c r="G366" s="390"/>
      <c r="H366" s="370"/>
      <c r="I366" s="478"/>
      <c r="J366" s="523"/>
    </row>
    <row r="367" spans="1:18" x14ac:dyDescent="0.2">
      <c r="A367" s="391" t="s">
        <v>365</v>
      </c>
      <c r="B367" s="421" t="s">
        <v>366</v>
      </c>
      <c r="C367" s="366">
        <f>+VLOOKUP(B367,'[7]Resumen E.P'!$A$4:$I$226,9,0)</f>
        <v>19.946666666666669</v>
      </c>
      <c r="D367" s="367" t="s">
        <v>362</v>
      </c>
      <c r="E367" s="392">
        <v>0.75</v>
      </c>
      <c r="F367" s="367" t="s">
        <v>367</v>
      </c>
      <c r="G367" s="393">
        <f>E367*C367</f>
        <v>14.96</v>
      </c>
      <c r="H367" s="544"/>
      <c r="I367" s="478"/>
      <c r="J367" s="523"/>
    </row>
    <row r="368" spans="1:18" x14ac:dyDescent="0.2">
      <c r="A368" s="395"/>
      <c r="B368" s="421" t="s">
        <v>368</v>
      </c>
      <c r="C368" s="366">
        <f>+VLOOKUP(B368,'[7]Resumen E.P'!$A$4:$I$226,9,0)</f>
        <v>17.670999999999999</v>
      </c>
      <c r="D368" s="367" t="s">
        <v>362</v>
      </c>
      <c r="E368" s="368">
        <v>7</v>
      </c>
      <c r="F368" s="367" t="s">
        <v>363</v>
      </c>
      <c r="G368" s="393">
        <f>E368*C368</f>
        <v>123.697</v>
      </c>
      <c r="H368" s="370"/>
      <c r="I368" s="478"/>
      <c r="J368" s="523"/>
    </row>
    <row r="369" spans="1:18" x14ac:dyDescent="0.2">
      <c r="A369" s="398"/>
      <c r="B369" s="381"/>
      <c r="C369" s="399"/>
      <c r="D369" s="400"/>
      <c r="E369" s="401"/>
      <c r="F369" s="402"/>
      <c r="G369" s="403">
        <f>SUM(G367:G368)/2</f>
        <v>69.328500000000005</v>
      </c>
      <c r="H369" s="441" t="s">
        <v>23</v>
      </c>
      <c r="I369" s="478"/>
      <c r="J369" s="523" t="s">
        <v>2</v>
      </c>
    </row>
    <row r="370" spans="1:18" x14ac:dyDescent="0.2">
      <c r="A370" s="490"/>
      <c r="B370" s="522"/>
      <c r="C370" s="522"/>
      <c r="D370" s="522"/>
      <c r="E370" s="478"/>
      <c r="F370" s="523"/>
      <c r="G370" s="523"/>
      <c r="H370" s="478"/>
      <c r="I370" s="478"/>
      <c r="J370" s="523"/>
    </row>
    <row r="371" spans="1:18" x14ac:dyDescent="0.2">
      <c r="A371" s="418" t="s">
        <v>429</v>
      </c>
      <c r="B371" s="421" t="s">
        <v>376</v>
      </c>
      <c r="C371" s="366">
        <f>+VLOOKUP(B371,'[7]Resumen E.P'!$A$4:$I$226,9,0)</f>
        <v>10.817307692307692</v>
      </c>
      <c r="D371" s="367" t="s">
        <v>430</v>
      </c>
      <c r="E371" s="368">
        <v>3</v>
      </c>
      <c r="F371" s="367" t="s">
        <v>378</v>
      </c>
      <c r="G371" s="393">
        <f t="shared" ref="G371:G376" si="21">E371*C371</f>
        <v>32.451923076923073</v>
      </c>
      <c r="H371" s="419"/>
      <c r="I371" s="359"/>
      <c r="J371" s="359"/>
    </row>
    <row r="372" spans="1:18" x14ac:dyDescent="0.2">
      <c r="A372" s="395" t="s">
        <v>379</v>
      </c>
      <c r="B372" s="421" t="s">
        <v>380</v>
      </c>
      <c r="C372" s="366">
        <f>+VLOOKUP(B372,'[7]Resumen E.P'!$A$4:$I$226,9,0)</f>
        <v>11.034722222222221</v>
      </c>
      <c r="D372" s="367" t="s">
        <v>432</v>
      </c>
      <c r="E372" s="368">
        <v>3</v>
      </c>
      <c r="F372" s="367" t="s">
        <v>378</v>
      </c>
      <c r="G372" s="393">
        <f t="shared" si="21"/>
        <v>33.104166666666664</v>
      </c>
      <c r="H372" s="370"/>
      <c r="I372" s="359"/>
      <c r="J372" s="359"/>
    </row>
    <row r="373" spans="1:18" x14ac:dyDescent="0.2">
      <c r="A373" s="397"/>
      <c r="B373" s="421" t="s">
        <v>382</v>
      </c>
      <c r="C373" s="366">
        <f>+VLOOKUP(B373,'[7]Resumen E.P'!$A$4:$I$226,9,0)</f>
        <v>5.3680792124542123</v>
      </c>
      <c r="D373" s="367" t="s">
        <v>383</v>
      </c>
      <c r="E373" s="368">
        <v>1</v>
      </c>
      <c r="F373" s="367" t="s">
        <v>384</v>
      </c>
      <c r="G373" s="393">
        <f t="shared" si="21"/>
        <v>5.3680792124542123</v>
      </c>
      <c r="H373" s="370"/>
      <c r="I373" s="359"/>
      <c r="J373" s="359"/>
    </row>
    <row r="374" spans="1:18" x14ac:dyDescent="0.2">
      <c r="A374" s="397"/>
      <c r="B374" s="421" t="s">
        <v>385</v>
      </c>
      <c r="C374" s="366">
        <f>+VLOOKUP(B374,'[7]Resumen E.P'!$A$4:$I$226,9,0)</f>
        <v>13.292857142857143</v>
      </c>
      <c r="D374" s="367" t="s">
        <v>386</v>
      </c>
      <c r="E374" s="368">
        <v>1</v>
      </c>
      <c r="F374" s="367" t="s">
        <v>386</v>
      </c>
      <c r="G374" s="393">
        <f t="shared" si="21"/>
        <v>13.292857142857143</v>
      </c>
      <c r="H374" s="370"/>
      <c r="I374" s="359"/>
      <c r="J374" s="359"/>
    </row>
    <row r="375" spans="1:18" x14ac:dyDescent="0.2">
      <c r="A375" s="397"/>
      <c r="B375" s="421" t="s">
        <v>387</v>
      </c>
      <c r="C375" s="366">
        <f>+VLOOKUP(B375,'[7]Resumen E.P'!$A$4:$I$226,9,0)</f>
        <v>10.048830409356727</v>
      </c>
      <c r="D375" s="367" t="s">
        <v>388</v>
      </c>
      <c r="E375" s="368">
        <v>2</v>
      </c>
      <c r="F375" s="367" t="s">
        <v>388</v>
      </c>
      <c r="G375" s="393">
        <f t="shared" si="21"/>
        <v>20.097660818713454</v>
      </c>
      <c r="H375" s="370"/>
      <c r="I375" s="359"/>
      <c r="J375" s="359"/>
    </row>
    <row r="376" spans="1:18" x14ac:dyDescent="0.2">
      <c r="A376" s="397"/>
      <c r="B376" s="421" t="s">
        <v>389</v>
      </c>
      <c r="C376" s="366">
        <f>+VLOOKUP(B376,'[7]Resumen E.P'!$A$4:$I$226,9,0)</f>
        <v>15.787071078431373</v>
      </c>
      <c r="D376" s="367" t="s">
        <v>388</v>
      </c>
      <c r="E376" s="368">
        <v>2</v>
      </c>
      <c r="F376" s="367" t="s">
        <v>388</v>
      </c>
      <c r="G376" s="393">
        <f t="shared" si="21"/>
        <v>31.574142156862745</v>
      </c>
      <c r="H376" s="370"/>
      <c r="I376" s="359"/>
      <c r="J376" s="359"/>
    </row>
    <row r="377" spans="1:18" x14ac:dyDescent="0.2">
      <c r="A377" s="398"/>
      <c r="B377" s="463"/>
      <c r="C377" s="539"/>
      <c r="D377" s="486"/>
      <c r="E377" s="545"/>
      <c r="F377" s="383"/>
      <c r="G377" s="403">
        <f>SUM(G371:G376)/6</f>
        <v>22.648138179079549</v>
      </c>
      <c r="H377" s="441" t="s">
        <v>23</v>
      </c>
      <c r="I377" s="359"/>
      <c r="J377" s="359"/>
    </row>
    <row r="378" spans="1:18" x14ac:dyDescent="0.2">
      <c r="B378" s="531"/>
      <c r="I378" s="359"/>
      <c r="J378" s="359"/>
    </row>
    <row r="379" spans="1:18" x14ac:dyDescent="0.2">
      <c r="A379" s="377"/>
      <c r="B379" s="377"/>
      <c r="C379" s="546"/>
      <c r="D379" s="371"/>
      <c r="E379" s="407"/>
      <c r="F379" s="371"/>
      <c r="G379" s="547"/>
      <c r="H379" s="407"/>
      <c r="I379" s="478"/>
      <c r="J379" s="523"/>
      <c r="K379" s="478"/>
      <c r="L379" s="478"/>
      <c r="M379" s="478"/>
      <c r="N379" s="523"/>
      <c r="O379" s="524"/>
      <c r="P379" s="524"/>
      <c r="Q379" s="525"/>
      <c r="R379" s="445"/>
    </row>
    <row r="380" spans="1:18" x14ac:dyDescent="0.2">
      <c r="A380" s="531"/>
      <c r="B380" s="531"/>
      <c r="C380" s="531"/>
      <c r="D380" s="531"/>
      <c r="E380" s="531"/>
      <c r="F380" s="531"/>
      <c r="G380" s="531"/>
      <c r="H380" s="531"/>
      <c r="I380" s="531"/>
      <c r="J380" s="531"/>
    </row>
    <row r="381" spans="1:18" x14ac:dyDescent="0.2">
      <c r="A381" s="531"/>
      <c r="B381" s="531"/>
      <c r="C381" s="531"/>
      <c r="D381" s="531"/>
      <c r="E381" s="531"/>
      <c r="F381" s="531"/>
      <c r="G381" s="531"/>
      <c r="H381" s="531"/>
      <c r="I381" s="531"/>
      <c r="J381" s="531"/>
    </row>
    <row r="382" spans="1:18" x14ac:dyDescent="0.2">
      <c r="A382" s="531"/>
      <c r="B382" s="531"/>
      <c r="C382" s="531"/>
      <c r="D382" s="531"/>
      <c r="E382" s="531"/>
      <c r="F382" s="531"/>
      <c r="G382" s="531"/>
      <c r="H382" s="531"/>
      <c r="I382" s="531"/>
      <c r="J382" s="531"/>
    </row>
    <row r="383" spans="1:18" x14ac:dyDescent="0.2">
      <c r="A383" s="531"/>
      <c r="B383" s="531"/>
      <c r="C383" s="531"/>
      <c r="D383" s="531"/>
      <c r="E383" s="531"/>
      <c r="F383" s="531"/>
      <c r="G383" s="531"/>
      <c r="H383" s="531"/>
      <c r="I383" s="531"/>
      <c r="J383" s="531"/>
    </row>
    <row r="384" spans="1:18" x14ac:dyDescent="0.2">
      <c r="A384" s="548" t="s">
        <v>533</v>
      </c>
      <c r="B384" s="446"/>
      <c r="C384" s="548" t="s">
        <v>534</v>
      </c>
      <c r="E384" s="446"/>
      <c r="F384" s="446"/>
      <c r="G384" s="531"/>
      <c r="H384" s="531"/>
      <c r="I384" s="531"/>
      <c r="J384" s="531"/>
    </row>
    <row r="385" spans="1:10" x14ac:dyDescent="0.2">
      <c r="A385" s="446" t="s">
        <v>535</v>
      </c>
      <c r="B385" s="446"/>
      <c r="C385" s="446" t="s">
        <v>536</v>
      </c>
      <c r="E385" s="446"/>
      <c r="F385" s="446"/>
      <c r="G385" s="531"/>
      <c r="H385" s="531"/>
      <c r="I385" s="531"/>
      <c r="J385" s="531"/>
    </row>
    <row r="386" spans="1:10" x14ac:dyDescent="0.2">
      <c r="A386" s="446" t="s">
        <v>537</v>
      </c>
      <c r="B386" s="446"/>
      <c r="C386" s="446" t="s">
        <v>538</v>
      </c>
      <c r="E386" s="446"/>
      <c r="F386" s="446"/>
      <c r="G386" s="531"/>
      <c r="H386" s="531"/>
      <c r="I386" s="531"/>
      <c r="J386" s="531"/>
    </row>
    <row r="387" spans="1:10" x14ac:dyDescent="0.2">
      <c r="A387" s="531"/>
      <c r="B387" s="531"/>
      <c r="C387" s="531"/>
      <c r="D387" s="531"/>
      <c r="E387" s="531"/>
      <c r="F387" s="531"/>
      <c r="G387" s="531"/>
      <c r="H387" s="531"/>
      <c r="I387" s="531"/>
      <c r="J387" s="531"/>
    </row>
    <row r="388" spans="1:10" x14ac:dyDescent="0.2">
      <c r="A388" s="531"/>
      <c r="B388" s="531"/>
      <c r="C388" s="531"/>
      <c r="D388" s="531"/>
      <c r="E388" s="531"/>
      <c r="F388" s="531"/>
      <c r="G388" s="531"/>
      <c r="H388" s="531"/>
      <c r="I388" s="531"/>
      <c r="J388" s="531"/>
    </row>
    <row r="389" spans="1:10" x14ac:dyDescent="0.2">
      <c r="A389" s="531"/>
      <c r="B389" s="531"/>
      <c r="C389" s="531"/>
      <c r="D389" s="531"/>
      <c r="E389" s="531"/>
      <c r="F389" s="531"/>
      <c r="G389" s="531"/>
      <c r="H389" s="531"/>
      <c r="I389" s="531"/>
      <c r="J389" s="531"/>
    </row>
    <row r="390" spans="1:10" x14ac:dyDescent="0.2">
      <c r="A390" s="531"/>
      <c r="B390" s="531"/>
      <c r="C390" s="531"/>
      <c r="D390" s="531"/>
      <c r="E390" s="531"/>
      <c r="F390" s="531"/>
      <c r="G390" s="531"/>
      <c r="H390" s="531"/>
      <c r="I390" s="531"/>
      <c r="J390" s="531"/>
    </row>
    <row r="391" spans="1:10" x14ac:dyDescent="0.2">
      <c r="A391" s="531"/>
      <c r="B391" s="531"/>
      <c r="C391" s="531"/>
      <c r="D391" s="531"/>
      <c r="E391" s="531"/>
      <c r="F391" s="531"/>
      <c r="G391" s="531"/>
      <c r="H391" s="531"/>
      <c r="I391" s="531"/>
      <c r="J391" s="531"/>
    </row>
    <row r="392" spans="1:10" x14ac:dyDescent="0.2">
      <c r="A392" s="531"/>
      <c r="B392" s="531"/>
      <c r="C392" s="531"/>
      <c r="D392" s="531"/>
      <c r="E392" s="531"/>
      <c r="F392" s="531"/>
      <c r="G392" s="531"/>
      <c r="H392" s="531"/>
      <c r="I392" s="531"/>
      <c r="J392" s="531"/>
    </row>
    <row r="393" spans="1:10" x14ac:dyDescent="0.2">
      <c r="A393" s="531"/>
      <c r="B393" s="531"/>
      <c r="C393" s="531"/>
      <c r="D393" s="531"/>
      <c r="E393" s="531"/>
      <c r="F393" s="531"/>
      <c r="G393" s="531"/>
      <c r="H393" s="531"/>
      <c r="I393" s="531"/>
      <c r="J393" s="531"/>
    </row>
    <row r="394" spans="1:10" x14ac:dyDescent="0.2">
      <c r="A394" s="531"/>
      <c r="B394" s="531"/>
      <c r="C394" s="531"/>
      <c r="D394" s="531"/>
      <c r="E394" s="531"/>
      <c r="F394" s="531"/>
      <c r="G394" s="531"/>
      <c r="H394" s="531"/>
      <c r="I394" s="531"/>
      <c r="J394" s="531"/>
    </row>
    <row r="395" spans="1:10" x14ac:dyDescent="0.2">
      <c r="A395" s="531"/>
      <c r="B395" s="531"/>
      <c r="C395" s="531"/>
      <c r="D395" s="531"/>
      <c r="E395" s="531"/>
      <c r="F395" s="531"/>
      <c r="G395" s="531"/>
      <c r="H395" s="531"/>
      <c r="I395" s="531"/>
      <c r="J395" s="531"/>
    </row>
    <row r="396" spans="1:10" x14ac:dyDescent="0.2">
      <c r="A396" s="531"/>
      <c r="B396" s="531"/>
      <c r="C396" s="531"/>
      <c r="D396" s="531"/>
      <c r="E396" s="531"/>
      <c r="F396" s="531"/>
      <c r="G396" s="531"/>
      <c r="H396" s="531"/>
      <c r="I396" s="531"/>
      <c r="J396" s="531"/>
    </row>
    <row r="397" spans="1:10" x14ac:dyDescent="0.2">
      <c r="A397" s="531"/>
      <c r="B397" s="531"/>
      <c r="C397" s="531"/>
      <c r="D397" s="531"/>
      <c r="E397" s="531"/>
      <c r="F397" s="531"/>
      <c r="G397" s="531"/>
      <c r="H397" s="531"/>
      <c r="I397" s="531"/>
      <c r="J397" s="531"/>
    </row>
    <row r="398" spans="1:10" x14ac:dyDescent="0.2">
      <c r="A398" s="531"/>
      <c r="B398" s="531"/>
      <c r="C398" s="531"/>
      <c r="D398" s="531"/>
      <c r="E398" s="531"/>
      <c r="F398" s="531"/>
      <c r="G398" s="531"/>
      <c r="H398" s="531"/>
      <c r="I398" s="531"/>
      <c r="J398" s="531"/>
    </row>
    <row r="399" spans="1:10" x14ac:dyDescent="0.2">
      <c r="A399" s="531"/>
      <c r="B399" s="531"/>
      <c r="C399" s="531"/>
      <c r="D399" s="531"/>
      <c r="E399" s="531"/>
      <c r="F399" s="531"/>
      <c r="G399" s="531"/>
      <c r="H399" s="531"/>
      <c r="I399" s="531"/>
      <c r="J399" s="531"/>
    </row>
    <row r="400" spans="1:10" x14ac:dyDescent="0.2">
      <c r="A400" s="531"/>
      <c r="B400" s="531"/>
      <c r="C400" s="531"/>
      <c r="D400" s="531"/>
      <c r="E400" s="531"/>
      <c r="F400" s="531"/>
      <c r="G400" s="531"/>
      <c r="H400" s="531"/>
      <c r="I400" s="531"/>
      <c r="J400" s="531"/>
    </row>
    <row r="401" spans="1:10" x14ac:dyDescent="0.2">
      <c r="A401" s="531"/>
      <c r="B401" s="531"/>
      <c r="C401" s="531"/>
      <c r="D401" s="531"/>
      <c r="E401" s="531"/>
      <c r="F401" s="531"/>
      <c r="G401" s="531"/>
      <c r="H401" s="531"/>
      <c r="I401" s="531"/>
      <c r="J401" s="531"/>
    </row>
    <row r="402" spans="1:10" x14ac:dyDescent="0.2">
      <c r="A402" s="531"/>
      <c r="B402" s="531"/>
      <c r="C402" s="531"/>
      <c r="D402" s="531"/>
      <c r="E402" s="531"/>
      <c r="F402" s="531"/>
      <c r="G402" s="531"/>
      <c r="H402" s="531"/>
      <c r="I402" s="531"/>
      <c r="J402" s="531"/>
    </row>
    <row r="403" spans="1:10" x14ac:dyDescent="0.2">
      <c r="A403" s="531"/>
      <c r="B403" s="531"/>
      <c r="C403" s="531"/>
      <c r="D403" s="531"/>
      <c r="E403" s="531"/>
      <c r="F403" s="531"/>
      <c r="G403" s="531"/>
      <c r="H403" s="531"/>
      <c r="I403" s="531"/>
      <c r="J403" s="531"/>
    </row>
    <row r="404" spans="1:10" x14ac:dyDescent="0.2">
      <c r="A404" s="531"/>
      <c r="B404" s="531"/>
      <c r="C404" s="531"/>
      <c r="D404" s="531"/>
      <c r="E404" s="531"/>
      <c r="F404" s="531"/>
      <c r="G404" s="531"/>
      <c r="H404" s="531"/>
      <c r="I404" s="531"/>
      <c r="J404" s="531"/>
    </row>
    <row r="405" spans="1:10" x14ac:dyDescent="0.2">
      <c r="A405" s="531"/>
      <c r="B405" s="531"/>
      <c r="C405" s="531"/>
      <c r="D405" s="531"/>
      <c r="E405" s="531"/>
      <c r="F405" s="531"/>
      <c r="G405" s="531"/>
      <c r="H405" s="531"/>
      <c r="I405" s="531"/>
      <c r="J405" s="531"/>
    </row>
    <row r="406" spans="1:10" x14ac:dyDescent="0.2">
      <c r="A406" s="531"/>
      <c r="B406" s="531"/>
      <c r="C406" s="531"/>
      <c r="D406" s="531"/>
      <c r="E406" s="531"/>
      <c r="F406" s="531"/>
      <c r="G406" s="531"/>
      <c r="H406" s="531"/>
      <c r="I406" s="531"/>
      <c r="J406" s="531"/>
    </row>
    <row r="407" spans="1:10" x14ac:dyDescent="0.2">
      <c r="A407" s="531"/>
      <c r="B407" s="531"/>
      <c r="C407" s="531"/>
      <c r="D407" s="531"/>
      <c r="E407" s="531"/>
      <c r="F407" s="531"/>
      <c r="G407" s="531"/>
      <c r="H407" s="531"/>
      <c r="I407" s="531"/>
      <c r="J407" s="531"/>
    </row>
    <row r="408" spans="1:10" x14ac:dyDescent="0.2">
      <c r="A408" s="531"/>
      <c r="B408" s="531"/>
      <c r="C408" s="531"/>
      <c r="D408" s="531"/>
      <c r="E408" s="531"/>
      <c r="F408" s="531"/>
      <c r="G408" s="531"/>
      <c r="H408" s="531"/>
      <c r="I408" s="531"/>
      <c r="J408" s="531"/>
    </row>
    <row r="409" spans="1:10" x14ac:dyDescent="0.2">
      <c r="A409" s="531"/>
      <c r="B409" s="531"/>
      <c r="C409" s="531"/>
      <c r="D409" s="531"/>
      <c r="E409" s="531"/>
      <c r="F409" s="531"/>
      <c r="G409" s="531"/>
      <c r="H409" s="531"/>
      <c r="I409" s="531"/>
      <c r="J409" s="531"/>
    </row>
    <row r="410" spans="1:10" x14ac:dyDescent="0.2">
      <c r="A410" s="531"/>
      <c r="B410" s="531"/>
      <c r="C410" s="531"/>
      <c r="D410" s="531"/>
      <c r="E410" s="531"/>
      <c r="F410" s="531"/>
      <c r="G410" s="531"/>
      <c r="H410" s="531"/>
      <c r="I410" s="531"/>
      <c r="J410" s="531"/>
    </row>
    <row r="411" spans="1:10" x14ac:dyDescent="0.2">
      <c r="A411" s="531"/>
      <c r="B411" s="531"/>
      <c r="C411" s="531"/>
      <c r="D411" s="531"/>
      <c r="E411" s="531"/>
      <c r="F411" s="531"/>
      <c r="G411" s="531"/>
      <c r="H411" s="531"/>
      <c r="I411" s="531"/>
      <c r="J411" s="531"/>
    </row>
    <row r="412" spans="1:10" x14ac:dyDescent="0.2">
      <c r="A412" s="531"/>
      <c r="B412" s="531"/>
      <c r="C412" s="531"/>
      <c r="D412" s="531"/>
      <c r="E412" s="531"/>
      <c r="F412" s="531"/>
      <c r="G412" s="531"/>
      <c r="H412" s="531"/>
      <c r="I412" s="531"/>
      <c r="J412" s="531"/>
    </row>
    <row r="413" spans="1:10" x14ac:dyDescent="0.2">
      <c r="A413" s="531"/>
      <c r="B413" s="531"/>
      <c r="C413" s="531"/>
      <c r="D413" s="531"/>
      <c r="E413" s="531"/>
      <c r="F413" s="531"/>
      <c r="G413" s="531"/>
      <c r="H413" s="531"/>
      <c r="I413" s="531"/>
      <c r="J413" s="531"/>
    </row>
    <row r="414" spans="1:10" x14ac:dyDescent="0.2">
      <c r="A414" s="531"/>
      <c r="B414" s="531"/>
      <c r="C414" s="531"/>
      <c r="D414" s="531"/>
      <c r="E414" s="531"/>
      <c r="F414" s="531"/>
      <c r="G414" s="531"/>
      <c r="H414" s="531"/>
      <c r="I414" s="531"/>
      <c r="J414" s="531"/>
    </row>
    <row r="415" spans="1:10" x14ac:dyDescent="0.2">
      <c r="A415" s="531"/>
      <c r="B415" s="531"/>
      <c r="C415" s="531"/>
      <c r="D415" s="531"/>
      <c r="E415" s="531"/>
      <c r="F415" s="531"/>
      <c r="G415" s="531"/>
      <c r="H415" s="531"/>
      <c r="I415" s="531"/>
      <c r="J415" s="531"/>
    </row>
    <row r="416" spans="1:10" x14ac:dyDescent="0.2">
      <c r="A416" s="531"/>
      <c r="B416" s="531"/>
      <c r="C416" s="531"/>
      <c r="D416" s="531"/>
      <c r="E416" s="531"/>
      <c r="F416" s="531"/>
      <c r="G416" s="531"/>
      <c r="H416" s="531"/>
      <c r="I416" s="531"/>
      <c r="J416" s="531"/>
    </row>
    <row r="417" spans="1:10" x14ac:dyDescent="0.2">
      <c r="A417" s="531"/>
      <c r="B417" s="531"/>
      <c r="C417" s="531"/>
      <c r="D417" s="531"/>
      <c r="E417" s="531"/>
      <c r="F417" s="531"/>
      <c r="G417" s="531"/>
      <c r="H417" s="531"/>
      <c r="I417" s="531"/>
      <c r="J417" s="531"/>
    </row>
    <row r="418" spans="1:10" x14ac:dyDescent="0.2">
      <c r="A418" s="531"/>
      <c r="B418" s="531"/>
      <c r="C418" s="531"/>
      <c r="D418" s="531"/>
      <c r="E418" s="531"/>
      <c r="F418" s="531"/>
      <c r="G418" s="531"/>
      <c r="H418" s="531"/>
      <c r="I418" s="531"/>
      <c r="J418" s="531"/>
    </row>
    <row r="419" spans="1:10" x14ac:dyDescent="0.2">
      <c r="A419" s="531"/>
      <c r="B419" s="531"/>
      <c r="C419" s="531"/>
      <c r="D419" s="531"/>
      <c r="E419" s="531"/>
      <c r="F419" s="531"/>
      <c r="G419" s="531"/>
      <c r="H419" s="531"/>
      <c r="I419" s="531"/>
      <c r="J419" s="531"/>
    </row>
    <row r="420" spans="1:10" x14ac:dyDescent="0.2">
      <c r="A420" s="531"/>
      <c r="B420" s="531"/>
      <c r="C420" s="531"/>
      <c r="D420" s="531"/>
      <c r="E420" s="531"/>
      <c r="F420" s="531"/>
      <c r="G420" s="531"/>
      <c r="H420" s="531"/>
      <c r="I420" s="531"/>
      <c r="J420" s="531"/>
    </row>
    <row r="421" spans="1:10" x14ac:dyDescent="0.2">
      <c r="A421" s="531"/>
      <c r="B421" s="531"/>
      <c r="C421" s="531"/>
      <c r="D421" s="531"/>
      <c r="E421" s="531"/>
      <c r="F421" s="531"/>
      <c r="G421" s="531"/>
      <c r="H421" s="531"/>
      <c r="I421" s="531"/>
      <c r="J421" s="531"/>
    </row>
    <row r="422" spans="1:10" x14ac:dyDescent="0.2">
      <c r="A422" s="531"/>
      <c r="B422" s="531"/>
      <c r="C422" s="531"/>
      <c r="D422" s="531"/>
      <c r="E422" s="531"/>
      <c r="F422" s="531"/>
      <c r="G422" s="531"/>
      <c r="H422" s="531"/>
      <c r="I422" s="531"/>
      <c r="J422" s="531"/>
    </row>
    <row r="423" spans="1:10" x14ac:dyDescent="0.2">
      <c r="A423" s="531"/>
      <c r="B423" s="531"/>
      <c r="C423" s="531"/>
      <c r="D423" s="531"/>
      <c r="E423" s="531"/>
      <c r="F423" s="531"/>
      <c r="G423" s="531"/>
      <c r="H423" s="531"/>
      <c r="I423" s="531"/>
      <c r="J423" s="531"/>
    </row>
    <row r="424" spans="1:10" x14ac:dyDescent="0.2">
      <c r="A424" s="531"/>
      <c r="B424" s="531"/>
      <c r="C424" s="531"/>
      <c r="D424" s="531"/>
      <c r="E424" s="531"/>
      <c r="F424" s="531"/>
      <c r="G424" s="531"/>
      <c r="H424" s="531"/>
      <c r="I424" s="531"/>
      <c r="J424" s="531"/>
    </row>
    <row r="425" spans="1:10" x14ac:dyDescent="0.2">
      <c r="A425" s="531"/>
      <c r="B425" s="531"/>
      <c r="C425" s="531"/>
      <c r="D425" s="531"/>
      <c r="E425" s="531"/>
      <c r="F425" s="531"/>
      <c r="G425" s="531"/>
      <c r="H425" s="531"/>
      <c r="I425" s="531"/>
      <c r="J425" s="531"/>
    </row>
    <row r="426" spans="1:10" x14ac:dyDescent="0.2">
      <c r="A426" s="531"/>
      <c r="B426" s="531"/>
      <c r="C426" s="531"/>
      <c r="D426" s="531"/>
      <c r="E426" s="531"/>
      <c r="F426" s="531"/>
      <c r="G426" s="531"/>
      <c r="H426" s="531"/>
      <c r="I426" s="531"/>
      <c r="J426" s="531"/>
    </row>
    <row r="427" spans="1:10" x14ac:dyDescent="0.2">
      <c r="A427" s="531"/>
      <c r="B427" s="531"/>
      <c r="C427" s="531"/>
      <c r="D427" s="531"/>
      <c r="E427" s="531"/>
      <c r="F427" s="531"/>
      <c r="G427" s="531"/>
      <c r="H427" s="531"/>
      <c r="I427" s="531"/>
      <c r="J427" s="531"/>
    </row>
    <row r="428" spans="1:10" x14ac:dyDescent="0.2">
      <c r="A428" s="531"/>
      <c r="B428" s="531"/>
      <c r="C428" s="531"/>
      <c r="D428" s="531"/>
      <c r="E428" s="531"/>
      <c r="F428" s="531"/>
      <c r="G428" s="531"/>
      <c r="H428" s="531"/>
      <c r="I428" s="531"/>
      <c r="J428" s="531"/>
    </row>
    <row r="429" spans="1:10" x14ac:dyDescent="0.2">
      <c r="A429" s="531"/>
      <c r="B429" s="531"/>
      <c r="C429" s="531"/>
      <c r="D429" s="531"/>
      <c r="E429" s="531"/>
      <c r="F429" s="531"/>
      <c r="G429" s="531"/>
      <c r="H429" s="531"/>
      <c r="I429" s="531"/>
      <c r="J429" s="531"/>
    </row>
    <row r="430" spans="1:10" x14ac:dyDescent="0.2">
      <c r="A430" s="531"/>
      <c r="B430" s="531"/>
      <c r="C430" s="531"/>
      <c r="D430" s="531"/>
      <c r="E430" s="531"/>
      <c r="F430" s="531"/>
      <c r="G430" s="531"/>
      <c r="H430" s="531"/>
      <c r="I430" s="531"/>
      <c r="J430" s="531"/>
    </row>
    <row r="431" spans="1:10" x14ac:dyDescent="0.2">
      <c r="A431" s="531"/>
      <c r="B431" s="531"/>
      <c r="C431" s="531"/>
      <c r="D431" s="531"/>
      <c r="E431" s="531"/>
      <c r="F431" s="531"/>
      <c r="G431" s="531"/>
      <c r="H431" s="531"/>
      <c r="I431" s="531"/>
      <c r="J431" s="531"/>
    </row>
    <row r="432" spans="1:10" x14ac:dyDescent="0.2">
      <c r="A432" s="531"/>
      <c r="B432" s="531"/>
      <c r="C432" s="531"/>
      <c r="D432" s="531"/>
      <c r="E432" s="531"/>
      <c r="F432" s="531"/>
      <c r="G432" s="531"/>
      <c r="H432" s="531"/>
      <c r="I432" s="531"/>
      <c r="J432" s="531"/>
    </row>
    <row r="433" spans="1:10" x14ac:dyDescent="0.2">
      <c r="A433" s="531"/>
      <c r="B433" s="531"/>
      <c r="C433" s="531"/>
      <c r="D433" s="531"/>
      <c r="E433" s="531"/>
      <c r="F433" s="531"/>
      <c r="G433" s="531"/>
      <c r="H433" s="531"/>
      <c r="I433" s="531"/>
      <c r="J433" s="531"/>
    </row>
    <row r="434" spans="1:10" x14ac:dyDescent="0.2">
      <c r="A434" s="531"/>
      <c r="B434" s="531"/>
      <c r="C434" s="531"/>
      <c r="D434" s="531"/>
      <c r="E434" s="531"/>
      <c r="F434" s="531"/>
      <c r="G434" s="531"/>
      <c r="H434" s="531"/>
      <c r="I434" s="531"/>
      <c r="J434" s="531"/>
    </row>
    <row r="435" spans="1:10" x14ac:dyDescent="0.2">
      <c r="A435" s="531"/>
      <c r="B435" s="531"/>
      <c r="C435" s="531"/>
      <c r="D435" s="531"/>
      <c r="E435" s="531"/>
      <c r="F435" s="531"/>
      <c r="G435" s="531"/>
      <c r="H435" s="531"/>
      <c r="I435" s="531"/>
      <c r="J435" s="531"/>
    </row>
    <row r="436" spans="1:10" x14ac:dyDescent="0.2">
      <c r="A436" s="531"/>
      <c r="B436" s="531"/>
      <c r="C436" s="531"/>
      <c r="D436" s="531"/>
      <c r="E436" s="531"/>
      <c r="F436" s="531"/>
      <c r="G436" s="531"/>
      <c r="H436" s="531"/>
      <c r="I436" s="531"/>
      <c r="J436" s="531"/>
    </row>
    <row r="437" spans="1:10" x14ac:dyDescent="0.2">
      <c r="A437" s="531"/>
      <c r="B437" s="531"/>
      <c r="C437" s="531"/>
      <c r="D437" s="531"/>
      <c r="E437" s="531"/>
      <c r="F437" s="531"/>
      <c r="G437" s="531"/>
      <c r="H437" s="531"/>
      <c r="I437" s="531"/>
      <c r="J437" s="531"/>
    </row>
    <row r="438" spans="1:10" x14ac:dyDescent="0.2">
      <c r="A438" s="531"/>
      <c r="B438" s="531"/>
      <c r="C438" s="531"/>
      <c r="D438" s="531"/>
      <c r="E438" s="531"/>
      <c r="F438" s="531"/>
      <c r="G438" s="531"/>
      <c r="H438" s="531"/>
      <c r="I438" s="531"/>
      <c r="J438" s="531"/>
    </row>
    <row r="439" spans="1:10" x14ac:dyDescent="0.2">
      <c r="A439" s="531"/>
      <c r="B439" s="531"/>
      <c r="C439" s="531"/>
      <c r="D439" s="531"/>
      <c r="E439" s="531"/>
      <c r="F439" s="531"/>
      <c r="G439" s="531"/>
      <c r="H439" s="531"/>
      <c r="I439" s="531"/>
      <c r="J439" s="531"/>
    </row>
    <row r="440" spans="1:10" x14ac:dyDescent="0.2">
      <c r="A440" s="531"/>
      <c r="B440" s="531"/>
      <c r="C440" s="531"/>
      <c r="D440" s="531"/>
      <c r="E440" s="531"/>
      <c r="F440" s="531"/>
      <c r="G440" s="531"/>
      <c r="H440" s="531"/>
      <c r="I440" s="531"/>
      <c r="J440" s="531"/>
    </row>
    <row r="441" spans="1:10" x14ac:dyDescent="0.2">
      <c r="A441" s="531"/>
      <c r="B441" s="531"/>
      <c r="C441" s="531"/>
      <c r="D441" s="531"/>
      <c r="E441" s="531"/>
      <c r="F441" s="531"/>
      <c r="G441" s="531"/>
      <c r="H441" s="531"/>
      <c r="I441" s="531"/>
      <c r="J441" s="531"/>
    </row>
    <row r="442" spans="1:10" x14ac:dyDescent="0.2">
      <c r="A442" s="531"/>
      <c r="B442" s="531"/>
      <c r="C442" s="531"/>
      <c r="D442" s="531"/>
      <c r="E442" s="531"/>
      <c r="F442" s="531"/>
      <c r="G442" s="531"/>
      <c r="H442" s="531"/>
      <c r="I442" s="531"/>
      <c r="J442" s="531"/>
    </row>
    <row r="443" spans="1:10" x14ac:dyDescent="0.2">
      <c r="A443" s="531"/>
      <c r="B443" s="531"/>
      <c r="C443" s="531"/>
      <c r="D443" s="531"/>
      <c r="E443" s="531"/>
      <c r="F443" s="531"/>
      <c r="G443" s="531"/>
      <c r="H443" s="531"/>
      <c r="I443" s="531"/>
      <c r="J443" s="531"/>
    </row>
    <row r="444" spans="1:10" x14ac:dyDescent="0.2">
      <c r="A444" s="531"/>
      <c r="B444" s="531"/>
      <c r="C444" s="531"/>
      <c r="D444" s="531"/>
      <c r="E444" s="531"/>
      <c r="F444" s="531"/>
      <c r="G444" s="531"/>
      <c r="H444" s="531"/>
      <c r="I444" s="531"/>
      <c r="J444" s="531"/>
    </row>
    <row r="445" spans="1:10" x14ac:dyDescent="0.2">
      <c r="A445" s="531"/>
      <c r="B445" s="531"/>
      <c r="C445" s="531"/>
      <c r="D445" s="531"/>
      <c r="E445" s="531"/>
      <c r="F445" s="531"/>
      <c r="G445" s="531"/>
      <c r="H445" s="531"/>
      <c r="I445" s="531"/>
      <c r="J445" s="531"/>
    </row>
    <row r="446" spans="1:10" x14ac:dyDescent="0.2">
      <c r="A446" s="531"/>
      <c r="B446" s="531"/>
      <c r="C446" s="531"/>
      <c r="D446" s="531"/>
      <c r="E446" s="531"/>
      <c r="F446" s="531"/>
      <c r="G446" s="531"/>
      <c r="H446" s="531"/>
      <c r="I446" s="531"/>
      <c r="J446" s="531"/>
    </row>
    <row r="447" spans="1:10" x14ac:dyDescent="0.2">
      <c r="A447" s="531"/>
      <c r="B447" s="531"/>
      <c r="C447" s="531"/>
      <c r="D447" s="531"/>
      <c r="E447" s="531"/>
      <c r="F447" s="531"/>
      <c r="G447" s="531"/>
      <c r="H447" s="531"/>
      <c r="I447" s="531"/>
      <c r="J447" s="531"/>
    </row>
    <row r="448" spans="1:10" x14ac:dyDescent="0.2">
      <c r="A448" s="531"/>
      <c r="B448" s="531"/>
      <c r="C448" s="531"/>
      <c r="D448" s="531"/>
      <c r="E448" s="531"/>
      <c r="F448" s="531"/>
      <c r="G448" s="531"/>
      <c r="H448" s="531"/>
      <c r="I448" s="531"/>
      <c r="J448" s="531"/>
    </row>
    <row r="449" spans="1:10" x14ac:dyDescent="0.2">
      <c r="A449" s="531"/>
      <c r="B449" s="531"/>
      <c r="C449" s="531"/>
      <c r="D449" s="531"/>
      <c r="E449" s="531"/>
      <c r="F449" s="531"/>
      <c r="G449" s="531"/>
      <c r="H449" s="531"/>
      <c r="I449" s="531"/>
      <c r="J449" s="531"/>
    </row>
    <row r="450" spans="1:10" x14ac:dyDescent="0.2">
      <c r="A450" s="531"/>
      <c r="B450" s="531"/>
      <c r="C450" s="531"/>
      <c r="D450" s="531"/>
      <c r="E450" s="531"/>
      <c r="F450" s="531"/>
      <c r="G450" s="531"/>
      <c r="H450" s="531"/>
      <c r="I450" s="531"/>
      <c r="J450" s="531"/>
    </row>
    <row r="451" spans="1:10" x14ac:dyDescent="0.2">
      <c r="A451" s="531"/>
      <c r="B451" s="531"/>
      <c r="C451" s="531"/>
      <c r="D451" s="531"/>
      <c r="E451" s="531"/>
      <c r="F451" s="531"/>
      <c r="G451" s="531"/>
      <c r="H451" s="531"/>
      <c r="I451" s="531"/>
      <c r="J451" s="531"/>
    </row>
    <row r="452" spans="1:10" x14ac:dyDescent="0.2">
      <c r="A452" s="531"/>
      <c r="B452" s="531"/>
      <c r="C452" s="531"/>
      <c r="D452" s="531"/>
      <c r="E452" s="531"/>
      <c r="F452" s="531"/>
      <c r="G452" s="531"/>
      <c r="H452" s="531"/>
      <c r="I452" s="531"/>
      <c r="J452" s="531"/>
    </row>
    <row r="453" spans="1:10" x14ac:dyDescent="0.2">
      <c r="A453" s="531"/>
      <c r="B453" s="531"/>
      <c r="C453" s="531"/>
      <c r="D453" s="531"/>
      <c r="E453" s="531"/>
      <c r="F453" s="531"/>
      <c r="G453" s="531"/>
      <c r="H453" s="531"/>
      <c r="I453" s="531"/>
      <c r="J453" s="531"/>
    </row>
    <row r="454" spans="1:10" x14ac:dyDescent="0.2">
      <c r="A454" s="531"/>
      <c r="B454" s="531"/>
      <c r="C454" s="531"/>
      <c r="D454" s="531"/>
      <c r="E454" s="531"/>
      <c r="F454" s="531"/>
      <c r="G454" s="531"/>
      <c r="H454" s="531"/>
      <c r="I454" s="531"/>
      <c r="J454" s="531"/>
    </row>
    <row r="455" spans="1:10" x14ac:dyDescent="0.2">
      <c r="A455" s="531"/>
      <c r="B455" s="531"/>
      <c r="C455" s="531"/>
      <c r="D455" s="531"/>
      <c r="E455" s="531"/>
      <c r="F455" s="531"/>
      <c r="G455" s="531"/>
      <c r="H455" s="531"/>
      <c r="I455" s="531"/>
      <c r="J455" s="531"/>
    </row>
    <row r="456" spans="1:10" x14ac:dyDescent="0.2">
      <c r="A456" s="531"/>
      <c r="B456" s="531"/>
      <c r="C456" s="531"/>
      <c r="D456" s="531"/>
      <c r="E456" s="531"/>
      <c r="F456" s="531"/>
      <c r="G456" s="531"/>
      <c r="H456" s="531"/>
      <c r="I456" s="531"/>
      <c r="J456" s="531"/>
    </row>
    <row r="457" spans="1:10" x14ac:dyDescent="0.2">
      <c r="A457" s="531"/>
      <c r="B457" s="531"/>
      <c r="C457" s="531"/>
      <c r="D457" s="531"/>
      <c r="E457" s="531"/>
      <c r="F457" s="531"/>
      <c r="G457" s="531"/>
      <c r="H457" s="531"/>
      <c r="I457" s="531"/>
      <c r="J457" s="531"/>
    </row>
    <row r="458" spans="1:10" x14ac:dyDescent="0.2">
      <c r="A458" s="531"/>
      <c r="B458" s="531"/>
      <c r="C458" s="531"/>
      <c r="D458" s="531"/>
      <c r="E458" s="531"/>
      <c r="F458" s="531"/>
      <c r="G458" s="531"/>
      <c r="H458" s="531"/>
      <c r="I458" s="531"/>
      <c r="J458" s="531"/>
    </row>
    <row r="459" spans="1:10" x14ac:dyDescent="0.2">
      <c r="A459" s="531"/>
      <c r="B459" s="531"/>
      <c r="C459" s="531"/>
      <c r="D459" s="531"/>
      <c r="E459" s="531"/>
      <c r="F459" s="531"/>
      <c r="G459" s="531"/>
      <c r="H459" s="531"/>
      <c r="I459" s="531"/>
      <c r="J459" s="531"/>
    </row>
    <row r="460" spans="1:10" x14ac:dyDescent="0.2">
      <c r="A460" s="531"/>
      <c r="B460" s="531"/>
      <c r="C460" s="531"/>
      <c r="D460" s="531"/>
      <c r="E460" s="531"/>
      <c r="F460" s="531"/>
      <c r="G460" s="531"/>
      <c r="H460" s="531"/>
      <c r="I460" s="531"/>
      <c r="J460" s="531"/>
    </row>
    <row r="461" spans="1:10" x14ac:dyDescent="0.2">
      <c r="A461" s="531"/>
      <c r="B461" s="531"/>
      <c r="C461" s="531"/>
      <c r="D461" s="531"/>
      <c r="E461" s="531"/>
      <c r="F461" s="531"/>
      <c r="G461" s="531"/>
      <c r="H461" s="531"/>
      <c r="I461" s="531"/>
      <c r="J461" s="531"/>
    </row>
    <row r="462" spans="1:10" x14ac:dyDescent="0.2">
      <c r="A462" s="531"/>
      <c r="B462" s="531"/>
      <c r="C462" s="531"/>
      <c r="D462" s="531"/>
      <c r="E462" s="531"/>
      <c r="F462" s="531"/>
      <c r="G462" s="531"/>
      <c r="H462" s="531"/>
      <c r="I462" s="531"/>
      <c r="J462" s="531"/>
    </row>
  </sheetData>
  <mergeCells count="46">
    <mergeCell ref="O244:Q244"/>
    <mergeCell ref="E246:G246"/>
    <mergeCell ref="E295:G295"/>
    <mergeCell ref="H295:J295"/>
    <mergeCell ref="E322:G322"/>
    <mergeCell ref="L323:M328"/>
    <mergeCell ref="C358:D358"/>
    <mergeCell ref="E358:G358"/>
    <mergeCell ref="H358:J358"/>
    <mergeCell ref="E360:G360"/>
    <mergeCell ref="C213:D213"/>
    <mergeCell ref="E213:G213"/>
    <mergeCell ref="E215:G215"/>
    <mergeCell ref="C244:D244"/>
    <mergeCell ref="E244:G244"/>
    <mergeCell ref="E164:G164"/>
    <mergeCell ref="L164:N164"/>
    <mergeCell ref="L322:N322"/>
    <mergeCell ref="L165:M171"/>
    <mergeCell ref="E180:G180"/>
    <mergeCell ref="H244:J244"/>
    <mergeCell ref="L244:N244"/>
    <mergeCell ref="O78:Q78"/>
    <mergeCell ref="E80:G80"/>
    <mergeCell ref="L106:M112"/>
    <mergeCell ref="E114:G114"/>
    <mergeCell ref="E137:G137"/>
    <mergeCell ref="H137:J137"/>
    <mergeCell ref="L35:M38"/>
    <mergeCell ref="C46:D46"/>
    <mergeCell ref="E46:G46"/>
    <mergeCell ref="E48:G48"/>
    <mergeCell ref="C78:D78"/>
    <mergeCell ref="E78:G78"/>
    <mergeCell ref="H78:J78"/>
    <mergeCell ref="L78:N78"/>
    <mergeCell ref="C8:D8"/>
    <mergeCell ref="E8:G8"/>
    <mergeCell ref="A9:J9"/>
    <mergeCell ref="E10:G10"/>
    <mergeCell ref="L30:M32"/>
    <mergeCell ref="A1:M1"/>
    <mergeCell ref="A2:M2"/>
    <mergeCell ref="A3:M3"/>
    <mergeCell ref="A5:M5"/>
    <mergeCell ref="A6:M6"/>
  </mergeCells>
  <pageMargins left="0.70866141732283472" right="0.70866141732283472" top="0.74803149606299213" bottom="0.74803149606299213" header="0.31496062992125984" footer="0.31496062992125984"/>
  <pageSetup orientation="portrait" r:id="rId1"/>
  <headerFooter>
    <oddFooter>&amp;LAlbergue Temporal - 123 Social&amp;RLuis Fernando Montes Hincapie</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49"/>
  <sheetViews>
    <sheetView showGridLines="0" topLeftCell="A105" workbookViewId="0">
      <selection activeCell="C109" sqref="C109"/>
    </sheetView>
  </sheetViews>
  <sheetFormatPr baseColWidth="10" defaultColWidth="11.375" defaultRowHeight="15" x14ac:dyDescent="0.25"/>
  <cols>
    <col min="1" max="1" width="46.75" style="551" customWidth="1"/>
    <col min="2" max="2" width="25" style="551" customWidth="1"/>
    <col min="3" max="3" width="19" style="551" customWidth="1"/>
    <col min="4" max="4" width="9.625" style="551" customWidth="1"/>
    <col min="5" max="16384" width="11.375" style="551"/>
  </cols>
  <sheetData>
    <row r="1" spans="1:7" x14ac:dyDescent="0.25">
      <c r="A1" s="1612" t="s">
        <v>0</v>
      </c>
      <c r="B1" s="1612"/>
      <c r="C1" s="1612"/>
      <c r="D1" s="550"/>
      <c r="E1" s="550"/>
      <c r="F1" s="550"/>
      <c r="G1" s="550"/>
    </row>
    <row r="2" spans="1:7" x14ac:dyDescent="0.25">
      <c r="A2" s="1612" t="s">
        <v>1</v>
      </c>
      <c r="B2" s="1612"/>
      <c r="C2" s="1612"/>
      <c r="D2" s="550"/>
      <c r="E2" s="550"/>
      <c r="F2" s="550"/>
      <c r="G2" s="550"/>
    </row>
    <row r="3" spans="1:7" x14ac:dyDescent="0.25">
      <c r="A3" s="1612" t="s">
        <v>348</v>
      </c>
      <c r="B3" s="1612"/>
      <c r="C3" s="1612"/>
      <c r="D3" s="550"/>
      <c r="E3" s="550"/>
      <c r="F3" s="550"/>
      <c r="G3" s="550"/>
    </row>
    <row r="4" spans="1:7" x14ac:dyDescent="0.25">
      <c r="A4" s="549"/>
      <c r="B4" s="549"/>
      <c r="C4" s="549"/>
      <c r="D4" s="550"/>
      <c r="E4" s="550"/>
      <c r="F4" s="550"/>
      <c r="G4" s="550"/>
    </row>
    <row r="5" spans="1:7" x14ac:dyDescent="0.25">
      <c r="A5" s="1612" t="s">
        <v>539</v>
      </c>
      <c r="B5" s="1612"/>
      <c r="C5" s="1612"/>
      <c r="D5" s="550"/>
      <c r="E5" s="550"/>
      <c r="F5" s="550"/>
      <c r="G5" s="550"/>
    </row>
    <row r="6" spans="1:7" x14ac:dyDescent="0.25">
      <c r="A6" s="1612" t="s">
        <v>540</v>
      </c>
      <c r="B6" s="1612"/>
      <c r="C6" s="1612"/>
      <c r="D6" s="550"/>
      <c r="E6" s="550"/>
      <c r="F6" s="550"/>
      <c r="G6" s="550"/>
    </row>
    <row r="7" spans="1:7" x14ac:dyDescent="0.25">
      <c r="A7" s="1612" t="s">
        <v>541</v>
      </c>
      <c r="B7" s="1612"/>
      <c r="C7" s="1612"/>
      <c r="D7" s="550"/>
      <c r="E7" s="550"/>
      <c r="F7" s="550"/>
      <c r="G7" s="550"/>
    </row>
    <row r="8" spans="1:7" x14ac:dyDescent="0.25">
      <c r="A8" s="549"/>
      <c r="B8" s="1613" t="s">
        <v>542</v>
      </c>
      <c r="C8" s="1613"/>
      <c r="D8" s="550" t="e">
        <f>+#REF!</f>
        <v>#REF!</v>
      </c>
      <c r="E8" s="550"/>
      <c r="F8" s="550"/>
      <c r="G8" s="550"/>
    </row>
    <row r="9" spans="1:7" x14ac:dyDescent="0.25">
      <c r="A9" s="1614" t="s">
        <v>543</v>
      </c>
      <c r="B9" s="1615"/>
      <c r="C9" s="1616"/>
      <c r="D9" s="550"/>
      <c r="E9" s="550"/>
      <c r="F9" s="550"/>
      <c r="G9" s="550"/>
    </row>
    <row r="10" spans="1:7" x14ac:dyDescent="0.25">
      <c r="A10" s="1617" t="s">
        <v>544</v>
      </c>
      <c r="B10" s="1618"/>
      <c r="C10" s="1619"/>
      <c r="D10" s="550"/>
      <c r="E10" s="550"/>
      <c r="F10" s="550"/>
      <c r="G10" s="550"/>
    </row>
    <row r="11" spans="1:7" ht="28.5" x14ac:dyDescent="0.25">
      <c r="A11" s="552"/>
      <c r="B11" s="553" t="s">
        <v>133</v>
      </c>
      <c r="C11" s="553" t="s">
        <v>545</v>
      </c>
      <c r="D11" s="550" t="s">
        <v>2</v>
      </c>
      <c r="E11" s="550"/>
      <c r="F11" s="550"/>
      <c r="G11" s="550"/>
    </row>
    <row r="12" spans="1:7" x14ac:dyDescent="0.25">
      <c r="A12" s="554" t="s">
        <v>355</v>
      </c>
      <c r="B12" s="555" t="s">
        <v>546</v>
      </c>
      <c r="C12" s="556"/>
      <c r="D12" s="550"/>
      <c r="E12" s="550"/>
      <c r="F12" s="550"/>
      <c r="G12" s="550"/>
    </row>
    <row r="13" spans="1:7" x14ac:dyDescent="0.25">
      <c r="A13" s="557" t="s">
        <v>356</v>
      </c>
      <c r="B13" s="555" t="s">
        <v>547</v>
      </c>
      <c r="C13" s="558">
        <f>+[7]GRUPOS!G11</f>
        <v>415.0333333333333</v>
      </c>
      <c r="D13" s="550"/>
      <c r="E13" s="550"/>
      <c r="F13" s="550"/>
      <c r="G13" s="550"/>
    </row>
    <row r="14" spans="1:7" x14ac:dyDescent="0.25">
      <c r="A14" s="557" t="s">
        <v>548</v>
      </c>
      <c r="B14" s="555" t="s">
        <v>549</v>
      </c>
      <c r="C14" s="558">
        <f>+[7]GRUPOS!G14</f>
        <v>68.804166666666674</v>
      </c>
      <c r="D14" s="550"/>
      <c r="E14" s="550"/>
      <c r="F14" s="550"/>
      <c r="G14" s="550"/>
    </row>
    <row r="15" spans="1:7" x14ac:dyDescent="0.25">
      <c r="A15" s="559" t="s">
        <v>365</v>
      </c>
      <c r="B15" s="555" t="s">
        <v>549</v>
      </c>
      <c r="C15" s="558">
        <f>+[7]GRUPOS!G20</f>
        <v>194.15214828431374</v>
      </c>
      <c r="D15" s="550"/>
      <c r="E15" s="550"/>
      <c r="F15" s="550"/>
      <c r="G15" s="550"/>
    </row>
    <row r="16" spans="1:7" x14ac:dyDescent="0.25">
      <c r="A16" s="560"/>
      <c r="B16" s="561"/>
      <c r="C16" s="562">
        <f>SUM(C13:C15)</f>
        <v>677.98964828431372</v>
      </c>
      <c r="D16" s="550"/>
      <c r="E16" s="550"/>
      <c r="F16" s="550"/>
      <c r="G16" s="550"/>
    </row>
    <row r="17" spans="1:7" x14ac:dyDescent="0.25">
      <c r="A17" s="563" t="s">
        <v>371</v>
      </c>
      <c r="B17" s="564" t="s">
        <v>550</v>
      </c>
      <c r="C17" s="565">
        <f>+[7]GRUPOS!G22</f>
        <v>244.35238095238094</v>
      </c>
      <c r="D17" s="550"/>
      <c r="E17" s="550"/>
      <c r="F17" s="550"/>
      <c r="G17" s="550"/>
    </row>
    <row r="18" spans="1:7" x14ac:dyDescent="0.25">
      <c r="A18" s="560" t="s">
        <v>551</v>
      </c>
      <c r="B18" s="555" t="s">
        <v>552</v>
      </c>
      <c r="C18" s="566">
        <f>+[7]GRUPOS!G33</f>
        <v>222.96562581020399</v>
      </c>
      <c r="D18" s="550"/>
      <c r="E18" s="550"/>
      <c r="F18" s="550"/>
      <c r="G18" s="550"/>
    </row>
    <row r="19" spans="1:7" x14ac:dyDescent="0.25">
      <c r="A19" s="560" t="s">
        <v>553</v>
      </c>
      <c r="B19" s="555" t="s">
        <v>549</v>
      </c>
      <c r="C19" s="566">
        <f>+[7]GRUPOS!G37</f>
        <v>371.05795454545455</v>
      </c>
      <c r="D19" s="550"/>
      <c r="E19" s="550"/>
      <c r="F19" s="550"/>
      <c r="G19" s="550"/>
    </row>
    <row r="20" spans="1:7" x14ac:dyDescent="0.25">
      <c r="A20" s="563" t="s">
        <v>412</v>
      </c>
      <c r="B20" s="564" t="s">
        <v>549</v>
      </c>
      <c r="C20" s="567">
        <f>+[7]GRUPOS!G44</f>
        <v>63.969999999999992</v>
      </c>
      <c r="D20" s="550"/>
      <c r="E20" s="550"/>
      <c r="F20" s="550"/>
      <c r="G20" s="550"/>
    </row>
    <row r="21" spans="1:7" x14ac:dyDescent="0.25">
      <c r="A21" s="1620" t="s">
        <v>189</v>
      </c>
      <c r="B21" s="1621"/>
      <c r="C21" s="569">
        <f>C16+C17+C18+C19+C20</f>
        <v>1580.3356095923532</v>
      </c>
      <c r="D21" s="550"/>
      <c r="E21" s="550"/>
      <c r="F21" s="550"/>
      <c r="G21" s="550"/>
    </row>
    <row r="22" spans="1:7" x14ac:dyDescent="0.25">
      <c r="A22" s="570"/>
      <c r="B22" s="570"/>
      <c r="C22" s="571"/>
      <c r="D22" s="550"/>
      <c r="E22" s="550"/>
      <c r="F22" s="550"/>
      <c r="G22" s="550"/>
    </row>
    <row r="23" spans="1:7" x14ac:dyDescent="0.25">
      <c r="A23" s="1614" t="s">
        <v>554</v>
      </c>
      <c r="B23" s="1615"/>
      <c r="C23" s="1616"/>
      <c r="D23" s="550"/>
      <c r="E23" s="550"/>
      <c r="F23" s="550"/>
      <c r="G23" s="550"/>
    </row>
    <row r="24" spans="1:7" x14ac:dyDescent="0.25">
      <c r="A24" s="1622" t="s">
        <v>544</v>
      </c>
      <c r="B24" s="1623"/>
      <c r="C24" s="1624"/>
      <c r="D24" s="550"/>
      <c r="E24" s="550" t="s">
        <v>2</v>
      </c>
      <c r="F24" s="550"/>
      <c r="G24" s="550"/>
    </row>
    <row r="25" spans="1:7" ht="28.5" x14ac:dyDescent="0.25">
      <c r="A25" s="552"/>
      <c r="B25" s="553" t="s">
        <v>133</v>
      </c>
      <c r="C25" s="553" t="s">
        <v>545</v>
      </c>
      <c r="D25" s="550"/>
      <c r="E25" s="550"/>
      <c r="F25" s="550"/>
      <c r="G25" s="550"/>
    </row>
    <row r="26" spans="1:7" x14ac:dyDescent="0.25">
      <c r="A26" s="554" t="s">
        <v>555</v>
      </c>
      <c r="B26" s="555" t="s">
        <v>556</v>
      </c>
      <c r="C26" s="558"/>
      <c r="D26" s="550"/>
      <c r="E26" s="550"/>
      <c r="F26" s="550"/>
      <c r="G26" s="550"/>
    </row>
    <row r="27" spans="1:7" x14ac:dyDescent="0.25">
      <c r="A27" s="572" t="s">
        <v>557</v>
      </c>
      <c r="B27" s="561" t="s">
        <v>558</v>
      </c>
      <c r="C27" s="558">
        <f>+[7]GRUPOS!G58</f>
        <v>344.4480462962963</v>
      </c>
      <c r="D27" s="550"/>
      <c r="E27" s="550"/>
      <c r="F27" s="550"/>
      <c r="G27" s="550"/>
    </row>
    <row r="28" spans="1:7" x14ac:dyDescent="0.25">
      <c r="A28" s="559" t="s">
        <v>548</v>
      </c>
      <c r="B28" s="561" t="s">
        <v>549</v>
      </c>
      <c r="C28" s="558">
        <f>+[7]GRUPOS!G60</f>
        <v>52.114166666666662</v>
      </c>
      <c r="D28" s="550"/>
      <c r="E28" s="550"/>
      <c r="F28" s="550"/>
      <c r="G28" s="550"/>
    </row>
    <row r="29" spans="1:7" x14ac:dyDescent="0.25">
      <c r="A29" s="573" t="s">
        <v>559</v>
      </c>
      <c r="B29" s="555" t="s">
        <v>560</v>
      </c>
      <c r="C29" s="558">
        <f>+[7]GRUPOS!G75</f>
        <v>367.46012393748634</v>
      </c>
      <c r="D29" s="550"/>
      <c r="E29" s="550"/>
      <c r="F29" s="550"/>
      <c r="G29" s="550"/>
    </row>
    <row r="30" spans="1:7" x14ac:dyDescent="0.25">
      <c r="A30" s="1620" t="s">
        <v>561</v>
      </c>
      <c r="B30" s="1621"/>
      <c r="C30" s="574">
        <f>SUM(C27:C29)</f>
        <v>764.02233690044932</v>
      </c>
      <c r="D30" s="550"/>
      <c r="E30" s="550"/>
      <c r="F30" s="550"/>
      <c r="G30" s="550"/>
    </row>
    <row r="31" spans="1:7" x14ac:dyDescent="0.25">
      <c r="A31" s="575"/>
      <c r="B31" s="576"/>
      <c r="C31" s="575"/>
      <c r="D31" s="550"/>
      <c r="E31" s="550"/>
      <c r="F31" s="550"/>
      <c r="G31" s="550"/>
    </row>
    <row r="32" spans="1:7" x14ac:dyDescent="0.25">
      <c r="A32" s="1614" t="s">
        <v>562</v>
      </c>
      <c r="B32" s="1615"/>
      <c r="C32" s="1616"/>
      <c r="D32" s="550"/>
      <c r="E32" s="550"/>
      <c r="F32" s="550"/>
      <c r="G32" s="550"/>
    </row>
    <row r="33" spans="1:7" x14ac:dyDescent="0.25">
      <c r="A33" s="1622" t="s">
        <v>544</v>
      </c>
      <c r="B33" s="1623"/>
      <c r="C33" s="1624"/>
      <c r="D33" s="550"/>
      <c r="E33" s="550"/>
      <c r="F33" s="550"/>
      <c r="G33" s="550"/>
    </row>
    <row r="34" spans="1:7" ht="28.5" x14ac:dyDescent="0.25">
      <c r="A34" s="552"/>
      <c r="B34" s="553" t="s">
        <v>133</v>
      </c>
      <c r="C34" s="553" t="s">
        <v>545</v>
      </c>
      <c r="D34" s="550"/>
      <c r="E34" s="550"/>
      <c r="F34" s="550"/>
      <c r="G34" s="550"/>
    </row>
    <row r="35" spans="1:7" x14ac:dyDescent="0.25">
      <c r="A35" s="577" t="s">
        <v>563</v>
      </c>
      <c r="B35" s="555" t="s">
        <v>564</v>
      </c>
      <c r="C35" s="578"/>
      <c r="D35" s="550"/>
      <c r="E35" s="550"/>
      <c r="F35" s="550"/>
      <c r="G35" s="550"/>
    </row>
    <row r="36" spans="1:7" x14ac:dyDescent="0.25">
      <c r="A36" s="579" t="s">
        <v>418</v>
      </c>
      <c r="B36" s="555" t="s">
        <v>565</v>
      </c>
      <c r="C36" s="558">
        <f>+[7]GRUPOS!G90</f>
        <v>344.4480462962963</v>
      </c>
      <c r="D36" s="550"/>
      <c r="E36" s="550"/>
      <c r="F36" s="550"/>
      <c r="G36" s="550"/>
    </row>
    <row r="37" spans="1:7" x14ac:dyDescent="0.25">
      <c r="A37" s="579" t="s">
        <v>566</v>
      </c>
      <c r="B37" s="555" t="s">
        <v>549</v>
      </c>
      <c r="C37" s="558">
        <f>+[7]GRUPOS!G92</f>
        <v>52.114166666666662</v>
      </c>
      <c r="D37" s="550"/>
      <c r="E37" s="550"/>
      <c r="F37" s="550"/>
      <c r="G37" s="550"/>
    </row>
    <row r="38" spans="1:7" x14ac:dyDescent="0.25">
      <c r="A38" s="559"/>
      <c r="B38" s="580"/>
      <c r="C38" s="581">
        <f>SUM(C36:C37)</f>
        <v>396.56221296296297</v>
      </c>
      <c r="D38" s="550"/>
      <c r="E38" s="550"/>
      <c r="F38" s="550"/>
      <c r="G38" s="550"/>
    </row>
    <row r="39" spans="1:7" x14ac:dyDescent="0.25">
      <c r="A39" s="577" t="s">
        <v>443</v>
      </c>
      <c r="B39" s="555" t="s">
        <v>549</v>
      </c>
      <c r="C39" s="558"/>
      <c r="D39" s="550"/>
      <c r="E39" s="550"/>
      <c r="F39" s="550"/>
      <c r="G39" s="550"/>
    </row>
    <row r="40" spans="1:7" x14ac:dyDescent="0.25">
      <c r="A40" s="579" t="s">
        <v>567</v>
      </c>
      <c r="B40" s="555" t="s">
        <v>568</v>
      </c>
      <c r="C40" s="558">
        <f>+[7]GRUPOS!G106*1.5</f>
        <v>249.43546590909096</v>
      </c>
      <c r="D40" s="550"/>
      <c r="E40" s="550"/>
      <c r="F40" s="550"/>
      <c r="G40" s="550"/>
    </row>
    <row r="41" spans="1:7" x14ac:dyDescent="0.25">
      <c r="A41" s="579" t="s">
        <v>569</v>
      </c>
      <c r="B41" s="555" t="s">
        <v>570</v>
      </c>
      <c r="C41" s="558">
        <f>+[7]GRUPOS!G128</f>
        <v>160.22331410256407</v>
      </c>
      <c r="D41" s="550"/>
      <c r="E41" s="550"/>
      <c r="F41" s="550"/>
      <c r="G41" s="550"/>
    </row>
    <row r="42" spans="1:7" x14ac:dyDescent="0.25">
      <c r="A42" s="579" t="s">
        <v>571</v>
      </c>
      <c r="B42" s="555" t="s">
        <v>549</v>
      </c>
      <c r="C42" s="558">
        <f>+[7]GRUPOS!G135</f>
        <v>67.311589371980673</v>
      </c>
      <c r="D42" s="550"/>
      <c r="E42" s="550"/>
      <c r="F42" s="550"/>
      <c r="G42" s="550"/>
    </row>
    <row r="43" spans="1:7" x14ac:dyDescent="0.25">
      <c r="A43" s="559"/>
      <c r="B43" s="582"/>
      <c r="C43" s="581">
        <f>SUM(C40:C42)</f>
        <v>476.97036938363573</v>
      </c>
      <c r="D43" s="550"/>
      <c r="E43" s="550"/>
      <c r="F43" s="550"/>
      <c r="G43" s="550"/>
    </row>
    <row r="44" spans="1:7" x14ac:dyDescent="0.25">
      <c r="A44" s="583" t="s">
        <v>572</v>
      </c>
      <c r="B44" s="555" t="s">
        <v>573</v>
      </c>
      <c r="C44" s="584">
        <f>+[7]GRUPOS!G138</f>
        <v>116.0425</v>
      </c>
      <c r="D44" s="550"/>
      <c r="E44" s="550"/>
      <c r="F44" s="550"/>
      <c r="G44" s="550"/>
    </row>
    <row r="45" spans="1:7" x14ac:dyDescent="0.25">
      <c r="A45" s="577" t="s">
        <v>488</v>
      </c>
      <c r="B45" s="555" t="s">
        <v>549</v>
      </c>
      <c r="C45" s="585"/>
      <c r="D45" s="550"/>
      <c r="E45" s="550"/>
      <c r="F45" s="550"/>
      <c r="G45" s="550"/>
    </row>
    <row r="46" spans="1:7" x14ac:dyDescent="0.25">
      <c r="A46" s="579" t="s">
        <v>567</v>
      </c>
      <c r="B46" s="555" t="s">
        <v>549</v>
      </c>
      <c r="C46" s="558">
        <f>+[7]GRUPOS!G155</f>
        <v>135.5015609301413</v>
      </c>
      <c r="D46" s="550"/>
      <c r="E46" s="550"/>
      <c r="F46" s="550"/>
      <c r="G46" s="550"/>
    </row>
    <row r="47" spans="1:7" x14ac:dyDescent="0.25">
      <c r="A47" s="579" t="s">
        <v>571</v>
      </c>
      <c r="B47" s="586" t="s">
        <v>549</v>
      </c>
      <c r="C47" s="558">
        <f>+[7]GRUPOS!G162</f>
        <v>66.496166666666667</v>
      </c>
      <c r="D47" s="550"/>
      <c r="E47" s="550"/>
      <c r="F47" s="550"/>
      <c r="G47" s="550"/>
    </row>
    <row r="48" spans="1:7" x14ac:dyDescent="0.25">
      <c r="A48" s="587"/>
      <c r="B48" s="561"/>
      <c r="C48" s="588">
        <f>SUM(C46:C47)</f>
        <v>201.99772759680798</v>
      </c>
      <c r="D48" s="550"/>
      <c r="E48" s="550"/>
      <c r="F48" s="550"/>
      <c r="G48" s="550"/>
    </row>
    <row r="49" spans="1:7" x14ac:dyDescent="0.25">
      <c r="A49" s="589" t="s">
        <v>497</v>
      </c>
      <c r="B49" s="564" t="s">
        <v>565</v>
      </c>
      <c r="C49" s="585"/>
      <c r="D49" s="550"/>
      <c r="E49" s="550"/>
      <c r="F49" s="550"/>
      <c r="G49" s="550"/>
    </row>
    <row r="50" spans="1:7" x14ac:dyDescent="0.25">
      <c r="A50" s="579" t="s">
        <v>574</v>
      </c>
      <c r="B50" s="555" t="s">
        <v>575</v>
      </c>
      <c r="C50" s="558">
        <f>+[7]GRUPOS!N169</f>
        <v>999.11094629156014</v>
      </c>
      <c r="D50" s="550"/>
      <c r="E50" s="550"/>
      <c r="F50" s="550"/>
      <c r="G50" s="550"/>
    </row>
    <row r="51" spans="1:7" x14ac:dyDescent="0.25">
      <c r="A51" s="579" t="s">
        <v>571</v>
      </c>
      <c r="B51" s="555" t="s">
        <v>549</v>
      </c>
      <c r="C51" s="558">
        <f>+[7]GRUPOS!G178</f>
        <v>48.440894927536227</v>
      </c>
      <c r="D51" s="550"/>
      <c r="E51" s="550"/>
      <c r="F51" s="550"/>
      <c r="G51" s="550"/>
    </row>
    <row r="52" spans="1:7" x14ac:dyDescent="0.25">
      <c r="A52" s="590"/>
      <c r="B52" s="555"/>
      <c r="C52" s="562">
        <f>SUM(C50:C51)</f>
        <v>1047.5518412190963</v>
      </c>
      <c r="D52" s="550"/>
      <c r="E52" s="550"/>
      <c r="F52" s="550"/>
      <c r="G52" s="550"/>
    </row>
    <row r="53" spans="1:7" x14ac:dyDescent="0.25">
      <c r="A53" s="573" t="s">
        <v>576</v>
      </c>
      <c r="B53" s="582" t="s">
        <v>570</v>
      </c>
      <c r="C53" s="591">
        <f>+[7]GRUPOS!G196</f>
        <v>167.16478888888884</v>
      </c>
      <c r="D53" s="550"/>
      <c r="E53" s="550"/>
      <c r="F53" s="550"/>
      <c r="G53" s="550"/>
    </row>
    <row r="54" spans="1:7" x14ac:dyDescent="0.25">
      <c r="A54" s="583" t="s">
        <v>516</v>
      </c>
      <c r="B54" s="592" t="s">
        <v>577</v>
      </c>
      <c r="C54" s="584">
        <f>+[7]GRUPOS!G201*2.5</f>
        <v>135.50625000000002</v>
      </c>
      <c r="D54" s="550"/>
      <c r="E54" s="550"/>
      <c r="F54" s="550"/>
      <c r="G54" s="550"/>
    </row>
    <row r="55" spans="1:7" x14ac:dyDescent="0.25">
      <c r="A55" s="560" t="s">
        <v>578</v>
      </c>
      <c r="B55" s="593" t="s">
        <v>579</v>
      </c>
      <c r="C55" s="584">
        <f>+[7]GRUPOS!G210</f>
        <v>332.65685121227983</v>
      </c>
      <c r="D55" s="550"/>
      <c r="E55" s="550"/>
      <c r="F55" s="550"/>
      <c r="G55" s="550"/>
    </row>
    <row r="56" spans="1:7" x14ac:dyDescent="0.25">
      <c r="A56" s="1620" t="s">
        <v>189</v>
      </c>
      <c r="B56" s="1621"/>
      <c r="C56" s="594">
        <f>SUM(C38+C43+C44+C48+C52+C53+C54+C55)</f>
        <v>2874.4525412636717</v>
      </c>
      <c r="D56" s="550"/>
      <c r="E56" s="550"/>
      <c r="F56" s="550"/>
      <c r="G56" s="550"/>
    </row>
    <row r="57" spans="1:7" x14ac:dyDescent="0.25">
      <c r="A57" s="575"/>
      <c r="B57" s="575"/>
      <c r="C57" s="575"/>
      <c r="D57" s="550"/>
      <c r="E57" s="550"/>
      <c r="F57" s="550"/>
      <c r="G57" s="550"/>
    </row>
    <row r="58" spans="1:7" x14ac:dyDescent="0.25">
      <c r="A58" s="1614" t="s">
        <v>580</v>
      </c>
      <c r="B58" s="1615"/>
      <c r="C58" s="1616"/>
      <c r="D58" s="550"/>
      <c r="E58" s="550"/>
      <c r="F58" s="550"/>
      <c r="G58" s="550"/>
    </row>
    <row r="59" spans="1:7" x14ac:dyDescent="0.25">
      <c r="A59" s="1622" t="s">
        <v>544</v>
      </c>
      <c r="B59" s="1623"/>
      <c r="C59" s="1624"/>
      <c r="D59" s="550"/>
      <c r="E59" s="550" t="s">
        <v>2</v>
      </c>
      <c r="F59" s="550"/>
      <c r="G59" s="550"/>
    </row>
    <row r="60" spans="1:7" ht="28.5" x14ac:dyDescent="0.25">
      <c r="A60" s="552"/>
      <c r="B60" s="553" t="s">
        <v>133</v>
      </c>
      <c r="C60" s="553" t="s">
        <v>545</v>
      </c>
      <c r="D60" s="550"/>
      <c r="E60" s="550"/>
      <c r="F60" s="550"/>
      <c r="G60" s="550"/>
    </row>
    <row r="61" spans="1:7" x14ac:dyDescent="0.25">
      <c r="A61" s="577" t="s">
        <v>555</v>
      </c>
      <c r="B61" s="595" t="s">
        <v>556</v>
      </c>
      <c r="C61" s="596"/>
      <c r="D61" s="550"/>
      <c r="E61" s="550"/>
      <c r="F61" s="550"/>
      <c r="G61" s="550"/>
    </row>
    <row r="62" spans="1:7" x14ac:dyDescent="0.25">
      <c r="A62" s="579" t="s">
        <v>557</v>
      </c>
      <c r="B62" s="555" t="s">
        <v>558</v>
      </c>
      <c r="C62" s="558">
        <f>+[7]GRUPOS!G225</f>
        <v>344.4480462962963</v>
      </c>
      <c r="D62" s="550"/>
      <c r="E62" s="550"/>
      <c r="F62" s="550"/>
      <c r="G62" s="550"/>
    </row>
    <row r="63" spans="1:7" x14ac:dyDescent="0.25">
      <c r="A63" s="579" t="s">
        <v>548</v>
      </c>
      <c r="B63" s="555" t="s">
        <v>549</v>
      </c>
      <c r="C63" s="558">
        <f>+[7]GRUPOS!G227</f>
        <v>52.114166666666662</v>
      </c>
      <c r="D63" s="550"/>
      <c r="E63" s="550"/>
      <c r="F63" s="550"/>
      <c r="G63" s="550"/>
    </row>
    <row r="64" spans="1:7" x14ac:dyDescent="0.25">
      <c r="A64" s="573" t="s">
        <v>559</v>
      </c>
      <c r="B64" s="555" t="s">
        <v>560</v>
      </c>
      <c r="C64" s="558">
        <f>+[7]GRUPOS!G242</f>
        <v>189.71825092161333</v>
      </c>
      <c r="D64" s="550"/>
      <c r="E64" s="550"/>
      <c r="F64" s="550"/>
      <c r="G64" s="550"/>
    </row>
    <row r="65" spans="1:7" x14ac:dyDescent="0.25">
      <c r="A65" s="1620" t="s">
        <v>561</v>
      </c>
      <c r="B65" s="1621"/>
      <c r="C65" s="574">
        <f>SUM(C62:C64)</f>
        <v>586.28046388457631</v>
      </c>
      <c r="D65" s="550"/>
      <c r="E65" s="550"/>
      <c r="F65" s="550"/>
      <c r="G65" s="550"/>
    </row>
    <row r="66" spans="1:7" x14ac:dyDescent="0.25">
      <c r="A66" s="568"/>
      <c r="B66" s="597"/>
      <c r="C66" s="598"/>
      <c r="D66" s="550"/>
      <c r="E66" s="550"/>
      <c r="F66" s="550"/>
      <c r="G66" s="550"/>
    </row>
    <row r="67" spans="1:7" x14ac:dyDescent="0.25">
      <c r="A67" s="1614" t="s">
        <v>581</v>
      </c>
      <c r="B67" s="1615"/>
      <c r="C67" s="1616"/>
      <c r="D67" s="550"/>
      <c r="E67" s="550"/>
      <c r="F67" s="550"/>
      <c r="G67" s="550"/>
    </row>
    <row r="68" spans="1:7" x14ac:dyDescent="0.25">
      <c r="A68" s="1622" t="s">
        <v>544</v>
      </c>
      <c r="B68" s="1623"/>
      <c r="C68" s="1624"/>
      <c r="D68" s="550"/>
      <c r="E68" s="550"/>
      <c r="F68" s="550"/>
      <c r="G68" s="550"/>
    </row>
    <row r="69" spans="1:7" ht="28.5" x14ac:dyDescent="0.25">
      <c r="A69" s="552"/>
      <c r="B69" s="553" t="s">
        <v>133</v>
      </c>
      <c r="C69" s="553" t="s">
        <v>545</v>
      </c>
      <c r="D69" s="550"/>
      <c r="E69" s="550"/>
      <c r="F69" s="550"/>
      <c r="G69" s="550"/>
    </row>
    <row r="70" spans="1:7" x14ac:dyDescent="0.25">
      <c r="A70" s="577" t="s">
        <v>355</v>
      </c>
      <c r="B70" s="592" t="s">
        <v>582</v>
      </c>
      <c r="C70" s="599"/>
      <c r="D70" s="550"/>
      <c r="E70" s="550"/>
      <c r="F70" s="550"/>
      <c r="G70" s="550"/>
    </row>
    <row r="71" spans="1:7" x14ac:dyDescent="0.25">
      <c r="A71" s="579" t="s">
        <v>356</v>
      </c>
      <c r="B71" s="592" t="s">
        <v>547</v>
      </c>
      <c r="C71" s="599">
        <f>+[7]GRUPOS!G247</f>
        <v>415.0333333333333</v>
      </c>
      <c r="D71" s="550"/>
      <c r="E71" s="550"/>
      <c r="F71" s="550"/>
      <c r="G71" s="550"/>
    </row>
    <row r="72" spans="1:7" x14ac:dyDescent="0.25">
      <c r="A72" s="579" t="s">
        <v>548</v>
      </c>
      <c r="B72" s="592" t="s">
        <v>549</v>
      </c>
      <c r="C72" s="599">
        <f>+[7]GRUPOS!G251</f>
        <v>81.215624999999989</v>
      </c>
      <c r="D72" s="550"/>
      <c r="E72" s="550"/>
      <c r="F72" s="550"/>
      <c r="G72" s="550"/>
    </row>
    <row r="73" spans="1:7" x14ac:dyDescent="0.25">
      <c r="A73" s="579" t="s">
        <v>365</v>
      </c>
      <c r="B73" s="600" t="s">
        <v>549</v>
      </c>
      <c r="C73" s="599">
        <f>+[7]GRUPOS!G256</f>
        <v>188.83828104575164</v>
      </c>
      <c r="D73" s="550"/>
      <c r="E73" s="550"/>
      <c r="F73" s="550"/>
      <c r="G73" s="550"/>
    </row>
    <row r="74" spans="1:7" x14ac:dyDescent="0.25">
      <c r="A74" s="560"/>
      <c r="B74" s="601"/>
      <c r="C74" s="602">
        <f>SUM(C71:C73)</f>
        <v>685.08723937908496</v>
      </c>
      <c r="D74" s="550"/>
      <c r="E74" s="550"/>
      <c r="F74" s="550"/>
      <c r="G74" s="550"/>
    </row>
    <row r="75" spans="1:7" x14ac:dyDescent="0.25">
      <c r="A75" s="559" t="s">
        <v>2</v>
      </c>
      <c r="B75" s="603"/>
      <c r="C75" s="604"/>
      <c r="D75" s="550"/>
      <c r="E75" s="550"/>
      <c r="F75" s="550"/>
      <c r="G75" s="550"/>
    </row>
    <row r="76" spans="1:7" x14ac:dyDescent="0.25">
      <c r="A76" s="554" t="s">
        <v>443</v>
      </c>
      <c r="B76" s="592" t="s">
        <v>549</v>
      </c>
      <c r="C76" s="599"/>
      <c r="D76" s="550"/>
      <c r="E76" s="550"/>
      <c r="F76" s="550"/>
      <c r="G76" s="550"/>
    </row>
    <row r="77" spans="1:7" x14ac:dyDescent="0.25">
      <c r="A77" s="557" t="s">
        <v>567</v>
      </c>
      <c r="B77" s="592" t="s">
        <v>579</v>
      </c>
      <c r="C77" s="599">
        <f>+[7]GRUPOS!G270</f>
        <v>168.56690151515156</v>
      </c>
      <c r="D77" s="550"/>
      <c r="E77" s="550"/>
      <c r="F77" s="550"/>
      <c r="G77" s="550"/>
    </row>
    <row r="78" spans="1:7" x14ac:dyDescent="0.25">
      <c r="A78" s="557" t="s">
        <v>569</v>
      </c>
      <c r="B78" s="592" t="s">
        <v>570</v>
      </c>
      <c r="C78" s="599">
        <f>+[7]GRUPOS!G285</f>
        <v>160.22331410256407</v>
      </c>
      <c r="D78" s="550"/>
      <c r="E78" s="550"/>
      <c r="F78" s="550"/>
      <c r="G78" s="550"/>
    </row>
    <row r="79" spans="1:7" x14ac:dyDescent="0.25">
      <c r="A79" s="559" t="s">
        <v>571</v>
      </c>
      <c r="B79" s="592" t="s">
        <v>549</v>
      </c>
      <c r="C79" s="599">
        <f>+[7]GRUPOS!G293</f>
        <v>67.311589371980673</v>
      </c>
      <c r="D79" s="550"/>
      <c r="E79" s="550"/>
      <c r="F79" s="550"/>
      <c r="G79" s="550"/>
    </row>
    <row r="80" spans="1:7" x14ac:dyDescent="0.25">
      <c r="A80" s="590"/>
      <c r="B80" s="605"/>
      <c r="C80" s="606">
        <f>SUM(C77:C79)</f>
        <v>396.10180498969629</v>
      </c>
      <c r="D80" s="550"/>
      <c r="E80" s="550"/>
      <c r="F80" s="550"/>
      <c r="G80" s="550"/>
    </row>
    <row r="81" spans="1:7" x14ac:dyDescent="0.25">
      <c r="A81" s="557"/>
      <c r="B81" s="607"/>
      <c r="C81" s="608"/>
      <c r="D81" s="550"/>
      <c r="E81" s="550"/>
      <c r="F81" s="550"/>
      <c r="G81" s="550"/>
    </row>
    <row r="82" spans="1:7" x14ac:dyDescent="0.25">
      <c r="A82" s="554" t="s">
        <v>572</v>
      </c>
      <c r="B82" s="600" t="s">
        <v>583</v>
      </c>
      <c r="C82" s="609">
        <f>+[7]GRUPOS!G296</f>
        <v>77.361666666666679</v>
      </c>
      <c r="D82" s="550"/>
      <c r="E82" s="550"/>
      <c r="F82" s="550"/>
      <c r="G82" s="550"/>
    </row>
    <row r="83" spans="1:7" x14ac:dyDescent="0.25">
      <c r="A83" s="554" t="s">
        <v>488</v>
      </c>
      <c r="B83" s="593" t="s">
        <v>549</v>
      </c>
      <c r="C83" s="610"/>
      <c r="D83" s="550"/>
      <c r="E83" s="550"/>
      <c r="F83" s="550"/>
      <c r="G83" s="550"/>
    </row>
    <row r="84" spans="1:7" x14ac:dyDescent="0.25">
      <c r="A84" s="557" t="s">
        <v>567</v>
      </c>
      <c r="B84" s="593" t="s">
        <v>549</v>
      </c>
      <c r="C84" s="599">
        <f>+[7]GRUPOS!G313</f>
        <v>137.76870378728412</v>
      </c>
      <c r="D84" s="550"/>
      <c r="E84" s="550"/>
      <c r="F84" s="550"/>
      <c r="G84" s="550"/>
    </row>
    <row r="85" spans="1:7" x14ac:dyDescent="0.25">
      <c r="A85" s="559" t="s">
        <v>571</v>
      </c>
      <c r="B85" s="593" t="s">
        <v>549</v>
      </c>
      <c r="C85" s="599">
        <f>+[7]GRUPOS!G320</f>
        <v>66.496166666666667</v>
      </c>
      <c r="D85" s="550"/>
      <c r="E85" s="550"/>
      <c r="F85" s="550"/>
      <c r="G85" s="550"/>
    </row>
    <row r="86" spans="1:7" x14ac:dyDescent="0.25">
      <c r="A86" s="579"/>
      <c r="B86" s="605"/>
      <c r="C86" s="611">
        <f>SUM(C84:C85)</f>
        <v>204.26487045395078</v>
      </c>
      <c r="D86" s="550"/>
      <c r="E86" s="550"/>
      <c r="F86" s="550"/>
      <c r="G86" s="550"/>
    </row>
    <row r="87" spans="1:7" x14ac:dyDescent="0.25">
      <c r="A87" s="583" t="s">
        <v>497</v>
      </c>
      <c r="B87" s="592" t="s">
        <v>565</v>
      </c>
      <c r="C87" s="610"/>
      <c r="D87" s="550"/>
      <c r="E87" s="550"/>
      <c r="F87" s="550"/>
      <c r="G87" s="550"/>
    </row>
    <row r="88" spans="1:7" x14ac:dyDescent="0.25">
      <c r="A88" s="612" t="s">
        <v>574</v>
      </c>
      <c r="B88" s="600" t="s">
        <v>575</v>
      </c>
      <c r="C88" s="599">
        <f>+[7]GRUPOS!N325</f>
        <v>993.29447570332468</v>
      </c>
      <c r="D88" s="550"/>
      <c r="E88" s="550"/>
      <c r="F88" s="550"/>
      <c r="G88" s="550"/>
    </row>
    <row r="89" spans="1:7" x14ac:dyDescent="0.25">
      <c r="A89" s="590" t="s">
        <v>571</v>
      </c>
      <c r="B89" s="582" t="s">
        <v>549</v>
      </c>
      <c r="C89" s="599">
        <f>+[7]GRUPOS!G335</f>
        <v>48.440894927536227</v>
      </c>
      <c r="D89" s="550"/>
      <c r="E89" s="550"/>
      <c r="F89" s="550"/>
      <c r="G89" s="550"/>
    </row>
    <row r="90" spans="1:7" x14ac:dyDescent="0.25">
      <c r="A90" s="587"/>
      <c r="B90" s="613"/>
      <c r="C90" s="602">
        <f>SUM(C88:C89)</f>
        <v>1041.7353706308609</v>
      </c>
      <c r="D90" s="550"/>
      <c r="E90" s="550"/>
      <c r="F90" s="550"/>
      <c r="G90" s="550"/>
    </row>
    <row r="91" spans="1:7" x14ac:dyDescent="0.25">
      <c r="A91" s="573" t="s">
        <v>576</v>
      </c>
      <c r="B91" s="614" t="s">
        <v>570</v>
      </c>
      <c r="C91" s="602">
        <f>+[7]GRUPOS!G350</f>
        <v>160.22331410256407</v>
      </c>
      <c r="D91" s="550"/>
      <c r="E91" s="550"/>
      <c r="F91" s="550"/>
      <c r="G91" s="550"/>
    </row>
    <row r="92" spans="1:7" x14ac:dyDescent="0.25">
      <c r="A92" s="583" t="s">
        <v>516</v>
      </c>
      <c r="B92" s="615" t="s">
        <v>584</v>
      </c>
      <c r="C92" s="606">
        <f>+[7]GRUPOS!G355</f>
        <v>54.202500000000008</v>
      </c>
      <c r="D92" s="550"/>
      <c r="E92" s="550"/>
      <c r="F92" s="550"/>
      <c r="G92" s="550"/>
    </row>
    <row r="93" spans="1:7" x14ac:dyDescent="0.25">
      <c r="A93" s="1620" t="s">
        <v>189</v>
      </c>
      <c r="B93" s="1621"/>
      <c r="C93" s="616">
        <f>C74+C80+C82+C86+C90+C91+C92</f>
        <v>2618.9767662228232</v>
      </c>
      <c r="D93" s="550"/>
      <c r="E93" s="550"/>
      <c r="F93" s="550"/>
      <c r="G93" s="550"/>
    </row>
    <row r="94" spans="1:7" x14ac:dyDescent="0.25">
      <c r="A94" s="617"/>
      <c r="B94" s="617"/>
      <c r="C94" s="571"/>
      <c r="D94" s="550"/>
      <c r="E94" s="550"/>
      <c r="F94" s="550"/>
      <c r="G94" s="550"/>
    </row>
    <row r="95" spans="1:7" x14ac:dyDescent="0.25">
      <c r="A95" s="617"/>
      <c r="B95" s="617"/>
      <c r="C95" s="571"/>
      <c r="D95" s="550"/>
      <c r="E95" s="550"/>
      <c r="F95" s="550"/>
      <c r="G95" s="550"/>
    </row>
    <row r="96" spans="1:7" x14ac:dyDescent="0.25">
      <c r="A96" s="1614" t="s">
        <v>585</v>
      </c>
      <c r="B96" s="1615"/>
      <c r="C96" s="1616"/>
      <c r="D96" s="550"/>
      <c r="E96" s="550"/>
      <c r="F96" s="550"/>
      <c r="G96" s="550"/>
    </row>
    <row r="97" spans="1:7" x14ac:dyDescent="0.25">
      <c r="A97" s="1622" t="s">
        <v>544</v>
      </c>
      <c r="B97" s="1623"/>
      <c r="C97" s="1624"/>
      <c r="D97" s="550"/>
      <c r="E97" s="550"/>
      <c r="F97" s="550"/>
      <c r="G97" s="550"/>
    </row>
    <row r="98" spans="1:7" ht="28.5" x14ac:dyDescent="0.25">
      <c r="A98" s="552"/>
      <c r="B98" s="553" t="s">
        <v>133</v>
      </c>
      <c r="C98" s="553" t="s">
        <v>545</v>
      </c>
      <c r="D98" s="550"/>
      <c r="E98" s="550"/>
      <c r="F98" s="550"/>
      <c r="G98" s="550"/>
    </row>
    <row r="99" spans="1:7" x14ac:dyDescent="0.25">
      <c r="A99" s="577" t="s">
        <v>355</v>
      </c>
      <c r="B99" s="555" t="s">
        <v>556</v>
      </c>
      <c r="C99" s="599"/>
      <c r="D99" s="550"/>
      <c r="E99" s="550"/>
      <c r="F99" s="550"/>
      <c r="G99" s="550"/>
    </row>
    <row r="100" spans="1:7" x14ac:dyDescent="0.25">
      <c r="A100" s="579" t="s">
        <v>356</v>
      </c>
      <c r="B100" s="555" t="s">
        <v>547</v>
      </c>
      <c r="C100" s="599">
        <f>+[7]GRUPOS!G361</f>
        <v>415.0333333333333</v>
      </c>
      <c r="D100" s="550"/>
      <c r="E100" s="550"/>
      <c r="F100" s="550"/>
      <c r="G100" s="550"/>
    </row>
    <row r="101" spans="1:7" x14ac:dyDescent="0.25">
      <c r="A101" s="579" t="s">
        <v>548</v>
      </c>
      <c r="B101" s="555" t="s">
        <v>549</v>
      </c>
      <c r="C101" s="599">
        <f>+[7]GRUPOS!G363</f>
        <v>78.263750000000002</v>
      </c>
      <c r="D101" s="550"/>
      <c r="E101" s="550"/>
      <c r="F101" s="550"/>
      <c r="G101" s="550"/>
    </row>
    <row r="102" spans="1:7" x14ac:dyDescent="0.25">
      <c r="A102" s="618" t="s">
        <v>365</v>
      </c>
      <c r="B102" s="619" t="s">
        <v>549</v>
      </c>
      <c r="C102" s="599">
        <f>+[7]GRUPOS!G369</f>
        <v>69.328500000000005</v>
      </c>
      <c r="D102" s="550"/>
      <c r="E102" s="550"/>
      <c r="F102" s="550"/>
      <c r="G102" s="550"/>
    </row>
    <row r="103" spans="1:7" x14ac:dyDescent="0.25">
      <c r="A103" s="560"/>
      <c r="B103" s="561"/>
      <c r="C103" s="620">
        <f>SUM(C100:C102)</f>
        <v>562.62558333333334</v>
      </c>
      <c r="D103" s="550"/>
      <c r="E103" s="550"/>
      <c r="F103" s="550"/>
      <c r="G103" s="550"/>
    </row>
    <row r="104" spans="1:7" x14ac:dyDescent="0.25">
      <c r="A104" s="621" t="s">
        <v>586</v>
      </c>
      <c r="B104" s="622" t="s">
        <v>549</v>
      </c>
      <c r="C104" s="623">
        <f>+[7]GRUPOS!G377</f>
        <v>22.648138179079549</v>
      </c>
      <c r="D104" s="550"/>
      <c r="E104" s="550"/>
      <c r="F104" s="550"/>
      <c r="G104" s="550"/>
    </row>
    <row r="105" spans="1:7" x14ac:dyDescent="0.25">
      <c r="A105" s="1620" t="s">
        <v>561</v>
      </c>
      <c r="B105" s="1621"/>
      <c r="C105" s="624">
        <f>SUM(C103:C104)</f>
        <v>585.27372151241286</v>
      </c>
      <c r="D105" s="550"/>
      <c r="E105" s="550"/>
      <c r="F105" s="550"/>
      <c r="G105" s="550"/>
    </row>
    <row r="106" spans="1:7" x14ac:dyDescent="0.25">
      <c r="A106" s="617"/>
      <c r="B106" s="617"/>
      <c r="C106" s="571"/>
      <c r="D106" s="550"/>
      <c r="E106" s="550"/>
      <c r="F106" s="550"/>
      <c r="G106" s="550"/>
    </row>
    <row r="107" spans="1:7" x14ac:dyDescent="0.25">
      <c r="A107" s="625"/>
      <c r="B107" s="618"/>
      <c r="C107" s="626"/>
      <c r="D107" s="550"/>
      <c r="E107" s="550"/>
      <c r="F107" s="550"/>
      <c r="G107" s="550"/>
    </row>
    <row r="108" spans="1:7" x14ac:dyDescent="0.25">
      <c r="A108" s="550"/>
      <c r="B108" s="550"/>
      <c r="C108" s="550"/>
      <c r="D108" s="550"/>
      <c r="E108" s="550"/>
      <c r="F108" s="550"/>
      <c r="G108" s="550"/>
    </row>
    <row r="109" spans="1:7" ht="38.1" customHeight="1" x14ac:dyDescent="0.25">
      <c r="A109" s="1625" t="s">
        <v>587</v>
      </c>
      <c r="B109" s="1625"/>
      <c r="C109" s="627">
        <f>C21*15</f>
        <v>23705.034143885299</v>
      </c>
      <c r="D109" s="550"/>
      <c r="E109" s="550"/>
      <c r="F109" s="550"/>
      <c r="G109" s="550"/>
    </row>
    <row r="110" spans="1:7" ht="38.1" customHeight="1" x14ac:dyDescent="0.25">
      <c r="A110" s="1626" t="s">
        <v>588</v>
      </c>
      <c r="B110" s="1627"/>
      <c r="C110" s="627">
        <f>C109*30</f>
        <v>711151.02431655896</v>
      </c>
      <c r="D110" s="550"/>
      <c r="E110" s="550"/>
      <c r="F110" s="550"/>
      <c r="G110" s="550"/>
    </row>
    <row r="111" spans="1:7" ht="17.25" customHeight="1" x14ac:dyDescent="0.25">
      <c r="A111" s="628"/>
      <c r="B111" s="628"/>
      <c r="C111" s="629"/>
      <c r="D111" s="550"/>
      <c r="E111" s="550"/>
      <c r="F111" s="550"/>
      <c r="G111" s="550"/>
    </row>
    <row r="112" spans="1:7" ht="38.1" customHeight="1" x14ac:dyDescent="0.25">
      <c r="A112" s="1625" t="s">
        <v>589</v>
      </c>
      <c r="B112" s="1625"/>
      <c r="C112" s="630">
        <f>C30*15</f>
        <v>11460.33505350674</v>
      </c>
      <c r="D112" s="550"/>
      <c r="E112" s="550"/>
      <c r="F112" s="550"/>
      <c r="G112" s="550"/>
    </row>
    <row r="113" spans="1:7" ht="38.1" customHeight="1" x14ac:dyDescent="0.25">
      <c r="A113" s="1626" t="s">
        <v>590</v>
      </c>
      <c r="B113" s="1627"/>
      <c r="C113" s="630">
        <f>C112*30</f>
        <v>343810.0516052022</v>
      </c>
      <c r="D113" s="550"/>
      <c r="E113" s="550"/>
      <c r="F113" s="550"/>
      <c r="G113" s="550"/>
    </row>
    <row r="114" spans="1:7" ht="17.25" customHeight="1" x14ac:dyDescent="0.25">
      <c r="A114" s="550"/>
      <c r="B114" s="550"/>
      <c r="C114" s="631"/>
      <c r="D114" s="550"/>
      <c r="E114" s="550"/>
      <c r="F114" s="550"/>
      <c r="G114" s="550"/>
    </row>
    <row r="115" spans="1:7" ht="38.1" customHeight="1" x14ac:dyDescent="0.25">
      <c r="A115" s="1625" t="s">
        <v>591</v>
      </c>
      <c r="B115" s="1625"/>
      <c r="C115" s="632">
        <f>C56*15</f>
        <v>43116.788118955075</v>
      </c>
      <c r="D115" s="550"/>
      <c r="E115" s="550"/>
      <c r="F115" s="550"/>
      <c r="G115" s="550"/>
    </row>
    <row r="116" spans="1:7" ht="38.1" customHeight="1" x14ac:dyDescent="0.25">
      <c r="A116" s="1626" t="s">
        <v>613</v>
      </c>
      <c r="B116" s="1627"/>
      <c r="C116" s="632">
        <f>C115*30</f>
        <v>1293503.6435686522</v>
      </c>
      <c r="D116" s="550"/>
      <c r="E116" s="550"/>
      <c r="F116" s="550"/>
      <c r="G116" s="550"/>
    </row>
    <row r="117" spans="1:7" ht="38.1" customHeight="1" x14ac:dyDescent="0.25">
      <c r="A117" s="550"/>
      <c r="B117" s="550"/>
      <c r="C117" s="631"/>
      <c r="D117" s="550"/>
      <c r="E117" s="550"/>
      <c r="F117" s="550"/>
      <c r="G117" s="550"/>
    </row>
    <row r="118" spans="1:7" ht="38.1" customHeight="1" x14ac:dyDescent="0.25">
      <c r="A118" s="1625" t="s">
        <v>592</v>
      </c>
      <c r="B118" s="1625"/>
      <c r="C118" s="633">
        <f>C65*15</f>
        <v>8794.2069582686454</v>
      </c>
      <c r="D118" s="550"/>
      <c r="E118" s="550"/>
      <c r="F118" s="550"/>
      <c r="G118" s="550"/>
    </row>
    <row r="119" spans="1:7" ht="38.1" customHeight="1" x14ac:dyDescent="0.25">
      <c r="A119" s="1626" t="s">
        <v>593</v>
      </c>
      <c r="B119" s="1627"/>
      <c r="C119" s="633">
        <f>C118*30</f>
        <v>263826.20874805935</v>
      </c>
      <c r="D119" s="550"/>
      <c r="E119" s="550"/>
      <c r="F119" s="550"/>
      <c r="G119" s="550"/>
    </row>
    <row r="120" spans="1:7" ht="19.5" customHeight="1" x14ac:dyDescent="0.25">
      <c r="A120" s="550"/>
      <c r="B120" s="550"/>
      <c r="C120" s="631"/>
      <c r="D120" s="550"/>
      <c r="E120" s="550"/>
      <c r="F120" s="550"/>
      <c r="G120" s="550"/>
    </row>
    <row r="121" spans="1:7" ht="38.1" customHeight="1" x14ac:dyDescent="0.25">
      <c r="A121" s="1625" t="s">
        <v>594</v>
      </c>
      <c r="B121" s="1625"/>
      <c r="C121" s="634">
        <f>C93*15</f>
        <v>39284.651493342346</v>
      </c>
      <c r="D121" s="550"/>
      <c r="E121" s="550"/>
      <c r="F121" s="550"/>
      <c r="G121" s="550"/>
    </row>
    <row r="122" spans="1:7" ht="38.1" customHeight="1" x14ac:dyDescent="0.25">
      <c r="A122" s="1626" t="s">
        <v>595</v>
      </c>
      <c r="B122" s="1627"/>
      <c r="C122" s="634">
        <f>C121*30</f>
        <v>1178539.5448002703</v>
      </c>
      <c r="D122" s="550"/>
      <c r="E122" s="550"/>
      <c r="F122" s="550"/>
      <c r="G122" s="550"/>
    </row>
    <row r="123" spans="1:7" ht="38.1" customHeight="1" x14ac:dyDescent="0.25">
      <c r="A123" s="550"/>
      <c r="B123" s="550"/>
      <c r="C123" s="631"/>
      <c r="D123" s="550"/>
      <c r="E123" s="550"/>
      <c r="F123" s="550"/>
      <c r="G123" s="550"/>
    </row>
    <row r="124" spans="1:7" ht="38.1" customHeight="1" x14ac:dyDescent="0.25">
      <c r="A124" s="1625" t="s">
        <v>596</v>
      </c>
      <c r="B124" s="1625"/>
      <c r="C124" s="635">
        <f>C105*15</f>
        <v>8779.1058226861933</v>
      </c>
      <c r="D124" s="550"/>
      <c r="E124" s="550"/>
      <c r="F124" s="550"/>
      <c r="G124" s="550"/>
    </row>
    <row r="125" spans="1:7" ht="38.1" customHeight="1" x14ac:dyDescent="0.25">
      <c r="A125" s="1626" t="s">
        <v>597</v>
      </c>
      <c r="B125" s="1627"/>
      <c r="C125" s="635">
        <f>C124*30</f>
        <v>263373.1746805858</v>
      </c>
      <c r="D125" s="550"/>
      <c r="E125" s="550"/>
      <c r="F125" s="550"/>
      <c r="G125" s="550"/>
    </row>
    <row r="126" spans="1:7" ht="16.5" customHeight="1" x14ac:dyDescent="0.25">
      <c r="A126" s="628"/>
      <c r="B126" s="628"/>
      <c r="C126" s="629"/>
      <c r="D126" s="550"/>
      <c r="E126" s="550"/>
      <c r="F126" s="550"/>
      <c r="G126" s="550"/>
    </row>
    <row r="127" spans="1:7" ht="38.1" customHeight="1" x14ac:dyDescent="0.25">
      <c r="A127" s="1628" t="s">
        <v>598</v>
      </c>
      <c r="B127" s="1628"/>
      <c r="C127" s="636">
        <f>C109+C112+C115+C118+C121+C124</f>
        <v>135140.1215906443</v>
      </c>
      <c r="D127" s="550"/>
      <c r="E127" s="550"/>
      <c r="F127" s="550"/>
      <c r="G127" s="550"/>
    </row>
    <row r="128" spans="1:7" ht="38.1" customHeight="1" x14ac:dyDescent="0.25">
      <c r="A128" s="1620" t="s">
        <v>599</v>
      </c>
      <c r="B128" s="1621"/>
      <c r="C128" s="636">
        <f>C110+C113+C116+C119+C122+C125</f>
        <v>4054203.6477193292</v>
      </c>
      <c r="D128" s="550"/>
      <c r="E128" s="550"/>
      <c r="F128" s="550"/>
      <c r="G128" s="550"/>
    </row>
    <row r="129" spans="1:7" ht="23.25" customHeight="1" x14ac:dyDescent="0.25">
      <c r="A129" s="637"/>
      <c r="B129" s="637"/>
      <c r="C129" s="637"/>
      <c r="E129" s="637"/>
      <c r="F129" s="637"/>
      <c r="G129" s="550"/>
    </row>
    <row r="130" spans="1:7" ht="38.1" customHeight="1" x14ac:dyDescent="0.25">
      <c r="A130" s="1629" t="s">
        <v>600</v>
      </c>
      <c r="B130" s="1630"/>
      <c r="C130" s="638" t="e">
        <f>+C128*D8</f>
        <v>#REF!</v>
      </c>
      <c r="E130" s="550"/>
      <c r="F130" s="550"/>
      <c r="G130" s="550"/>
    </row>
    <row r="131" spans="1:7" ht="20.100000000000001" customHeight="1" x14ac:dyDescent="0.25">
      <c r="C131" s="550"/>
      <c r="D131" s="550"/>
      <c r="E131" s="550"/>
      <c r="F131" s="550"/>
      <c r="G131" s="550"/>
    </row>
    <row r="132" spans="1:7" x14ac:dyDescent="0.25">
      <c r="C132" s="550"/>
      <c r="D132" s="550"/>
      <c r="E132" s="550"/>
      <c r="F132" s="550"/>
      <c r="G132" s="550"/>
    </row>
    <row r="133" spans="1:7" x14ac:dyDescent="0.25">
      <c r="C133" s="550"/>
      <c r="D133" s="550"/>
      <c r="E133" s="550"/>
      <c r="F133" s="550"/>
      <c r="G133" s="550"/>
    </row>
    <row r="134" spans="1:7" ht="15.75" thickBot="1" x14ac:dyDescent="0.3">
      <c r="A134" s="650" t="e">
        <f>+#REF!</f>
        <v>#REF!</v>
      </c>
      <c r="B134" s="651" t="e">
        <f>+#REF!</f>
        <v>#REF!</v>
      </c>
      <c r="D134" s="550"/>
      <c r="E134" s="550"/>
      <c r="F134" s="550"/>
      <c r="G134" s="550"/>
    </row>
    <row r="135" spans="1:7" x14ac:dyDescent="0.25">
      <c r="A135" s="550"/>
      <c r="B135" s="550"/>
      <c r="C135" s="550"/>
      <c r="D135" s="550"/>
      <c r="E135" s="550"/>
      <c r="F135" s="550"/>
      <c r="G135" s="550"/>
    </row>
    <row r="136" spans="1:7" x14ac:dyDescent="0.25">
      <c r="A136" s="550"/>
      <c r="B136" s="550"/>
      <c r="C136" s="550"/>
      <c r="D136" s="550"/>
      <c r="E136" s="550"/>
      <c r="F136" s="550"/>
      <c r="G136" s="550"/>
    </row>
    <row r="137" spans="1:7" x14ac:dyDescent="0.25">
      <c r="A137" s="550"/>
      <c r="B137" s="550"/>
      <c r="C137" s="550"/>
      <c r="D137" s="550"/>
      <c r="E137" s="550"/>
      <c r="F137" s="550"/>
      <c r="G137" s="550"/>
    </row>
    <row r="138" spans="1:7" x14ac:dyDescent="0.25">
      <c r="A138" s="550"/>
      <c r="B138" s="550"/>
      <c r="C138" s="550"/>
      <c r="D138" s="550"/>
      <c r="E138" s="550"/>
      <c r="F138" s="550"/>
      <c r="G138" s="550"/>
    </row>
    <row r="139" spans="1:7" x14ac:dyDescent="0.25">
      <c r="A139" s="550"/>
      <c r="B139" s="550"/>
      <c r="C139" s="550"/>
      <c r="D139" s="550"/>
      <c r="E139" s="550"/>
      <c r="F139" s="550"/>
      <c r="G139" s="550"/>
    </row>
    <row r="140" spans="1:7" x14ac:dyDescent="0.25">
      <c r="A140" s="550"/>
      <c r="B140" s="550"/>
      <c r="C140" s="550"/>
      <c r="D140" s="550"/>
      <c r="E140" s="550"/>
      <c r="F140" s="550"/>
      <c r="G140" s="550"/>
    </row>
    <row r="141" spans="1:7" x14ac:dyDescent="0.25">
      <c r="A141" s="550"/>
      <c r="B141" s="550"/>
      <c r="C141" s="550"/>
      <c r="D141" s="550"/>
      <c r="E141" s="550"/>
      <c r="F141" s="550"/>
      <c r="G141" s="550"/>
    </row>
    <row r="142" spans="1:7" x14ac:dyDescent="0.25">
      <c r="A142" s="550"/>
      <c r="B142" s="550"/>
      <c r="C142" s="550"/>
      <c r="D142" s="550"/>
      <c r="E142" s="550"/>
      <c r="F142" s="550"/>
      <c r="G142" s="550"/>
    </row>
    <row r="143" spans="1:7" x14ac:dyDescent="0.25">
      <c r="A143" s="550"/>
      <c r="B143" s="550"/>
      <c r="C143" s="550"/>
      <c r="D143" s="550"/>
      <c r="E143" s="550"/>
      <c r="F143" s="550"/>
      <c r="G143" s="550"/>
    </row>
    <row r="144" spans="1:7" x14ac:dyDescent="0.25">
      <c r="A144" s="550"/>
      <c r="B144" s="550"/>
      <c r="C144" s="550"/>
      <c r="D144" s="550"/>
      <c r="E144" s="550"/>
      <c r="F144" s="550"/>
      <c r="G144" s="550"/>
    </row>
    <row r="145" spans="1:7" x14ac:dyDescent="0.25">
      <c r="A145" s="550"/>
      <c r="B145" s="550"/>
      <c r="C145" s="550"/>
      <c r="D145" s="550"/>
      <c r="E145" s="550"/>
      <c r="F145" s="550"/>
      <c r="G145" s="550"/>
    </row>
    <row r="146" spans="1:7" x14ac:dyDescent="0.25">
      <c r="A146" s="550"/>
      <c r="B146" s="550"/>
      <c r="C146" s="550"/>
      <c r="D146" s="550"/>
      <c r="E146" s="550"/>
      <c r="F146" s="550"/>
      <c r="G146" s="550"/>
    </row>
    <row r="147" spans="1:7" x14ac:dyDescent="0.25">
      <c r="A147" s="550"/>
      <c r="B147" s="550"/>
      <c r="C147" s="550"/>
      <c r="D147" s="550"/>
      <c r="E147" s="550"/>
      <c r="F147" s="550"/>
      <c r="G147" s="550"/>
    </row>
    <row r="148" spans="1:7" x14ac:dyDescent="0.25">
      <c r="A148" s="550"/>
      <c r="B148" s="550"/>
      <c r="C148" s="550"/>
      <c r="D148" s="550"/>
      <c r="E148" s="550"/>
      <c r="F148" s="550"/>
      <c r="G148" s="550"/>
    </row>
    <row r="149" spans="1:7" x14ac:dyDescent="0.25">
      <c r="A149" s="550"/>
      <c r="B149" s="550"/>
      <c r="C149" s="550"/>
      <c r="D149" s="550"/>
      <c r="E149" s="550"/>
      <c r="F149" s="550"/>
      <c r="G149" s="550"/>
    </row>
    <row r="150" spans="1:7" x14ac:dyDescent="0.25">
      <c r="A150" s="550"/>
      <c r="B150" s="550"/>
      <c r="C150" s="550"/>
      <c r="D150" s="550"/>
      <c r="E150" s="550"/>
      <c r="F150" s="550"/>
      <c r="G150" s="550"/>
    </row>
    <row r="151" spans="1:7" x14ac:dyDescent="0.25">
      <c r="A151" s="550"/>
      <c r="B151" s="550"/>
      <c r="C151" s="550"/>
      <c r="D151" s="550"/>
      <c r="E151" s="550"/>
      <c r="F151" s="550"/>
      <c r="G151" s="550"/>
    </row>
    <row r="152" spans="1:7" x14ac:dyDescent="0.25">
      <c r="A152" s="550"/>
      <c r="B152" s="550"/>
      <c r="C152" s="550"/>
      <c r="D152" s="550"/>
      <c r="E152" s="550"/>
      <c r="F152" s="550"/>
      <c r="G152" s="550"/>
    </row>
    <row r="153" spans="1:7" x14ac:dyDescent="0.25">
      <c r="A153" s="550"/>
      <c r="B153" s="550"/>
      <c r="C153" s="550"/>
      <c r="D153" s="550"/>
      <c r="E153" s="550"/>
      <c r="F153" s="550"/>
      <c r="G153" s="550"/>
    </row>
    <row r="154" spans="1:7" x14ac:dyDescent="0.25">
      <c r="A154" s="550"/>
      <c r="B154" s="550"/>
      <c r="C154" s="550"/>
      <c r="D154" s="550"/>
      <c r="E154" s="550"/>
      <c r="F154" s="550"/>
      <c r="G154" s="550"/>
    </row>
    <row r="155" spans="1:7" x14ac:dyDescent="0.25">
      <c r="A155" s="550"/>
      <c r="B155" s="550"/>
      <c r="C155" s="550"/>
      <c r="D155" s="550"/>
      <c r="E155" s="550"/>
      <c r="F155" s="550"/>
      <c r="G155" s="550"/>
    </row>
    <row r="156" spans="1:7" x14ac:dyDescent="0.25">
      <c r="A156" s="550"/>
      <c r="B156" s="550"/>
      <c r="C156" s="550"/>
      <c r="D156" s="550"/>
      <c r="E156" s="550"/>
      <c r="F156" s="550"/>
      <c r="G156" s="550"/>
    </row>
    <row r="157" spans="1:7" x14ac:dyDescent="0.25">
      <c r="A157" s="550"/>
      <c r="B157" s="550"/>
      <c r="C157" s="550"/>
      <c r="D157" s="550"/>
      <c r="E157" s="550"/>
      <c r="F157" s="550"/>
      <c r="G157" s="550"/>
    </row>
    <row r="158" spans="1:7" x14ac:dyDescent="0.25">
      <c r="A158" s="550"/>
      <c r="B158" s="550"/>
      <c r="C158" s="550"/>
      <c r="D158" s="550"/>
      <c r="E158" s="550"/>
      <c r="F158" s="550"/>
      <c r="G158" s="550"/>
    </row>
    <row r="159" spans="1:7" x14ac:dyDescent="0.25">
      <c r="A159" s="550"/>
      <c r="B159" s="550"/>
      <c r="C159" s="550"/>
      <c r="D159" s="550"/>
      <c r="E159" s="550"/>
      <c r="F159" s="550"/>
      <c r="G159" s="550"/>
    </row>
    <row r="160" spans="1:7" x14ac:dyDescent="0.25">
      <c r="A160" s="550"/>
      <c r="B160" s="550"/>
      <c r="C160" s="550"/>
      <c r="D160" s="550"/>
      <c r="E160" s="550"/>
      <c r="F160" s="550"/>
      <c r="G160" s="550"/>
    </row>
    <row r="161" spans="1:7" x14ac:dyDescent="0.25">
      <c r="A161" s="550"/>
      <c r="B161" s="550"/>
      <c r="C161" s="550"/>
      <c r="D161" s="550"/>
      <c r="E161" s="550"/>
      <c r="F161" s="550"/>
      <c r="G161" s="550"/>
    </row>
    <row r="162" spans="1:7" x14ac:dyDescent="0.25">
      <c r="A162" s="550"/>
      <c r="B162" s="550"/>
      <c r="C162" s="550"/>
      <c r="D162" s="550"/>
      <c r="E162" s="550"/>
      <c r="F162" s="550"/>
      <c r="G162" s="550"/>
    </row>
    <row r="163" spans="1:7" x14ac:dyDescent="0.25">
      <c r="A163" s="550"/>
      <c r="B163" s="550"/>
      <c r="C163" s="550"/>
      <c r="D163" s="550"/>
      <c r="E163" s="550"/>
      <c r="F163" s="550"/>
      <c r="G163" s="550"/>
    </row>
    <row r="164" spans="1:7" x14ac:dyDescent="0.25">
      <c r="A164" s="550"/>
      <c r="B164" s="550"/>
      <c r="C164" s="550"/>
      <c r="D164" s="550"/>
      <c r="E164" s="550"/>
      <c r="F164" s="550"/>
      <c r="G164" s="550"/>
    </row>
    <row r="165" spans="1:7" x14ac:dyDescent="0.25">
      <c r="A165" s="550"/>
      <c r="B165" s="550"/>
      <c r="C165" s="550"/>
      <c r="D165" s="550"/>
      <c r="E165" s="550"/>
      <c r="F165" s="550"/>
      <c r="G165" s="550"/>
    </row>
    <row r="166" spans="1:7" x14ac:dyDescent="0.25">
      <c r="A166" s="550"/>
      <c r="B166" s="550"/>
      <c r="C166" s="550"/>
      <c r="D166" s="550"/>
      <c r="E166" s="550"/>
      <c r="F166" s="550"/>
      <c r="G166" s="550"/>
    </row>
    <row r="167" spans="1:7" x14ac:dyDescent="0.25">
      <c r="A167" s="550"/>
      <c r="B167" s="550"/>
      <c r="C167" s="550"/>
      <c r="D167" s="550"/>
      <c r="E167" s="550"/>
      <c r="F167" s="550"/>
      <c r="G167" s="550"/>
    </row>
    <row r="168" spans="1:7" x14ac:dyDescent="0.25">
      <c r="A168" s="550"/>
      <c r="B168" s="550"/>
      <c r="C168" s="550"/>
      <c r="D168" s="550"/>
      <c r="E168" s="550"/>
      <c r="F168" s="550"/>
      <c r="G168" s="550"/>
    </row>
    <row r="169" spans="1:7" x14ac:dyDescent="0.25">
      <c r="A169" s="550"/>
      <c r="B169" s="550"/>
      <c r="C169" s="550"/>
      <c r="D169" s="550"/>
      <c r="E169" s="550"/>
      <c r="F169" s="550"/>
      <c r="G169" s="550"/>
    </row>
    <row r="170" spans="1:7" x14ac:dyDescent="0.25">
      <c r="A170" s="550"/>
      <c r="B170" s="550"/>
      <c r="C170" s="550"/>
      <c r="D170" s="550"/>
      <c r="E170" s="550"/>
      <c r="F170" s="550"/>
      <c r="G170" s="550"/>
    </row>
    <row r="171" spans="1:7" x14ac:dyDescent="0.25">
      <c r="A171" s="550"/>
      <c r="B171" s="550"/>
      <c r="C171" s="550"/>
      <c r="D171" s="550"/>
      <c r="E171" s="550"/>
      <c r="F171" s="550"/>
      <c r="G171" s="550"/>
    </row>
    <row r="172" spans="1:7" x14ac:dyDescent="0.25">
      <c r="A172" s="550"/>
      <c r="B172" s="550"/>
      <c r="C172" s="550"/>
      <c r="D172" s="550"/>
      <c r="E172" s="550"/>
      <c r="F172" s="550"/>
      <c r="G172" s="550"/>
    </row>
    <row r="173" spans="1:7" x14ac:dyDescent="0.25">
      <c r="A173" s="550"/>
      <c r="B173" s="550"/>
      <c r="C173" s="550"/>
      <c r="D173" s="550"/>
      <c r="E173" s="550"/>
      <c r="F173" s="550"/>
      <c r="G173" s="550"/>
    </row>
    <row r="174" spans="1:7" x14ac:dyDescent="0.25">
      <c r="A174" s="550"/>
      <c r="B174" s="550"/>
      <c r="C174" s="550"/>
      <c r="D174" s="550"/>
      <c r="E174" s="550"/>
      <c r="F174" s="550"/>
      <c r="G174" s="550"/>
    </row>
    <row r="175" spans="1:7" x14ac:dyDescent="0.25">
      <c r="A175" s="550"/>
      <c r="B175" s="550"/>
      <c r="C175" s="550"/>
      <c r="D175" s="550"/>
      <c r="E175" s="550"/>
      <c r="F175" s="550"/>
      <c r="G175" s="550"/>
    </row>
    <row r="176" spans="1:7" x14ac:dyDescent="0.25">
      <c r="A176" s="550"/>
      <c r="B176" s="550"/>
      <c r="C176" s="550"/>
      <c r="D176" s="550"/>
      <c r="E176" s="550"/>
      <c r="F176" s="550"/>
      <c r="G176" s="550"/>
    </row>
    <row r="177" spans="1:7" x14ac:dyDescent="0.25">
      <c r="A177" s="550"/>
      <c r="B177" s="550"/>
      <c r="C177" s="550"/>
      <c r="D177" s="550"/>
      <c r="E177" s="550"/>
      <c r="F177" s="550"/>
      <c r="G177" s="550"/>
    </row>
    <row r="178" spans="1:7" x14ac:dyDescent="0.25">
      <c r="A178" s="550"/>
      <c r="B178" s="550"/>
      <c r="C178" s="550"/>
      <c r="D178" s="550"/>
      <c r="E178" s="550"/>
      <c r="F178" s="550"/>
      <c r="G178" s="550"/>
    </row>
    <row r="179" spans="1:7" x14ac:dyDescent="0.25">
      <c r="A179" s="550"/>
      <c r="B179" s="550"/>
      <c r="C179" s="550"/>
      <c r="D179" s="550"/>
      <c r="E179" s="550"/>
      <c r="F179" s="550"/>
      <c r="G179" s="550"/>
    </row>
    <row r="180" spans="1:7" x14ac:dyDescent="0.25">
      <c r="A180" s="550"/>
      <c r="B180" s="550"/>
      <c r="C180" s="550"/>
      <c r="D180" s="550"/>
      <c r="E180" s="550"/>
      <c r="F180" s="550"/>
      <c r="G180" s="550"/>
    </row>
    <row r="181" spans="1:7" x14ac:dyDescent="0.25">
      <c r="A181" s="550"/>
      <c r="B181" s="550"/>
      <c r="C181" s="550"/>
      <c r="D181" s="550"/>
      <c r="E181" s="550"/>
      <c r="F181" s="550"/>
      <c r="G181" s="550"/>
    </row>
    <row r="182" spans="1:7" x14ac:dyDescent="0.25">
      <c r="A182" s="550"/>
      <c r="B182" s="550"/>
      <c r="C182" s="550"/>
      <c r="D182" s="550"/>
      <c r="E182" s="550"/>
      <c r="F182" s="550"/>
      <c r="G182" s="550"/>
    </row>
    <row r="183" spans="1:7" x14ac:dyDescent="0.25">
      <c r="A183" s="550"/>
      <c r="B183" s="550"/>
      <c r="C183" s="550"/>
      <c r="D183" s="550"/>
      <c r="E183" s="550"/>
      <c r="F183" s="550"/>
      <c r="G183" s="550"/>
    </row>
    <row r="184" spans="1:7" x14ac:dyDescent="0.25">
      <c r="A184" s="550"/>
      <c r="B184" s="550"/>
      <c r="C184" s="550"/>
      <c r="D184" s="550"/>
      <c r="E184" s="550"/>
      <c r="F184" s="550"/>
      <c r="G184" s="550"/>
    </row>
    <row r="185" spans="1:7" x14ac:dyDescent="0.25">
      <c r="A185" s="550"/>
      <c r="B185" s="550"/>
      <c r="C185" s="550"/>
      <c r="D185" s="550"/>
      <c r="E185" s="550"/>
      <c r="F185" s="550"/>
      <c r="G185" s="550"/>
    </row>
    <row r="186" spans="1:7" x14ac:dyDescent="0.25">
      <c r="A186" s="550"/>
      <c r="B186" s="550"/>
      <c r="C186" s="550"/>
      <c r="D186" s="550"/>
      <c r="E186" s="550"/>
      <c r="F186" s="550"/>
      <c r="G186" s="550"/>
    </row>
    <row r="187" spans="1:7" x14ac:dyDescent="0.25">
      <c r="A187" s="550"/>
      <c r="B187" s="550"/>
      <c r="C187" s="550"/>
      <c r="D187" s="550"/>
      <c r="E187" s="550"/>
      <c r="F187" s="550"/>
      <c r="G187" s="550"/>
    </row>
    <row r="188" spans="1:7" x14ac:dyDescent="0.25">
      <c r="A188" s="550"/>
      <c r="B188" s="550"/>
      <c r="C188" s="550"/>
      <c r="D188" s="550"/>
      <c r="E188" s="550"/>
      <c r="F188" s="550"/>
      <c r="G188" s="550"/>
    </row>
    <row r="189" spans="1:7" x14ac:dyDescent="0.25">
      <c r="A189" s="550"/>
      <c r="B189" s="550"/>
      <c r="C189" s="550"/>
      <c r="D189" s="550"/>
      <c r="E189" s="550"/>
      <c r="F189" s="550"/>
      <c r="G189" s="550"/>
    </row>
    <row r="190" spans="1:7" x14ac:dyDescent="0.25">
      <c r="A190" s="550"/>
      <c r="B190" s="550"/>
      <c r="C190" s="550"/>
      <c r="D190" s="550"/>
      <c r="E190" s="550"/>
      <c r="F190" s="550"/>
      <c r="G190" s="550"/>
    </row>
    <row r="191" spans="1:7" x14ac:dyDescent="0.25">
      <c r="A191" s="550"/>
      <c r="B191" s="550"/>
      <c r="C191" s="550"/>
      <c r="D191" s="550"/>
      <c r="E191" s="550"/>
      <c r="F191" s="550"/>
      <c r="G191" s="550"/>
    </row>
    <row r="192" spans="1:7" x14ac:dyDescent="0.25">
      <c r="A192" s="550"/>
      <c r="B192" s="550"/>
      <c r="C192" s="550"/>
      <c r="D192" s="550"/>
      <c r="E192" s="550"/>
      <c r="F192" s="550"/>
      <c r="G192" s="550"/>
    </row>
    <row r="193" spans="1:7" x14ac:dyDescent="0.25">
      <c r="A193" s="550"/>
      <c r="B193" s="550"/>
      <c r="C193" s="550"/>
      <c r="D193" s="550"/>
      <c r="E193" s="550"/>
      <c r="F193" s="550"/>
      <c r="G193" s="550"/>
    </row>
    <row r="194" spans="1:7" x14ac:dyDescent="0.25">
      <c r="A194" s="550"/>
      <c r="B194" s="550"/>
      <c r="C194" s="550"/>
      <c r="D194" s="550"/>
      <c r="E194" s="550"/>
      <c r="F194" s="550"/>
      <c r="G194" s="550"/>
    </row>
    <row r="195" spans="1:7" x14ac:dyDescent="0.25">
      <c r="A195" s="550"/>
      <c r="B195" s="550"/>
      <c r="C195" s="550"/>
      <c r="D195" s="550"/>
      <c r="E195" s="550"/>
      <c r="F195" s="550"/>
      <c r="G195" s="550"/>
    </row>
    <row r="196" spans="1:7" x14ac:dyDescent="0.25">
      <c r="A196" s="550"/>
      <c r="B196" s="550"/>
      <c r="C196" s="550"/>
      <c r="D196" s="550"/>
      <c r="E196" s="550"/>
      <c r="F196" s="550"/>
      <c r="G196" s="550"/>
    </row>
    <row r="197" spans="1:7" x14ac:dyDescent="0.25">
      <c r="A197" s="550"/>
      <c r="B197" s="550"/>
      <c r="C197" s="550"/>
      <c r="D197" s="550"/>
      <c r="E197" s="550"/>
      <c r="F197" s="550"/>
      <c r="G197" s="550"/>
    </row>
    <row r="198" spans="1:7" x14ac:dyDescent="0.25">
      <c r="A198" s="550"/>
      <c r="B198" s="550"/>
      <c r="C198" s="550"/>
      <c r="D198" s="550"/>
      <c r="E198" s="550"/>
      <c r="F198" s="550"/>
      <c r="G198" s="550"/>
    </row>
    <row r="199" spans="1:7" x14ac:dyDescent="0.25">
      <c r="A199" s="550"/>
      <c r="B199" s="550"/>
      <c r="C199" s="550"/>
      <c r="D199" s="550"/>
      <c r="E199" s="550"/>
      <c r="F199" s="550"/>
      <c r="G199" s="550"/>
    </row>
    <row r="200" spans="1:7" x14ac:dyDescent="0.25">
      <c r="A200" s="550"/>
      <c r="B200" s="550"/>
      <c r="C200" s="550"/>
      <c r="D200" s="550"/>
      <c r="E200" s="550"/>
      <c r="F200" s="550"/>
      <c r="G200" s="550"/>
    </row>
    <row r="201" spans="1:7" x14ac:dyDescent="0.25">
      <c r="A201" s="550"/>
      <c r="B201" s="550"/>
      <c r="C201" s="550"/>
      <c r="D201" s="550"/>
      <c r="E201" s="550"/>
      <c r="F201" s="550"/>
      <c r="G201" s="550"/>
    </row>
    <row r="202" spans="1:7" x14ac:dyDescent="0.25">
      <c r="A202" s="550"/>
      <c r="B202" s="550"/>
      <c r="C202" s="550"/>
      <c r="D202" s="550"/>
      <c r="E202" s="550"/>
      <c r="F202" s="550"/>
      <c r="G202" s="550"/>
    </row>
    <row r="203" spans="1:7" x14ac:dyDescent="0.25">
      <c r="A203" s="550"/>
      <c r="B203" s="550"/>
      <c r="C203" s="550"/>
      <c r="D203" s="550"/>
      <c r="E203" s="550"/>
      <c r="F203" s="550"/>
      <c r="G203" s="550"/>
    </row>
    <row r="204" spans="1:7" x14ac:dyDescent="0.25">
      <c r="A204" s="550"/>
      <c r="B204" s="550"/>
      <c r="C204" s="550"/>
      <c r="D204" s="550"/>
      <c r="E204" s="550"/>
      <c r="F204" s="550"/>
      <c r="G204" s="550"/>
    </row>
    <row r="205" spans="1:7" x14ac:dyDescent="0.25">
      <c r="A205" s="550"/>
      <c r="B205" s="550"/>
      <c r="C205" s="550"/>
      <c r="D205" s="550"/>
      <c r="E205" s="550"/>
      <c r="F205" s="550"/>
      <c r="G205" s="550"/>
    </row>
    <row r="206" spans="1:7" x14ac:dyDescent="0.25">
      <c r="A206" s="550"/>
      <c r="B206" s="550"/>
      <c r="C206" s="550"/>
      <c r="D206" s="550"/>
      <c r="E206" s="550"/>
      <c r="F206" s="550"/>
      <c r="G206" s="550"/>
    </row>
    <row r="207" spans="1:7" x14ac:dyDescent="0.25">
      <c r="A207" s="550"/>
      <c r="B207" s="550"/>
      <c r="C207" s="550"/>
      <c r="D207" s="550"/>
      <c r="E207" s="550"/>
      <c r="F207" s="550"/>
      <c r="G207" s="550"/>
    </row>
    <row r="208" spans="1:7" x14ac:dyDescent="0.25">
      <c r="A208" s="550"/>
      <c r="B208" s="550"/>
      <c r="C208" s="550"/>
      <c r="D208" s="550"/>
      <c r="E208" s="550"/>
      <c r="F208" s="550"/>
      <c r="G208" s="550"/>
    </row>
    <row r="209" spans="1:7" x14ac:dyDescent="0.25">
      <c r="A209" s="550"/>
      <c r="B209" s="550"/>
      <c r="C209" s="550"/>
      <c r="D209" s="550"/>
      <c r="E209" s="550"/>
      <c r="F209" s="550"/>
      <c r="G209" s="550"/>
    </row>
    <row r="210" spans="1:7" x14ac:dyDescent="0.25">
      <c r="A210" s="550"/>
      <c r="B210" s="550"/>
      <c r="C210" s="550"/>
      <c r="D210" s="550"/>
      <c r="E210" s="550"/>
      <c r="F210" s="550"/>
      <c r="G210" s="550"/>
    </row>
    <row r="211" spans="1:7" x14ac:dyDescent="0.25">
      <c r="A211" s="550"/>
      <c r="B211" s="550"/>
      <c r="C211" s="550"/>
      <c r="D211" s="550"/>
      <c r="E211" s="550"/>
      <c r="F211" s="550"/>
      <c r="G211" s="550"/>
    </row>
    <row r="212" spans="1:7" x14ac:dyDescent="0.25">
      <c r="A212" s="550"/>
      <c r="B212" s="550"/>
      <c r="C212" s="550"/>
      <c r="D212" s="550"/>
      <c r="E212" s="550"/>
      <c r="F212" s="550"/>
      <c r="G212" s="550"/>
    </row>
    <row r="213" spans="1:7" x14ac:dyDescent="0.25">
      <c r="A213" s="550"/>
      <c r="B213" s="550"/>
      <c r="C213" s="550"/>
      <c r="D213" s="550"/>
      <c r="E213" s="550"/>
      <c r="F213" s="550"/>
      <c r="G213" s="550"/>
    </row>
    <row r="214" spans="1:7" x14ac:dyDescent="0.25">
      <c r="A214" s="550"/>
      <c r="B214" s="550"/>
      <c r="C214" s="550"/>
      <c r="D214" s="550"/>
      <c r="E214" s="550"/>
      <c r="F214" s="550"/>
      <c r="G214" s="550"/>
    </row>
    <row r="215" spans="1:7" x14ac:dyDescent="0.25">
      <c r="A215" s="550"/>
      <c r="B215" s="550"/>
      <c r="C215" s="550"/>
      <c r="D215" s="550"/>
      <c r="E215" s="550"/>
      <c r="F215" s="550"/>
      <c r="G215" s="550"/>
    </row>
    <row r="216" spans="1:7" x14ac:dyDescent="0.25">
      <c r="A216" s="550"/>
      <c r="B216" s="550"/>
      <c r="C216" s="550"/>
      <c r="D216" s="550"/>
      <c r="E216" s="550"/>
      <c r="F216" s="550"/>
      <c r="G216" s="550"/>
    </row>
    <row r="217" spans="1:7" x14ac:dyDescent="0.25">
      <c r="A217" s="550"/>
      <c r="B217" s="550"/>
      <c r="C217" s="550"/>
      <c r="D217" s="550"/>
      <c r="E217" s="550"/>
      <c r="F217" s="550"/>
      <c r="G217" s="550"/>
    </row>
    <row r="218" spans="1:7" x14ac:dyDescent="0.25">
      <c r="A218" s="550"/>
      <c r="B218" s="550"/>
      <c r="C218" s="550"/>
      <c r="D218" s="550"/>
      <c r="E218" s="550"/>
      <c r="F218" s="550"/>
      <c r="G218" s="550"/>
    </row>
    <row r="219" spans="1:7" x14ac:dyDescent="0.25">
      <c r="A219" s="550"/>
      <c r="B219" s="550"/>
      <c r="C219" s="550"/>
      <c r="D219" s="550"/>
      <c r="E219" s="550"/>
      <c r="F219" s="550"/>
      <c r="G219" s="550"/>
    </row>
    <row r="220" spans="1:7" x14ac:dyDescent="0.25">
      <c r="A220" s="550"/>
      <c r="B220" s="550"/>
      <c r="C220" s="550"/>
      <c r="D220" s="550"/>
      <c r="E220" s="550"/>
      <c r="F220" s="550"/>
      <c r="G220" s="550"/>
    </row>
    <row r="221" spans="1:7" x14ac:dyDescent="0.25">
      <c r="A221" s="550"/>
      <c r="B221" s="550"/>
      <c r="C221" s="550"/>
      <c r="D221" s="550"/>
      <c r="E221" s="550"/>
      <c r="F221" s="550"/>
      <c r="G221" s="550"/>
    </row>
    <row r="222" spans="1:7" x14ac:dyDescent="0.25">
      <c r="A222" s="550"/>
      <c r="B222" s="550"/>
      <c r="C222" s="550"/>
      <c r="D222" s="550"/>
      <c r="E222" s="550"/>
      <c r="F222" s="550"/>
      <c r="G222" s="550"/>
    </row>
    <row r="223" spans="1:7" x14ac:dyDescent="0.25">
      <c r="A223" s="550"/>
      <c r="B223" s="550"/>
      <c r="C223" s="550"/>
      <c r="D223" s="550"/>
      <c r="E223" s="550"/>
      <c r="F223" s="550"/>
      <c r="G223" s="550"/>
    </row>
    <row r="224" spans="1:7" x14ac:dyDescent="0.25">
      <c r="A224" s="550"/>
      <c r="B224" s="550"/>
      <c r="C224" s="550"/>
      <c r="D224" s="550"/>
      <c r="E224" s="550"/>
      <c r="F224" s="550"/>
      <c r="G224" s="550"/>
    </row>
    <row r="225" spans="1:7" x14ac:dyDescent="0.25">
      <c r="A225" s="550"/>
      <c r="B225" s="550"/>
      <c r="C225" s="550"/>
      <c r="D225" s="550"/>
      <c r="E225" s="550"/>
      <c r="F225" s="550"/>
      <c r="G225" s="550"/>
    </row>
    <row r="226" spans="1:7" x14ac:dyDescent="0.25">
      <c r="A226" s="550"/>
      <c r="B226" s="550"/>
      <c r="C226" s="550"/>
      <c r="D226" s="550"/>
      <c r="E226" s="550"/>
      <c r="F226" s="550"/>
      <c r="G226" s="550"/>
    </row>
    <row r="227" spans="1:7" x14ac:dyDescent="0.25">
      <c r="A227" s="550"/>
      <c r="B227" s="550"/>
      <c r="C227" s="550"/>
      <c r="D227" s="550"/>
      <c r="E227" s="550"/>
      <c r="F227" s="550"/>
      <c r="G227" s="550"/>
    </row>
    <row r="228" spans="1:7" x14ac:dyDescent="0.25">
      <c r="A228" s="550"/>
      <c r="B228" s="550"/>
      <c r="C228" s="550"/>
      <c r="D228" s="550"/>
      <c r="E228" s="550"/>
      <c r="F228" s="550"/>
      <c r="G228" s="550"/>
    </row>
    <row r="229" spans="1:7" x14ac:dyDescent="0.25">
      <c r="A229" s="550"/>
      <c r="B229" s="550"/>
      <c r="C229" s="550"/>
      <c r="D229" s="550"/>
      <c r="E229" s="550"/>
      <c r="F229" s="550"/>
      <c r="G229" s="550"/>
    </row>
    <row r="230" spans="1:7" x14ac:dyDescent="0.25">
      <c r="A230" s="550"/>
      <c r="B230" s="550"/>
      <c r="C230" s="550"/>
      <c r="D230" s="550"/>
      <c r="E230" s="550"/>
      <c r="F230" s="550"/>
      <c r="G230" s="550"/>
    </row>
    <row r="231" spans="1:7" x14ac:dyDescent="0.25">
      <c r="A231" s="550"/>
      <c r="B231" s="550"/>
      <c r="C231" s="550"/>
      <c r="D231" s="550"/>
      <c r="E231" s="550"/>
      <c r="F231" s="550"/>
      <c r="G231" s="550"/>
    </row>
    <row r="232" spans="1:7" x14ac:dyDescent="0.25">
      <c r="A232" s="550"/>
      <c r="B232" s="550"/>
      <c r="C232" s="550"/>
      <c r="D232" s="550"/>
      <c r="E232" s="550"/>
      <c r="F232" s="550"/>
      <c r="G232" s="550"/>
    </row>
    <row r="233" spans="1:7" x14ac:dyDescent="0.25">
      <c r="A233" s="550"/>
      <c r="B233" s="550"/>
      <c r="C233" s="550"/>
      <c r="D233" s="550"/>
      <c r="E233" s="550"/>
      <c r="F233" s="550"/>
      <c r="G233" s="550"/>
    </row>
    <row r="234" spans="1:7" x14ac:dyDescent="0.25">
      <c r="A234" s="550"/>
      <c r="B234" s="550"/>
      <c r="C234" s="550"/>
      <c r="D234" s="550"/>
      <c r="E234" s="550"/>
      <c r="F234" s="550"/>
      <c r="G234" s="550"/>
    </row>
    <row r="235" spans="1:7" x14ac:dyDescent="0.25">
      <c r="A235" s="550"/>
      <c r="B235" s="550"/>
      <c r="C235" s="550"/>
      <c r="D235" s="550"/>
      <c r="E235" s="550"/>
      <c r="F235" s="550"/>
      <c r="G235" s="550"/>
    </row>
    <row r="236" spans="1:7" x14ac:dyDescent="0.25">
      <c r="A236" s="550"/>
      <c r="B236" s="550"/>
      <c r="C236" s="550"/>
      <c r="D236" s="550"/>
      <c r="E236" s="550"/>
      <c r="F236" s="550"/>
      <c r="G236" s="550"/>
    </row>
    <row r="237" spans="1:7" x14ac:dyDescent="0.25">
      <c r="A237" s="550"/>
      <c r="B237" s="550"/>
      <c r="C237" s="550"/>
      <c r="D237" s="550"/>
      <c r="E237" s="550"/>
      <c r="F237" s="550"/>
      <c r="G237" s="550"/>
    </row>
    <row r="238" spans="1:7" x14ac:dyDescent="0.25">
      <c r="A238" s="550"/>
      <c r="B238" s="550"/>
      <c r="C238" s="550"/>
      <c r="D238" s="550"/>
      <c r="E238" s="550"/>
      <c r="F238" s="550"/>
      <c r="G238" s="550"/>
    </row>
    <row r="239" spans="1:7" x14ac:dyDescent="0.25">
      <c r="A239" s="550"/>
      <c r="B239" s="550"/>
      <c r="C239" s="550"/>
      <c r="D239" s="550"/>
      <c r="E239" s="550"/>
      <c r="F239" s="550"/>
      <c r="G239" s="550"/>
    </row>
    <row r="240" spans="1:7" x14ac:dyDescent="0.25">
      <c r="A240" s="550"/>
      <c r="B240" s="550"/>
      <c r="C240" s="550"/>
      <c r="D240" s="550"/>
      <c r="E240" s="550"/>
      <c r="F240" s="550"/>
      <c r="G240" s="550"/>
    </row>
    <row r="241" spans="1:7" x14ac:dyDescent="0.25">
      <c r="A241" s="550"/>
      <c r="B241" s="550"/>
      <c r="C241" s="550"/>
      <c r="D241" s="550"/>
      <c r="E241" s="550"/>
      <c r="F241" s="550"/>
      <c r="G241" s="550"/>
    </row>
    <row r="242" spans="1:7" x14ac:dyDescent="0.25">
      <c r="A242" s="550"/>
      <c r="B242" s="550"/>
      <c r="C242" s="550"/>
      <c r="D242" s="550"/>
      <c r="E242" s="550"/>
      <c r="F242" s="550"/>
      <c r="G242" s="550"/>
    </row>
    <row r="243" spans="1:7" x14ac:dyDescent="0.25">
      <c r="A243" s="550"/>
      <c r="B243" s="550"/>
      <c r="C243" s="550"/>
      <c r="D243" s="550"/>
      <c r="E243" s="550"/>
      <c r="F243" s="550"/>
      <c r="G243" s="550"/>
    </row>
    <row r="244" spans="1:7" x14ac:dyDescent="0.25">
      <c r="A244" s="550"/>
      <c r="B244" s="550"/>
      <c r="C244" s="550"/>
      <c r="D244" s="550"/>
      <c r="E244" s="550"/>
      <c r="F244" s="550"/>
      <c r="G244" s="550"/>
    </row>
    <row r="245" spans="1:7" x14ac:dyDescent="0.25">
      <c r="A245" s="550"/>
      <c r="B245" s="550"/>
      <c r="C245" s="550"/>
      <c r="D245" s="550"/>
      <c r="E245" s="550"/>
      <c r="F245" s="550"/>
      <c r="G245" s="550"/>
    </row>
    <row r="246" spans="1:7" x14ac:dyDescent="0.25">
      <c r="A246" s="550"/>
      <c r="B246" s="550"/>
      <c r="C246" s="550"/>
      <c r="D246" s="550"/>
      <c r="E246" s="550"/>
      <c r="F246" s="550"/>
      <c r="G246" s="550"/>
    </row>
    <row r="247" spans="1:7" x14ac:dyDescent="0.25">
      <c r="A247" s="550"/>
      <c r="B247" s="550"/>
      <c r="C247" s="550"/>
      <c r="D247" s="550"/>
      <c r="E247" s="550"/>
      <c r="F247" s="550"/>
      <c r="G247" s="550"/>
    </row>
    <row r="248" spans="1:7" x14ac:dyDescent="0.25">
      <c r="A248" s="550"/>
      <c r="B248" s="550"/>
      <c r="C248" s="550"/>
      <c r="D248" s="550"/>
      <c r="E248" s="550"/>
      <c r="F248" s="550"/>
      <c r="G248" s="550"/>
    </row>
    <row r="249" spans="1:7" x14ac:dyDescent="0.25">
      <c r="A249" s="550"/>
      <c r="B249" s="550"/>
      <c r="C249" s="550"/>
      <c r="D249" s="550"/>
      <c r="E249" s="550"/>
      <c r="F249" s="550"/>
      <c r="G249" s="550"/>
    </row>
    <row r="250" spans="1:7" x14ac:dyDescent="0.25">
      <c r="A250" s="550"/>
      <c r="B250" s="550"/>
      <c r="C250" s="550"/>
      <c r="D250" s="550"/>
      <c r="E250" s="550"/>
      <c r="F250" s="550"/>
      <c r="G250" s="550"/>
    </row>
    <row r="251" spans="1:7" x14ac:dyDescent="0.25">
      <c r="A251" s="550"/>
      <c r="B251" s="550"/>
      <c r="C251" s="550"/>
      <c r="D251" s="550"/>
      <c r="E251" s="550"/>
      <c r="F251" s="550"/>
      <c r="G251" s="550"/>
    </row>
    <row r="252" spans="1:7" x14ac:dyDescent="0.25">
      <c r="A252" s="550"/>
      <c r="B252" s="550"/>
      <c r="C252" s="550"/>
      <c r="D252" s="550"/>
      <c r="E252" s="550"/>
      <c r="F252" s="550"/>
      <c r="G252" s="550"/>
    </row>
    <row r="253" spans="1:7" x14ac:dyDescent="0.25">
      <c r="A253" s="550"/>
      <c r="B253" s="550"/>
      <c r="C253" s="550"/>
      <c r="D253" s="550"/>
      <c r="E253" s="550"/>
      <c r="F253" s="550"/>
      <c r="G253" s="550"/>
    </row>
    <row r="254" spans="1:7" x14ac:dyDescent="0.25">
      <c r="A254" s="550"/>
      <c r="B254" s="550"/>
      <c r="C254" s="550"/>
      <c r="D254" s="550"/>
      <c r="E254" s="550"/>
      <c r="F254" s="550"/>
      <c r="G254" s="550"/>
    </row>
    <row r="255" spans="1:7" x14ac:dyDescent="0.25">
      <c r="A255" s="550"/>
      <c r="B255" s="550"/>
      <c r="C255" s="550"/>
      <c r="D255" s="550"/>
      <c r="E255" s="550"/>
      <c r="F255" s="550"/>
      <c r="G255" s="550"/>
    </row>
    <row r="256" spans="1:7" x14ac:dyDescent="0.25">
      <c r="A256" s="550"/>
      <c r="B256" s="550"/>
      <c r="C256" s="550"/>
      <c r="D256" s="550"/>
      <c r="E256" s="550"/>
      <c r="F256" s="550"/>
      <c r="G256" s="550"/>
    </row>
    <row r="257" spans="1:7" x14ac:dyDescent="0.25">
      <c r="A257" s="550"/>
      <c r="B257" s="550"/>
      <c r="C257" s="550"/>
      <c r="D257" s="550"/>
      <c r="E257" s="550"/>
      <c r="F257" s="550"/>
      <c r="G257" s="550"/>
    </row>
    <row r="258" spans="1:7" x14ac:dyDescent="0.25">
      <c r="A258" s="550"/>
      <c r="B258" s="550"/>
      <c r="C258" s="550"/>
      <c r="D258" s="550"/>
      <c r="E258" s="550"/>
      <c r="F258" s="550"/>
      <c r="G258" s="550"/>
    </row>
    <row r="259" spans="1:7" x14ac:dyDescent="0.25">
      <c r="A259" s="550"/>
      <c r="B259" s="550"/>
      <c r="C259" s="550"/>
      <c r="D259" s="550"/>
      <c r="E259" s="550"/>
      <c r="F259" s="550"/>
      <c r="G259" s="550"/>
    </row>
    <row r="260" spans="1:7" x14ac:dyDescent="0.25">
      <c r="A260" s="550"/>
      <c r="B260" s="550"/>
      <c r="C260" s="550"/>
      <c r="D260" s="550"/>
      <c r="E260" s="550"/>
      <c r="F260" s="550"/>
      <c r="G260" s="550"/>
    </row>
    <row r="261" spans="1:7" x14ac:dyDescent="0.25">
      <c r="A261" s="550"/>
      <c r="B261" s="550"/>
      <c r="C261" s="550"/>
      <c r="D261" s="550"/>
      <c r="E261" s="550"/>
      <c r="F261" s="550"/>
      <c r="G261" s="550"/>
    </row>
    <row r="262" spans="1:7" x14ac:dyDescent="0.25">
      <c r="A262" s="550"/>
      <c r="B262" s="550"/>
      <c r="C262" s="550"/>
      <c r="D262" s="550"/>
      <c r="E262" s="550"/>
      <c r="F262" s="550"/>
      <c r="G262" s="550"/>
    </row>
    <row r="263" spans="1:7" x14ac:dyDescent="0.25">
      <c r="A263" s="550"/>
      <c r="B263" s="550"/>
      <c r="C263" s="550"/>
      <c r="D263" s="550"/>
      <c r="E263" s="550"/>
      <c r="F263" s="550"/>
      <c r="G263" s="550"/>
    </row>
    <row r="264" spans="1:7" x14ac:dyDescent="0.25">
      <c r="A264" s="550"/>
      <c r="B264" s="550"/>
      <c r="C264" s="550"/>
      <c r="D264" s="550"/>
      <c r="E264" s="550"/>
      <c r="F264" s="550"/>
      <c r="G264" s="550"/>
    </row>
    <row r="265" spans="1:7" x14ac:dyDescent="0.25">
      <c r="A265" s="550"/>
      <c r="B265" s="550"/>
      <c r="C265" s="550"/>
      <c r="D265" s="550"/>
      <c r="E265" s="550"/>
      <c r="F265" s="550"/>
      <c r="G265" s="550"/>
    </row>
    <row r="266" spans="1:7" x14ac:dyDescent="0.25">
      <c r="A266" s="550"/>
      <c r="B266" s="550"/>
      <c r="C266" s="550"/>
      <c r="D266" s="550"/>
      <c r="E266" s="550"/>
      <c r="F266" s="550"/>
      <c r="G266" s="550"/>
    </row>
    <row r="267" spans="1:7" x14ac:dyDescent="0.25">
      <c r="A267" s="550"/>
      <c r="B267" s="550"/>
      <c r="C267" s="550"/>
      <c r="D267" s="550"/>
      <c r="E267" s="550"/>
      <c r="F267" s="550"/>
      <c r="G267" s="550"/>
    </row>
    <row r="268" spans="1:7" x14ac:dyDescent="0.25">
      <c r="A268" s="550"/>
      <c r="B268" s="550"/>
      <c r="C268" s="550"/>
      <c r="D268" s="550"/>
      <c r="E268" s="550"/>
      <c r="F268" s="550"/>
      <c r="G268" s="550"/>
    </row>
    <row r="269" spans="1:7" x14ac:dyDescent="0.25">
      <c r="A269" s="550"/>
      <c r="B269" s="550"/>
      <c r="C269" s="550"/>
      <c r="D269" s="550"/>
      <c r="E269" s="550"/>
      <c r="F269" s="550"/>
      <c r="G269" s="550"/>
    </row>
    <row r="270" spans="1:7" x14ac:dyDescent="0.25">
      <c r="A270" s="550"/>
      <c r="B270" s="550"/>
      <c r="C270" s="550"/>
      <c r="D270" s="550"/>
      <c r="E270" s="550"/>
      <c r="F270" s="550"/>
      <c r="G270" s="550"/>
    </row>
    <row r="271" spans="1:7" x14ac:dyDescent="0.25">
      <c r="A271" s="550"/>
      <c r="B271" s="550"/>
      <c r="C271" s="550"/>
      <c r="D271" s="550"/>
      <c r="E271" s="550"/>
      <c r="F271" s="550"/>
      <c r="G271" s="550"/>
    </row>
    <row r="272" spans="1:7" x14ac:dyDescent="0.25">
      <c r="A272" s="550"/>
      <c r="B272" s="550"/>
      <c r="C272" s="550"/>
      <c r="D272" s="550"/>
      <c r="E272" s="550"/>
      <c r="F272" s="550"/>
      <c r="G272" s="550"/>
    </row>
    <row r="273" spans="1:7" x14ac:dyDescent="0.25">
      <c r="A273" s="550"/>
      <c r="B273" s="550"/>
      <c r="C273" s="550"/>
      <c r="D273" s="550"/>
      <c r="E273" s="550"/>
      <c r="F273" s="550"/>
      <c r="G273" s="550"/>
    </row>
    <row r="274" spans="1:7" x14ac:dyDescent="0.25">
      <c r="A274" s="550"/>
      <c r="B274" s="550"/>
      <c r="C274" s="550"/>
      <c r="D274" s="550"/>
      <c r="E274" s="550"/>
      <c r="F274" s="550"/>
      <c r="G274" s="550"/>
    </row>
    <row r="275" spans="1:7" x14ac:dyDescent="0.25">
      <c r="A275" s="550"/>
      <c r="B275" s="550"/>
      <c r="C275" s="550"/>
      <c r="D275" s="550"/>
      <c r="E275" s="550"/>
      <c r="F275" s="550"/>
      <c r="G275" s="550"/>
    </row>
    <row r="276" spans="1:7" x14ac:dyDescent="0.25">
      <c r="A276" s="550"/>
      <c r="B276" s="550"/>
      <c r="C276" s="550"/>
      <c r="D276" s="550"/>
      <c r="E276" s="550"/>
      <c r="F276" s="550"/>
      <c r="G276" s="550"/>
    </row>
    <row r="277" spans="1:7" x14ac:dyDescent="0.25">
      <c r="A277" s="550"/>
      <c r="B277" s="550"/>
      <c r="C277" s="550"/>
      <c r="D277" s="550"/>
      <c r="E277" s="550"/>
      <c r="F277" s="550"/>
      <c r="G277" s="550"/>
    </row>
    <row r="278" spans="1:7" x14ac:dyDescent="0.25">
      <c r="A278" s="550"/>
      <c r="B278" s="550"/>
      <c r="C278" s="550"/>
      <c r="D278" s="550"/>
      <c r="E278" s="550"/>
      <c r="F278" s="550"/>
      <c r="G278" s="550"/>
    </row>
    <row r="279" spans="1:7" x14ac:dyDescent="0.25">
      <c r="A279" s="550"/>
      <c r="B279" s="550"/>
      <c r="C279" s="550"/>
      <c r="D279" s="550"/>
      <c r="E279" s="550"/>
      <c r="F279" s="550"/>
      <c r="G279" s="550"/>
    </row>
    <row r="280" spans="1:7" x14ac:dyDescent="0.25">
      <c r="A280" s="550"/>
      <c r="B280" s="550"/>
      <c r="C280" s="550"/>
      <c r="D280" s="550"/>
      <c r="E280" s="550"/>
      <c r="F280" s="550"/>
      <c r="G280" s="550"/>
    </row>
    <row r="281" spans="1:7" x14ac:dyDescent="0.25">
      <c r="A281" s="550"/>
      <c r="B281" s="550"/>
      <c r="C281" s="550"/>
      <c r="D281" s="550"/>
      <c r="E281" s="550"/>
      <c r="F281" s="550"/>
      <c r="G281" s="550"/>
    </row>
    <row r="282" spans="1:7" x14ac:dyDescent="0.25">
      <c r="A282" s="550"/>
      <c r="B282" s="550"/>
      <c r="C282" s="550"/>
      <c r="D282" s="550"/>
      <c r="E282" s="550"/>
      <c r="F282" s="550"/>
      <c r="G282" s="550"/>
    </row>
    <row r="283" spans="1:7" x14ac:dyDescent="0.25">
      <c r="A283" s="550"/>
      <c r="B283" s="550"/>
      <c r="C283" s="550"/>
      <c r="D283" s="550"/>
      <c r="E283" s="550"/>
      <c r="F283" s="550"/>
      <c r="G283" s="550"/>
    </row>
    <row r="284" spans="1:7" x14ac:dyDescent="0.25">
      <c r="A284" s="550"/>
      <c r="B284" s="550"/>
      <c r="C284" s="550"/>
      <c r="D284" s="550"/>
      <c r="E284" s="550"/>
      <c r="F284" s="550"/>
      <c r="G284" s="550"/>
    </row>
    <row r="285" spans="1:7" x14ac:dyDescent="0.25">
      <c r="A285" s="550"/>
      <c r="B285" s="550"/>
      <c r="C285" s="550"/>
      <c r="D285" s="550"/>
      <c r="E285" s="550"/>
      <c r="F285" s="550"/>
      <c r="G285" s="550"/>
    </row>
    <row r="286" spans="1:7" x14ac:dyDescent="0.25">
      <c r="A286" s="550"/>
      <c r="B286" s="550"/>
      <c r="C286" s="550"/>
      <c r="D286" s="550"/>
      <c r="E286" s="550"/>
      <c r="F286" s="550"/>
      <c r="G286" s="550"/>
    </row>
    <row r="287" spans="1:7" x14ac:dyDescent="0.25">
      <c r="A287" s="550"/>
      <c r="B287" s="550"/>
      <c r="C287" s="550"/>
      <c r="D287" s="550"/>
      <c r="E287" s="550"/>
      <c r="F287" s="550"/>
      <c r="G287" s="550"/>
    </row>
    <row r="288" spans="1:7" x14ac:dyDescent="0.25">
      <c r="A288" s="550"/>
      <c r="B288" s="550"/>
      <c r="C288" s="550"/>
      <c r="D288" s="550"/>
      <c r="E288" s="550"/>
      <c r="F288" s="550"/>
      <c r="G288" s="550"/>
    </row>
    <row r="289" spans="1:7" x14ac:dyDescent="0.25">
      <c r="A289" s="550"/>
      <c r="B289" s="550"/>
      <c r="C289" s="550"/>
      <c r="D289" s="550"/>
      <c r="E289" s="550"/>
      <c r="F289" s="550"/>
      <c r="G289" s="550"/>
    </row>
    <row r="290" spans="1:7" x14ac:dyDescent="0.25">
      <c r="A290" s="550"/>
      <c r="B290" s="550"/>
      <c r="C290" s="550"/>
      <c r="D290" s="550"/>
      <c r="E290" s="550"/>
      <c r="F290" s="550"/>
      <c r="G290" s="550"/>
    </row>
    <row r="291" spans="1:7" x14ac:dyDescent="0.25">
      <c r="A291" s="550"/>
      <c r="B291" s="550"/>
      <c r="C291" s="550"/>
      <c r="D291" s="550"/>
      <c r="E291" s="550"/>
      <c r="F291" s="550"/>
      <c r="G291" s="550"/>
    </row>
    <row r="292" spans="1:7" x14ac:dyDescent="0.25">
      <c r="A292" s="550"/>
      <c r="B292" s="550"/>
      <c r="C292" s="550"/>
      <c r="D292" s="550"/>
      <c r="E292" s="550"/>
      <c r="F292" s="550"/>
      <c r="G292" s="550"/>
    </row>
    <row r="293" spans="1:7" x14ac:dyDescent="0.25">
      <c r="A293" s="550"/>
      <c r="B293" s="550"/>
      <c r="C293" s="550"/>
      <c r="D293" s="550"/>
      <c r="E293" s="550"/>
      <c r="F293" s="550"/>
      <c r="G293" s="550"/>
    </row>
    <row r="294" spans="1:7" x14ac:dyDescent="0.25">
      <c r="A294" s="550"/>
      <c r="B294" s="550"/>
      <c r="C294" s="550"/>
      <c r="D294" s="550"/>
      <c r="E294" s="550"/>
      <c r="F294" s="550"/>
      <c r="G294" s="550"/>
    </row>
    <row r="295" spans="1:7" x14ac:dyDescent="0.25">
      <c r="A295" s="550"/>
      <c r="B295" s="550"/>
      <c r="C295" s="550"/>
      <c r="D295" s="550"/>
      <c r="E295" s="550"/>
      <c r="F295" s="550"/>
      <c r="G295" s="550"/>
    </row>
    <row r="296" spans="1:7" x14ac:dyDescent="0.25">
      <c r="A296" s="550"/>
      <c r="B296" s="550"/>
      <c r="C296" s="550"/>
      <c r="D296" s="550"/>
      <c r="E296" s="550"/>
      <c r="F296" s="550"/>
      <c r="G296" s="550"/>
    </row>
    <row r="297" spans="1:7" x14ac:dyDescent="0.25">
      <c r="A297" s="550"/>
      <c r="B297" s="550"/>
      <c r="C297" s="550"/>
      <c r="D297" s="550"/>
      <c r="E297" s="550"/>
      <c r="F297" s="550"/>
      <c r="G297" s="550"/>
    </row>
    <row r="298" spans="1:7" x14ac:dyDescent="0.25">
      <c r="A298" s="550"/>
      <c r="B298" s="550"/>
      <c r="C298" s="550"/>
      <c r="D298" s="550"/>
      <c r="E298" s="550"/>
      <c r="F298" s="550"/>
      <c r="G298" s="550"/>
    </row>
    <row r="299" spans="1:7" x14ac:dyDescent="0.25">
      <c r="A299" s="550"/>
      <c r="B299" s="550"/>
      <c r="C299" s="550"/>
      <c r="D299" s="550"/>
      <c r="E299" s="550"/>
      <c r="F299" s="550"/>
      <c r="G299" s="550"/>
    </row>
    <row r="300" spans="1:7" x14ac:dyDescent="0.25">
      <c r="A300" s="550"/>
      <c r="B300" s="550"/>
      <c r="C300" s="550"/>
      <c r="D300" s="550"/>
      <c r="E300" s="550"/>
      <c r="F300" s="550"/>
      <c r="G300" s="550"/>
    </row>
    <row r="301" spans="1:7" x14ac:dyDescent="0.25">
      <c r="A301" s="550"/>
      <c r="B301" s="550"/>
      <c r="C301" s="550"/>
      <c r="D301" s="550"/>
      <c r="E301" s="550"/>
      <c r="F301" s="550"/>
      <c r="G301" s="550"/>
    </row>
    <row r="302" spans="1:7" x14ac:dyDescent="0.25">
      <c r="A302" s="550"/>
      <c r="B302" s="550"/>
      <c r="C302" s="550"/>
      <c r="D302" s="550"/>
      <c r="E302" s="550"/>
      <c r="F302" s="550"/>
      <c r="G302" s="550"/>
    </row>
    <row r="303" spans="1:7" x14ac:dyDescent="0.25">
      <c r="A303" s="550"/>
      <c r="B303" s="550"/>
      <c r="C303" s="550"/>
      <c r="D303" s="550"/>
      <c r="E303" s="550"/>
      <c r="F303" s="550"/>
      <c r="G303" s="550"/>
    </row>
    <row r="304" spans="1:7" x14ac:dyDescent="0.25">
      <c r="A304" s="550"/>
      <c r="B304" s="550"/>
      <c r="C304" s="550"/>
      <c r="D304" s="550"/>
      <c r="E304" s="550"/>
      <c r="F304" s="550"/>
      <c r="G304" s="550"/>
    </row>
    <row r="305" spans="1:7" x14ac:dyDescent="0.25">
      <c r="A305" s="550"/>
      <c r="B305" s="550"/>
      <c r="C305" s="550"/>
      <c r="D305" s="550"/>
      <c r="E305" s="550"/>
      <c r="F305" s="550"/>
      <c r="G305" s="550"/>
    </row>
    <row r="306" spans="1:7" x14ac:dyDescent="0.25">
      <c r="A306" s="550"/>
      <c r="B306" s="550"/>
      <c r="C306" s="550"/>
      <c r="D306" s="550"/>
      <c r="E306" s="550"/>
      <c r="F306" s="550"/>
      <c r="G306" s="550"/>
    </row>
    <row r="307" spans="1:7" x14ac:dyDescent="0.25">
      <c r="A307" s="550"/>
      <c r="B307" s="550"/>
      <c r="C307" s="550"/>
      <c r="D307" s="550"/>
      <c r="E307" s="550"/>
      <c r="F307" s="550"/>
      <c r="G307" s="550"/>
    </row>
    <row r="308" spans="1:7" x14ac:dyDescent="0.25">
      <c r="A308" s="550"/>
      <c r="B308" s="550"/>
      <c r="C308" s="550"/>
      <c r="D308" s="550"/>
      <c r="E308" s="550"/>
      <c r="F308" s="550"/>
      <c r="G308" s="550"/>
    </row>
    <row r="309" spans="1:7" x14ac:dyDescent="0.25">
      <c r="A309" s="550"/>
      <c r="B309" s="550"/>
      <c r="C309" s="550"/>
      <c r="D309" s="550"/>
      <c r="E309" s="550"/>
      <c r="F309" s="550"/>
      <c r="G309" s="550"/>
    </row>
    <row r="310" spans="1:7" x14ac:dyDescent="0.25">
      <c r="A310" s="550"/>
      <c r="B310" s="550"/>
      <c r="C310" s="550"/>
      <c r="D310" s="550"/>
      <c r="E310" s="550"/>
      <c r="F310" s="550"/>
      <c r="G310" s="550"/>
    </row>
    <row r="311" spans="1:7" x14ac:dyDescent="0.25">
      <c r="A311" s="550"/>
      <c r="B311" s="550"/>
      <c r="C311" s="550"/>
      <c r="D311" s="550"/>
      <c r="E311" s="550"/>
      <c r="F311" s="550"/>
      <c r="G311" s="550"/>
    </row>
    <row r="312" spans="1:7" x14ac:dyDescent="0.25">
      <c r="A312" s="550"/>
      <c r="B312" s="550"/>
      <c r="C312" s="550"/>
      <c r="D312" s="550"/>
      <c r="E312" s="550"/>
      <c r="F312" s="550"/>
      <c r="G312" s="550"/>
    </row>
    <row r="313" spans="1:7" x14ac:dyDescent="0.25">
      <c r="A313" s="550"/>
      <c r="B313" s="550"/>
      <c r="C313" s="550"/>
      <c r="D313" s="550"/>
      <c r="E313" s="550"/>
      <c r="F313" s="550"/>
      <c r="G313" s="550"/>
    </row>
    <row r="314" spans="1:7" x14ac:dyDescent="0.25">
      <c r="A314" s="550"/>
      <c r="B314" s="550"/>
      <c r="C314" s="550"/>
      <c r="D314" s="550"/>
      <c r="E314" s="550"/>
      <c r="F314" s="550"/>
      <c r="G314" s="550"/>
    </row>
    <row r="315" spans="1:7" x14ac:dyDescent="0.25">
      <c r="A315" s="550"/>
      <c r="B315" s="550"/>
      <c r="C315" s="550"/>
      <c r="D315" s="550"/>
      <c r="E315" s="550"/>
      <c r="F315" s="550"/>
      <c r="G315" s="550"/>
    </row>
    <row r="316" spans="1:7" x14ac:dyDescent="0.25">
      <c r="A316" s="550"/>
      <c r="B316" s="550"/>
      <c r="C316" s="550"/>
      <c r="D316" s="550"/>
      <c r="E316" s="550"/>
      <c r="F316" s="550"/>
      <c r="G316" s="550"/>
    </row>
    <row r="317" spans="1:7" x14ac:dyDescent="0.25">
      <c r="A317" s="550"/>
      <c r="B317" s="550"/>
      <c r="C317" s="550"/>
      <c r="D317" s="550"/>
      <c r="E317" s="550"/>
      <c r="F317" s="550"/>
      <c r="G317" s="550"/>
    </row>
    <row r="318" spans="1:7" x14ac:dyDescent="0.25">
      <c r="A318" s="550"/>
      <c r="B318" s="550"/>
      <c r="C318" s="550"/>
      <c r="D318" s="550"/>
      <c r="E318" s="550"/>
      <c r="F318" s="550"/>
      <c r="G318" s="550"/>
    </row>
    <row r="319" spans="1:7" x14ac:dyDescent="0.25">
      <c r="A319" s="550"/>
      <c r="B319" s="550"/>
      <c r="C319" s="550"/>
      <c r="D319" s="550"/>
      <c r="E319" s="550"/>
      <c r="F319" s="550"/>
      <c r="G319" s="550"/>
    </row>
    <row r="320" spans="1:7" x14ac:dyDescent="0.25">
      <c r="A320" s="550"/>
      <c r="B320" s="550"/>
      <c r="C320" s="550"/>
      <c r="D320" s="550"/>
      <c r="E320" s="550"/>
      <c r="F320" s="550"/>
      <c r="G320" s="550"/>
    </row>
    <row r="321" spans="1:7" x14ac:dyDescent="0.25">
      <c r="A321" s="550"/>
      <c r="B321" s="550"/>
      <c r="C321" s="550"/>
      <c r="D321" s="550"/>
      <c r="E321" s="550"/>
      <c r="F321" s="550"/>
      <c r="G321" s="550"/>
    </row>
    <row r="322" spans="1:7" x14ac:dyDescent="0.25">
      <c r="A322" s="550"/>
      <c r="B322" s="550"/>
      <c r="C322" s="550"/>
      <c r="D322" s="550"/>
      <c r="E322" s="550"/>
      <c r="F322" s="550"/>
      <c r="G322" s="550"/>
    </row>
    <row r="323" spans="1:7" x14ac:dyDescent="0.25">
      <c r="A323" s="550"/>
      <c r="B323" s="550"/>
      <c r="C323" s="550"/>
      <c r="D323" s="550"/>
      <c r="E323" s="550"/>
      <c r="F323" s="550"/>
      <c r="G323" s="550"/>
    </row>
    <row r="324" spans="1:7" x14ac:dyDescent="0.25">
      <c r="A324" s="550"/>
      <c r="B324" s="550"/>
      <c r="C324" s="550"/>
      <c r="D324" s="550"/>
      <c r="E324" s="550"/>
      <c r="F324" s="550"/>
      <c r="G324" s="550"/>
    </row>
    <row r="325" spans="1:7" x14ac:dyDescent="0.25">
      <c r="A325" s="550"/>
      <c r="B325" s="550"/>
      <c r="C325" s="550"/>
      <c r="D325" s="550"/>
      <c r="E325" s="550"/>
      <c r="F325" s="550"/>
      <c r="G325" s="550"/>
    </row>
    <row r="326" spans="1:7" x14ac:dyDescent="0.25">
      <c r="A326" s="550"/>
      <c r="B326" s="550"/>
      <c r="C326" s="550"/>
      <c r="D326" s="550"/>
      <c r="E326" s="550"/>
      <c r="F326" s="550"/>
      <c r="G326" s="550"/>
    </row>
    <row r="327" spans="1:7" x14ac:dyDescent="0.25">
      <c r="A327" s="550"/>
      <c r="B327" s="550"/>
      <c r="C327" s="550"/>
      <c r="D327" s="550"/>
      <c r="E327" s="550"/>
      <c r="F327" s="550"/>
      <c r="G327" s="550"/>
    </row>
    <row r="328" spans="1:7" x14ac:dyDescent="0.25">
      <c r="A328" s="550"/>
      <c r="B328" s="550"/>
      <c r="C328" s="550"/>
      <c r="D328" s="550"/>
      <c r="E328" s="550"/>
      <c r="F328" s="550"/>
      <c r="G328" s="550"/>
    </row>
    <row r="329" spans="1:7" x14ac:dyDescent="0.25">
      <c r="A329" s="550"/>
      <c r="B329" s="550"/>
      <c r="C329" s="550"/>
      <c r="D329" s="550"/>
      <c r="E329" s="550"/>
      <c r="F329" s="550"/>
      <c r="G329" s="550"/>
    </row>
    <row r="330" spans="1:7" x14ac:dyDescent="0.25">
      <c r="A330" s="550"/>
      <c r="B330" s="550"/>
      <c r="C330" s="550"/>
      <c r="D330" s="550"/>
      <c r="E330" s="550"/>
      <c r="F330" s="550"/>
      <c r="G330" s="550"/>
    </row>
    <row r="331" spans="1:7" x14ac:dyDescent="0.25">
      <c r="A331" s="550"/>
      <c r="B331" s="550"/>
      <c r="C331" s="550"/>
      <c r="D331" s="550"/>
      <c r="E331" s="550"/>
      <c r="F331" s="550"/>
      <c r="G331" s="550"/>
    </row>
    <row r="332" spans="1:7" x14ac:dyDescent="0.25">
      <c r="A332" s="550"/>
      <c r="B332" s="550"/>
      <c r="C332" s="550"/>
      <c r="D332" s="550"/>
      <c r="E332" s="550"/>
      <c r="F332" s="550"/>
      <c r="G332" s="550"/>
    </row>
    <row r="333" spans="1:7" x14ac:dyDescent="0.25">
      <c r="A333" s="550"/>
      <c r="B333" s="550"/>
      <c r="C333" s="550"/>
      <c r="D333" s="550"/>
      <c r="E333" s="550"/>
      <c r="F333" s="550"/>
      <c r="G333" s="550"/>
    </row>
    <row r="334" spans="1:7" x14ac:dyDescent="0.25">
      <c r="A334" s="550"/>
      <c r="B334" s="550"/>
      <c r="C334" s="550"/>
      <c r="D334" s="550"/>
      <c r="E334" s="550"/>
      <c r="F334" s="550"/>
      <c r="G334" s="550"/>
    </row>
    <row r="335" spans="1:7" x14ac:dyDescent="0.25">
      <c r="A335" s="550"/>
      <c r="B335" s="550"/>
      <c r="C335" s="550"/>
      <c r="D335" s="550"/>
      <c r="E335" s="550"/>
      <c r="F335" s="550"/>
      <c r="G335" s="550"/>
    </row>
    <row r="336" spans="1:7" x14ac:dyDescent="0.25">
      <c r="A336" s="550"/>
      <c r="B336" s="550"/>
      <c r="C336" s="550"/>
      <c r="D336" s="550"/>
      <c r="E336" s="550"/>
      <c r="F336" s="550"/>
      <c r="G336" s="550"/>
    </row>
    <row r="337" spans="1:7" x14ac:dyDescent="0.25">
      <c r="A337" s="550"/>
      <c r="B337" s="550"/>
      <c r="C337" s="550"/>
      <c r="D337" s="550"/>
      <c r="E337" s="550"/>
      <c r="F337" s="550"/>
      <c r="G337" s="550"/>
    </row>
    <row r="338" spans="1:7" x14ac:dyDescent="0.25">
      <c r="A338" s="550"/>
      <c r="B338" s="550"/>
      <c r="C338" s="550"/>
      <c r="D338" s="550"/>
      <c r="E338" s="550"/>
      <c r="F338" s="550"/>
      <c r="G338" s="550"/>
    </row>
    <row r="339" spans="1:7" x14ac:dyDescent="0.25">
      <c r="A339" s="550"/>
      <c r="B339" s="550"/>
      <c r="C339" s="550"/>
      <c r="D339" s="550"/>
      <c r="E339" s="550"/>
      <c r="F339" s="550"/>
      <c r="G339" s="550"/>
    </row>
    <row r="340" spans="1:7" x14ac:dyDescent="0.25">
      <c r="A340" s="550"/>
      <c r="B340" s="550"/>
      <c r="C340" s="550"/>
      <c r="D340" s="550"/>
      <c r="E340" s="550"/>
      <c r="F340" s="550"/>
      <c r="G340" s="550"/>
    </row>
    <row r="341" spans="1:7" x14ac:dyDescent="0.25">
      <c r="A341" s="550"/>
      <c r="B341" s="550"/>
      <c r="C341" s="550"/>
      <c r="D341" s="550"/>
      <c r="E341" s="550"/>
      <c r="F341" s="550"/>
      <c r="G341" s="550"/>
    </row>
    <row r="342" spans="1:7" x14ac:dyDescent="0.25">
      <c r="A342" s="550"/>
      <c r="B342" s="550"/>
      <c r="C342" s="550"/>
      <c r="D342" s="550"/>
      <c r="E342" s="550"/>
      <c r="F342" s="550"/>
      <c r="G342" s="550"/>
    </row>
    <row r="343" spans="1:7" x14ac:dyDescent="0.25">
      <c r="A343" s="550"/>
      <c r="B343" s="550"/>
      <c r="C343" s="550"/>
      <c r="D343" s="550"/>
      <c r="E343" s="550"/>
      <c r="F343" s="550"/>
      <c r="G343" s="550"/>
    </row>
    <row r="344" spans="1:7" x14ac:dyDescent="0.25">
      <c r="A344" s="550"/>
      <c r="B344" s="550"/>
      <c r="C344" s="550"/>
      <c r="D344" s="550"/>
      <c r="E344" s="550"/>
      <c r="F344" s="550"/>
      <c r="G344" s="550"/>
    </row>
    <row r="345" spans="1:7" x14ac:dyDescent="0.25">
      <c r="A345" s="550"/>
      <c r="B345" s="550"/>
      <c r="C345" s="550"/>
      <c r="D345" s="550"/>
      <c r="E345" s="550"/>
      <c r="F345" s="550"/>
      <c r="G345" s="550"/>
    </row>
    <row r="346" spans="1:7" x14ac:dyDescent="0.25">
      <c r="A346" s="550"/>
      <c r="B346" s="550"/>
      <c r="C346" s="550"/>
      <c r="D346" s="550"/>
      <c r="E346" s="550"/>
      <c r="F346" s="550"/>
      <c r="G346" s="550"/>
    </row>
    <row r="347" spans="1:7" x14ac:dyDescent="0.25">
      <c r="A347" s="550"/>
      <c r="B347" s="550"/>
      <c r="C347" s="550"/>
      <c r="D347" s="550"/>
      <c r="E347" s="550"/>
      <c r="F347" s="550"/>
      <c r="G347" s="550"/>
    </row>
    <row r="348" spans="1:7" x14ac:dyDescent="0.25">
      <c r="A348" s="550"/>
      <c r="B348" s="550"/>
      <c r="C348" s="550"/>
      <c r="D348" s="550"/>
      <c r="E348" s="550"/>
      <c r="F348" s="550"/>
      <c r="G348" s="550"/>
    </row>
    <row r="349" spans="1:7" x14ac:dyDescent="0.25">
      <c r="A349" s="550"/>
      <c r="B349" s="550"/>
      <c r="C349" s="550"/>
      <c r="D349" s="550"/>
      <c r="E349" s="550"/>
      <c r="F349" s="550"/>
      <c r="G349" s="550"/>
    </row>
    <row r="350" spans="1:7" x14ac:dyDescent="0.25">
      <c r="A350" s="550"/>
      <c r="B350" s="550"/>
      <c r="C350" s="550"/>
      <c r="D350" s="550"/>
      <c r="E350" s="550"/>
      <c r="F350" s="550"/>
      <c r="G350" s="550"/>
    </row>
    <row r="351" spans="1:7" x14ac:dyDescent="0.25">
      <c r="A351" s="550"/>
      <c r="B351" s="550"/>
      <c r="C351" s="550"/>
      <c r="D351" s="550"/>
      <c r="E351" s="550"/>
      <c r="F351" s="550"/>
      <c r="G351" s="550"/>
    </row>
    <row r="352" spans="1:7" x14ac:dyDescent="0.25">
      <c r="A352" s="550"/>
      <c r="B352" s="550"/>
      <c r="C352" s="550"/>
      <c r="D352" s="550"/>
      <c r="E352" s="550"/>
      <c r="F352" s="550"/>
      <c r="G352" s="550"/>
    </row>
    <row r="353" spans="1:7" x14ac:dyDescent="0.25">
      <c r="A353" s="550"/>
      <c r="B353" s="550"/>
      <c r="C353" s="550"/>
      <c r="D353" s="550"/>
      <c r="E353" s="550"/>
      <c r="F353" s="550"/>
      <c r="G353" s="550"/>
    </row>
    <row r="354" spans="1:7" x14ac:dyDescent="0.25">
      <c r="A354" s="550"/>
      <c r="B354" s="550"/>
      <c r="C354" s="550"/>
      <c r="D354" s="550"/>
      <c r="E354" s="550"/>
      <c r="F354" s="550"/>
      <c r="G354" s="550"/>
    </row>
    <row r="355" spans="1:7" x14ac:dyDescent="0.25">
      <c r="A355" s="550"/>
      <c r="B355" s="550"/>
      <c r="C355" s="550"/>
      <c r="D355" s="550"/>
      <c r="E355" s="550"/>
      <c r="F355" s="550"/>
      <c r="G355" s="550"/>
    </row>
    <row r="356" spans="1:7" x14ac:dyDescent="0.25">
      <c r="A356" s="550"/>
      <c r="B356" s="550"/>
      <c r="C356" s="550"/>
      <c r="D356" s="550"/>
      <c r="E356" s="550"/>
      <c r="F356" s="550"/>
      <c r="G356" s="550"/>
    </row>
    <row r="357" spans="1:7" x14ac:dyDescent="0.25">
      <c r="A357" s="550"/>
      <c r="B357" s="550"/>
      <c r="C357" s="550"/>
      <c r="D357" s="550"/>
      <c r="E357" s="550"/>
      <c r="F357" s="550"/>
      <c r="G357" s="550"/>
    </row>
    <row r="358" spans="1:7" x14ac:dyDescent="0.25">
      <c r="A358" s="550"/>
      <c r="B358" s="550"/>
      <c r="C358" s="550"/>
      <c r="D358" s="550"/>
      <c r="E358" s="550"/>
      <c r="F358" s="550"/>
      <c r="G358" s="550"/>
    </row>
    <row r="359" spans="1:7" x14ac:dyDescent="0.25">
      <c r="A359" s="550"/>
      <c r="B359" s="550"/>
      <c r="C359" s="550"/>
      <c r="D359" s="550"/>
      <c r="E359" s="550"/>
      <c r="F359" s="550"/>
      <c r="G359" s="550"/>
    </row>
    <row r="360" spans="1:7" x14ac:dyDescent="0.25">
      <c r="A360" s="550"/>
      <c r="B360" s="550"/>
      <c r="C360" s="550"/>
      <c r="D360" s="550"/>
      <c r="E360" s="550"/>
      <c r="F360" s="550"/>
      <c r="G360" s="550"/>
    </row>
    <row r="361" spans="1:7" x14ac:dyDescent="0.25">
      <c r="A361" s="550"/>
      <c r="B361" s="550"/>
      <c r="C361" s="550"/>
      <c r="D361" s="550"/>
      <c r="E361" s="550"/>
      <c r="F361" s="550"/>
      <c r="G361" s="550"/>
    </row>
    <row r="362" spans="1:7" x14ac:dyDescent="0.25">
      <c r="A362" s="550"/>
      <c r="B362" s="550"/>
      <c r="C362" s="550"/>
      <c r="D362" s="550"/>
      <c r="E362" s="550"/>
      <c r="F362" s="550"/>
      <c r="G362" s="550"/>
    </row>
    <row r="363" spans="1:7" x14ac:dyDescent="0.25">
      <c r="A363" s="550"/>
      <c r="B363" s="550"/>
      <c r="C363" s="550"/>
      <c r="D363" s="550"/>
      <c r="E363" s="550"/>
      <c r="F363" s="550"/>
      <c r="G363" s="550"/>
    </row>
    <row r="364" spans="1:7" x14ac:dyDescent="0.25">
      <c r="A364" s="550"/>
      <c r="B364" s="550"/>
      <c r="C364" s="550"/>
      <c r="D364" s="550"/>
      <c r="E364" s="550"/>
      <c r="F364" s="550"/>
      <c r="G364" s="550"/>
    </row>
    <row r="365" spans="1:7" x14ac:dyDescent="0.25">
      <c r="A365" s="550"/>
      <c r="B365" s="550"/>
      <c r="C365" s="550"/>
      <c r="D365" s="550"/>
      <c r="E365" s="550"/>
      <c r="F365" s="550"/>
      <c r="G365" s="550"/>
    </row>
    <row r="366" spans="1:7" x14ac:dyDescent="0.25">
      <c r="A366" s="550"/>
      <c r="B366" s="550"/>
      <c r="C366" s="550"/>
      <c r="D366" s="550"/>
      <c r="E366" s="550"/>
      <c r="F366" s="550"/>
      <c r="G366" s="550"/>
    </row>
    <row r="367" spans="1:7" x14ac:dyDescent="0.25">
      <c r="A367" s="550"/>
      <c r="B367" s="550"/>
      <c r="C367" s="550"/>
      <c r="D367" s="550"/>
      <c r="E367" s="550"/>
      <c r="F367" s="550"/>
      <c r="G367" s="550"/>
    </row>
    <row r="368" spans="1:7" x14ac:dyDescent="0.25">
      <c r="A368" s="550"/>
      <c r="B368" s="550"/>
      <c r="C368" s="550"/>
      <c r="D368" s="550"/>
      <c r="E368" s="550"/>
      <c r="F368" s="550"/>
      <c r="G368" s="550"/>
    </row>
    <row r="369" spans="1:7" x14ac:dyDescent="0.25">
      <c r="A369" s="550"/>
      <c r="B369" s="550"/>
      <c r="C369" s="550"/>
      <c r="D369" s="550"/>
      <c r="E369" s="550"/>
      <c r="F369" s="550"/>
      <c r="G369" s="550"/>
    </row>
    <row r="370" spans="1:7" x14ac:dyDescent="0.25">
      <c r="A370" s="550"/>
      <c r="B370" s="550"/>
      <c r="C370" s="550"/>
      <c r="D370" s="550"/>
      <c r="E370" s="550"/>
      <c r="F370" s="550"/>
      <c r="G370" s="550"/>
    </row>
    <row r="371" spans="1:7" x14ac:dyDescent="0.25">
      <c r="A371" s="550"/>
      <c r="B371" s="550"/>
      <c r="C371" s="550"/>
      <c r="D371" s="550"/>
      <c r="E371" s="550"/>
      <c r="F371" s="550"/>
      <c r="G371" s="550"/>
    </row>
    <row r="372" spans="1:7" x14ac:dyDescent="0.25">
      <c r="A372" s="550"/>
      <c r="B372" s="550"/>
      <c r="C372" s="550"/>
      <c r="D372" s="550"/>
      <c r="E372" s="550"/>
      <c r="F372" s="550"/>
      <c r="G372" s="550"/>
    </row>
    <row r="373" spans="1:7" x14ac:dyDescent="0.25">
      <c r="A373" s="550"/>
      <c r="B373" s="550"/>
      <c r="C373" s="550"/>
      <c r="D373" s="550"/>
      <c r="E373" s="550"/>
      <c r="F373" s="550"/>
      <c r="G373" s="550"/>
    </row>
    <row r="374" spans="1:7" x14ac:dyDescent="0.25">
      <c r="A374" s="550"/>
      <c r="B374" s="550"/>
      <c r="C374" s="550"/>
      <c r="D374" s="550"/>
      <c r="E374" s="550"/>
      <c r="F374" s="550"/>
      <c r="G374" s="550"/>
    </row>
    <row r="375" spans="1:7" x14ac:dyDescent="0.25">
      <c r="A375" s="550"/>
      <c r="B375" s="550"/>
      <c r="C375" s="550"/>
      <c r="D375" s="550"/>
      <c r="E375" s="550"/>
      <c r="F375" s="550"/>
      <c r="G375" s="550"/>
    </row>
    <row r="376" spans="1:7" x14ac:dyDescent="0.25">
      <c r="A376" s="550"/>
      <c r="B376" s="550"/>
      <c r="C376" s="550"/>
      <c r="D376" s="550"/>
      <c r="E376" s="550"/>
      <c r="F376" s="550"/>
      <c r="G376" s="550"/>
    </row>
    <row r="377" spans="1:7" x14ac:dyDescent="0.25">
      <c r="A377" s="550"/>
      <c r="B377" s="550"/>
      <c r="C377" s="550"/>
      <c r="D377" s="550"/>
      <c r="E377" s="550"/>
      <c r="F377" s="550"/>
      <c r="G377" s="550"/>
    </row>
    <row r="378" spans="1:7" x14ac:dyDescent="0.25">
      <c r="A378" s="550"/>
      <c r="B378" s="550"/>
      <c r="C378" s="550"/>
      <c r="D378" s="550"/>
      <c r="E378" s="550"/>
      <c r="F378" s="550"/>
      <c r="G378" s="550"/>
    </row>
    <row r="379" spans="1:7" x14ac:dyDescent="0.25">
      <c r="A379" s="550"/>
      <c r="B379" s="550"/>
      <c r="C379" s="550"/>
      <c r="D379" s="550"/>
      <c r="E379" s="550"/>
      <c r="F379" s="550"/>
      <c r="G379" s="550"/>
    </row>
    <row r="380" spans="1:7" x14ac:dyDescent="0.25">
      <c r="A380" s="550"/>
      <c r="B380" s="550"/>
      <c r="C380" s="550"/>
      <c r="D380" s="550"/>
      <c r="E380" s="550"/>
      <c r="F380" s="550"/>
      <c r="G380" s="550"/>
    </row>
    <row r="381" spans="1:7" x14ac:dyDescent="0.25">
      <c r="A381" s="550"/>
      <c r="B381" s="550"/>
      <c r="C381" s="550"/>
      <c r="D381" s="550"/>
      <c r="E381" s="550"/>
      <c r="F381" s="550"/>
      <c r="G381" s="550"/>
    </row>
    <row r="382" spans="1:7" x14ac:dyDescent="0.25">
      <c r="A382" s="550"/>
      <c r="B382" s="550"/>
      <c r="C382" s="550"/>
      <c r="D382" s="550"/>
      <c r="E382" s="550"/>
      <c r="F382" s="550"/>
      <c r="G382" s="550"/>
    </row>
    <row r="383" spans="1:7" x14ac:dyDescent="0.25">
      <c r="A383" s="550"/>
      <c r="B383" s="550"/>
      <c r="C383" s="550"/>
      <c r="D383" s="550"/>
      <c r="E383" s="550"/>
      <c r="F383" s="550"/>
      <c r="G383" s="550"/>
    </row>
    <row r="384" spans="1:7" x14ac:dyDescent="0.25">
      <c r="A384" s="550"/>
      <c r="B384" s="550"/>
      <c r="C384" s="550"/>
      <c r="D384" s="550"/>
      <c r="E384" s="550"/>
      <c r="F384" s="550"/>
      <c r="G384" s="550"/>
    </row>
    <row r="385" spans="1:7" x14ac:dyDescent="0.25">
      <c r="A385" s="550"/>
      <c r="B385" s="550"/>
      <c r="C385" s="550"/>
      <c r="D385" s="550"/>
      <c r="E385" s="550"/>
      <c r="F385" s="550"/>
      <c r="G385" s="550"/>
    </row>
    <row r="386" spans="1:7" x14ac:dyDescent="0.25">
      <c r="A386" s="550"/>
      <c r="B386" s="550"/>
      <c r="C386" s="550"/>
      <c r="D386" s="550"/>
      <c r="E386" s="550"/>
      <c r="F386" s="550"/>
      <c r="G386" s="550"/>
    </row>
    <row r="387" spans="1:7" x14ac:dyDescent="0.25">
      <c r="A387" s="550"/>
      <c r="B387" s="550"/>
      <c r="C387" s="550"/>
      <c r="D387" s="550"/>
      <c r="E387" s="550"/>
      <c r="F387" s="550"/>
      <c r="G387" s="550"/>
    </row>
    <row r="388" spans="1:7" x14ac:dyDescent="0.25">
      <c r="A388" s="550"/>
      <c r="B388" s="550"/>
      <c r="C388" s="550"/>
      <c r="D388" s="550"/>
      <c r="E388" s="550"/>
      <c r="F388" s="550"/>
      <c r="G388" s="550"/>
    </row>
    <row r="389" spans="1:7" x14ac:dyDescent="0.25">
      <c r="A389" s="550"/>
      <c r="B389" s="550"/>
      <c r="C389" s="550"/>
      <c r="D389" s="550"/>
      <c r="E389" s="550"/>
      <c r="F389" s="550"/>
      <c r="G389" s="550"/>
    </row>
    <row r="390" spans="1:7" x14ac:dyDescent="0.25">
      <c r="A390" s="550"/>
      <c r="B390" s="550"/>
      <c r="C390" s="550"/>
      <c r="D390" s="550"/>
      <c r="E390" s="550"/>
      <c r="F390" s="550"/>
      <c r="G390" s="550"/>
    </row>
    <row r="391" spans="1:7" x14ac:dyDescent="0.25">
      <c r="A391" s="550"/>
      <c r="B391" s="550"/>
      <c r="C391" s="550"/>
      <c r="D391" s="550"/>
      <c r="E391" s="550"/>
      <c r="F391" s="550"/>
      <c r="G391" s="550"/>
    </row>
    <row r="392" spans="1:7" x14ac:dyDescent="0.25">
      <c r="A392" s="550"/>
      <c r="B392" s="550"/>
      <c r="C392" s="550"/>
      <c r="D392" s="550"/>
      <c r="E392" s="550"/>
      <c r="F392" s="550"/>
      <c r="G392" s="550"/>
    </row>
    <row r="393" spans="1:7" x14ac:dyDescent="0.25">
      <c r="A393" s="550"/>
      <c r="B393" s="550"/>
      <c r="C393" s="550"/>
      <c r="D393" s="550"/>
      <c r="E393" s="550"/>
      <c r="F393" s="550"/>
      <c r="G393" s="550"/>
    </row>
    <row r="394" spans="1:7" x14ac:dyDescent="0.25">
      <c r="A394" s="550"/>
      <c r="B394" s="550"/>
      <c r="C394" s="550"/>
      <c r="D394" s="550"/>
      <c r="E394" s="550"/>
      <c r="F394" s="550"/>
      <c r="G394" s="550"/>
    </row>
    <row r="395" spans="1:7" x14ac:dyDescent="0.25">
      <c r="A395" s="550"/>
      <c r="B395" s="550"/>
      <c r="C395" s="550"/>
      <c r="D395" s="550"/>
      <c r="E395" s="550"/>
      <c r="F395" s="550"/>
      <c r="G395" s="550"/>
    </row>
    <row r="396" spans="1:7" x14ac:dyDescent="0.25">
      <c r="A396" s="550"/>
      <c r="B396" s="550"/>
      <c r="C396" s="550"/>
      <c r="D396" s="550"/>
      <c r="E396" s="550"/>
      <c r="F396" s="550"/>
      <c r="G396" s="550"/>
    </row>
    <row r="397" spans="1:7" x14ac:dyDescent="0.25">
      <c r="A397" s="550"/>
      <c r="B397" s="550"/>
      <c r="C397" s="550"/>
      <c r="D397" s="550"/>
      <c r="E397" s="550"/>
      <c r="F397" s="550"/>
      <c r="G397" s="550"/>
    </row>
    <row r="398" spans="1:7" x14ac:dyDescent="0.25">
      <c r="A398" s="550"/>
      <c r="B398" s="550"/>
      <c r="C398" s="550"/>
      <c r="D398" s="550"/>
      <c r="E398" s="550"/>
      <c r="F398" s="550"/>
      <c r="G398" s="550"/>
    </row>
    <row r="399" spans="1:7" x14ac:dyDescent="0.25">
      <c r="A399" s="550"/>
      <c r="B399" s="550"/>
      <c r="C399" s="550"/>
      <c r="D399" s="550"/>
      <c r="E399" s="550"/>
      <c r="F399" s="550"/>
      <c r="G399" s="550"/>
    </row>
    <row r="400" spans="1:7" x14ac:dyDescent="0.25">
      <c r="A400" s="550"/>
      <c r="B400" s="550"/>
      <c r="C400" s="550"/>
      <c r="D400" s="550"/>
      <c r="E400" s="550"/>
      <c r="F400" s="550"/>
      <c r="G400" s="550"/>
    </row>
    <row r="401" spans="1:7" x14ac:dyDescent="0.25">
      <c r="A401" s="550"/>
      <c r="B401" s="550"/>
      <c r="C401" s="550"/>
      <c r="D401" s="550"/>
      <c r="E401" s="550"/>
      <c r="F401" s="550"/>
      <c r="G401" s="550"/>
    </row>
    <row r="402" spans="1:7" x14ac:dyDescent="0.25">
      <c r="A402" s="550"/>
      <c r="B402" s="550"/>
      <c r="C402" s="550"/>
      <c r="D402" s="550"/>
      <c r="E402" s="550"/>
      <c r="F402" s="550"/>
      <c r="G402" s="550"/>
    </row>
    <row r="403" spans="1:7" x14ac:dyDescent="0.25">
      <c r="A403" s="550"/>
      <c r="B403" s="550"/>
      <c r="C403" s="550"/>
      <c r="D403" s="550"/>
      <c r="E403" s="550"/>
      <c r="F403" s="550"/>
      <c r="G403" s="550"/>
    </row>
    <row r="404" spans="1:7" x14ac:dyDescent="0.25">
      <c r="A404" s="550"/>
      <c r="B404" s="550"/>
      <c r="C404" s="550"/>
      <c r="D404" s="550"/>
      <c r="E404" s="550"/>
      <c r="F404" s="550"/>
      <c r="G404" s="550"/>
    </row>
    <row r="405" spans="1:7" x14ac:dyDescent="0.25">
      <c r="A405" s="550"/>
      <c r="B405" s="550"/>
      <c r="C405" s="550"/>
      <c r="D405" s="550"/>
      <c r="E405" s="550"/>
      <c r="F405" s="550"/>
      <c r="G405" s="550"/>
    </row>
    <row r="406" spans="1:7" x14ac:dyDescent="0.25">
      <c r="A406" s="550"/>
      <c r="B406" s="550"/>
      <c r="C406" s="550"/>
      <c r="D406" s="550"/>
      <c r="E406" s="550"/>
      <c r="F406" s="550"/>
      <c r="G406" s="550"/>
    </row>
    <row r="407" spans="1:7" x14ac:dyDescent="0.25">
      <c r="A407" s="550"/>
      <c r="B407" s="550"/>
      <c r="C407" s="550"/>
      <c r="D407" s="550"/>
      <c r="E407" s="550"/>
      <c r="F407" s="550"/>
      <c r="G407" s="550"/>
    </row>
    <row r="408" spans="1:7" x14ac:dyDescent="0.25">
      <c r="A408" s="550"/>
      <c r="B408" s="550"/>
      <c r="C408" s="550"/>
      <c r="D408" s="550"/>
      <c r="E408" s="550"/>
      <c r="F408" s="550"/>
      <c r="G408" s="550"/>
    </row>
    <row r="409" spans="1:7" x14ac:dyDescent="0.25">
      <c r="A409" s="550"/>
      <c r="B409" s="550"/>
      <c r="C409" s="550"/>
      <c r="D409" s="550"/>
      <c r="E409" s="550"/>
      <c r="F409" s="550"/>
      <c r="G409" s="550"/>
    </row>
    <row r="410" spans="1:7" x14ac:dyDescent="0.25">
      <c r="A410" s="550"/>
      <c r="B410" s="550"/>
      <c r="C410" s="550"/>
      <c r="D410" s="550"/>
      <c r="E410" s="550"/>
      <c r="F410" s="550"/>
      <c r="G410" s="550"/>
    </row>
    <row r="411" spans="1:7" x14ac:dyDescent="0.25">
      <c r="A411" s="550"/>
      <c r="B411" s="550"/>
      <c r="C411" s="550"/>
      <c r="D411" s="550"/>
      <c r="E411" s="550"/>
      <c r="F411" s="550"/>
      <c r="G411" s="550"/>
    </row>
    <row r="412" spans="1:7" x14ac:dyDescent="0.25">
      <c r="A412" s="550"/>
      <c r="B412" s="550"/>
      <c r="C412" s="550"/>
      <c r="D412" s="550"/>
      <c r="E412" s="550"/>
      <c r="F412" s="550"/>
      <c r="G412" s="550"/>
    </row>
    <row r="413" spans="1:7" x14ac:dyDescent="0.25">
      <c r="A413" s="550"/>
      <c r="B413" s="550"/>
      <c r="C413" s="550"/>
      <c r="D413" s="550"/>
      <c r="E413" s="550"/>
      <c r="F413" s="550"/>
      <c r="G413" s="550"/>
    </row>
    <row r="414" spans="1:7" x14ac:dyDescent="0.25">
      <c r="A414" s="550"/>
      <c r="B414" s="550"/>
      <c r="C414" s="550"/>
      <c r="D414" s="550"/>
      <c r="E414" s="550"/>
      <c r="F414" s="550"/>
      <c r="G414" s="550"/>
    </row>
    <row r="415" spans="1:7" x14ac:dyDescent="0.25">
      <c r="A415" s="550"/>
      <c r="B415" s="550"/>
      <c r="C415" s="550"/>
      <c r="D415" s="550"/>
      <c r="E415" s="550"/>
      <c r="F415" s="550"/>
      <c r="G415" s="550"/>
    </row>
    <row r="416" spans="1:7" x14ac:dyDescent="0.25">
      <c r="A416" s="550"/>
      <c r="B416" s="550"/>
      <c r="C416" s="550"/>
      <c r="D416" s="550"/>
      <c r="E416" s="550"/>
      <c r="F416" s="550"/>
      <c r="G416" s="550"/>
    </row>
    <row r="417" spans="1:7" x14ac:dyDescent="0.25">
      <c r="A417" s="550"/>
      <c r="B417" s="550"/>
      <c r="C417" s="550"/>
      <c r="D417" s="550"/>
      <c r="E417" s="550"/>
      <c r="F417" s="550"/>
      <c r="G417" s="550"/>
    </row>
    <row r="418" spans="1:7" x14ac:dyDescent="0.25">
      <c r="A418" s="550"/>
      <c r="B418" s="550"/>
      <c r="C418" s="550"/>
      <c r="D418" s="550"/>
      <c r="E418" s="550"/>
      <c r="F418" s="550"/>
      <c r="G418" s="550"/>
    </row>
    <row r="419" spans="1:7" x14ac:dyDescent="0.25">
      <c r="A419" s="550"/>
      <c r="B419" s="550"/>
      <c r="C419" s="550"/>
      <c r="D419" s="550"/>
      <c r="E419" s="550"/>
      <c r="F419" s="550"/>
      <c r="G419" s="550"/>
    </row>
    <row r="420" spans="1:7" x14ac:dyDescent="0.25">
      <c r="A420" s="550"/>
      <c r="B420" s="550"/>
      <c r="C420" s="550"/>
      <c r="D420" s="550"/>
      <c r="E420" s="550"/>
      <c r="F420" s="550"/>
      <c r="G420" s="550"/>
    </row>
    <row r="421" spans="1:7" x14ac:dyDescent="0.25">
      <c r="A421" s="550"/>
      <c r="B421" s="550"/>
      <c r="C421" s="550"/>
      <c r="D421" s="550"/>
      <c r="E421" s="550"/>
      <c r="F421" s="550"/>
      <c r="G421" s="550"/>
    </row>
    <row r="422" spans="1:7" x14ac:dyDescent="0.25">
      <c r="A422" s="550"/>
      <c r="B422" s="550"/>
      <c r="C422" s="550"/>
      <c r="D422" s="550"/>
      <c r="E422" s="550"/>
      <c r="F422" s="550"/>
      <c r="G422" s="550"/>
    </row>
    <row r="423" spans="1:7" x14ac:dyDescent="0.25">
      <c r="A423" s="550"/>
      <c r="B423" s="550"/>
      <c r="C423" s="550"/>
      <c r="D423" s="550"/>
      <c r="E423" s="550"/>
      <c r="F423" s="550"/>
      <c r="G423" s="550"/>
    </row>
    <row r="424" spans="1:7" x14ac:dyDescent="0.25">
      <c r="A424" s="550"/>
      <c r="B424" s="550"/>
      <c r="C424" s="550"/>
      <c r="D424" s="550"/>
      <c r="E424" s="550"/>
      <c r="F424" s="550"/>
      <c r="G424" s="550"/>
    </row>
    <row r="425" spans="1:7" x14ac:dyDescent="0.25">
      <c r="A425" s="550"/>
      <c r="B425" s="550"/>
      <c r="C425" s="550"/>
      <c r="D425" s="550"/>
      <c r="E425" s="550"/>
      <c r="F425" s="550"/>
      <c r="G425" s="550"/>
    </row>
    <row r="426" spans="1:7" x14ac:dyDescent="0.25">
      <c r="A426" s="550"/>
      <c r="B426" s="550"/>
      <c r="C426" s="550"/>
      <c r="D426" s="550"/>
      <c r="E426" s="550"/>
      <c r="F426" s="550"/>
      <c r="G426" s="550"/>
    </row>
    <row r="427" spans="1:7" x14ac:dyDescent="0.25">
      <c r="A427" s="550"/>
      <c r="B427" s="550"/>
      <c r="C427" s="550"/>
      <c r="D427" s="550"/>
      <c r="E427" s="550"/>
      <c r="F427" s="550"/>
      <c r="G427" s="550"/>
    </row>
    <row r="428" spans="1:7" x14ac:dyDescent="0.25">
      <c r="A428" s="550"/>
      <c r="B428" s="550"/>
      <c r="C428" s="550"/>
      <c r="D428" s="550"/>
      <c r="E428" s="550"/>
      <c r="F428" s="550"/>
      <c r="G428" s="550"/>
    </row>
    <row r="429" spans="1:7" x14ac:dyDescent="0.25">
      <c r="A429" s="550"/>
      <c r="B429" s="550"/>
      <c r="C429" s="550"/>
      <c r="D429" s="550"/>
      <c r="E429" s="550"/>
      <c r="F429" s="550"/>
      <c r="G429" s="550"/>
    </row>
    <row r="430" spans="1:7" x14ac:dyDescent="0.25">
      <c r="A430" s="550"/>
      <c r="B430" s="550"/>
      <c r="C430" s="550"/>
      <c r="D430" s="550"/>
      <c r="E430" s="550"/>
      <c r="F430" s="550"/>
      <c r="G430" s="550"/>
    </row>
    <row r="431" spans="1:7" x14ac:dyDescent="0.25">
      <c r="A431" s="550"/>
      <c r="B431" s="550"/>
      <c r="C431" s="550"/>
      <c r="D431" s="550"/>
      <c r="E431" s="550"/>
      <c r="F431" s="550"/>
      <c r="G431" s="550"/>
    </row>
    <row r="432" spans="1:7" x14ac:dyDescent="0.25">
      <c r="A432" s="550"/>
      <c r="B432" s="550"/>
      <c r="C432" s="550"/>
      <c r="D432" s="550"/>
      <c r="E432" s="550"/>
      <c r="F432" s="550"/>
      <c r="G432" s="550"/>
    </row>
    <row r="433" spans="1:7" x14ac:dyDescent="0.25">
      <c r="A433" s="550"/>
      <c r="B433" s="550"/>
      <c r="C433" s="550"/>
      <c r="D433" s="550"/>
      <c r="E433" s="550"/>
      <c r="F433" s="550"/>
      <c r="G433" s="550"/>
    </row>
    <row r="434" spans="1:7" x14ac:dyDescent="0.25">
      <c r="A434" s="550"/>
      <c r="B434" s="550"/>
      <c r="C434" s="550"/>
      <c r="D434" s="550"/>
      <c r="E434" s="550"/>
      <c r="F434" s="550"/>
      <c r="G434" s="550"/>
    </row>
    <row r="435" spans="1:7" x14ac:dyDescent="0.25">
      <c r="A435" s="550"/>
      <c r="B435" s="550"/>
      <c r="C435" s="550"/>
      <c r="D435" s="550"/>
      <c r="E435" s="550"/>
      <c r="F435" s="550"/>
      <c r="G435" s="550"/>
    </row>
    <row r="436" spans="1:7" x14ac:dyDescent="0.25">
      <c r="A436" s="550"/>
      <c r="B436" s="550"/>
      <c r="C436" s="550"/>
      <c r="D436" s="550"/>
      <c r="E436" s="550"/>
      <c r="F436" s="550"/>
      <c r="G436" s="550"/>
    </row>
    <row r="437" spans="1:7" x14ac:dyDescent="0.25">
      <c r="A437" s="550"/>
      <c r="B437" s="550"/>
      <c r="C437" s="550"/>
      <c r="D437" s="550"/>
      <c r="E437" s="550"/>
      <c r="F437" s="550"/>
      <c r="G437" s="550"/>
    </row>
    <row r="438" spans="1:7" x14ac:dyDescent="0.25">
      <c r="A438" s="550"/>
      <c r="B438" s="550"/>
      <c r="C438" s="550"/>
      <c r="D438" s="550"/>
      <c r="E438" s="550"/>
      <c r="F438" s="550"/>
      <c r="G438" s="550"/>
    </row>
    <row r="439" spans="1:7" x14ac:dyDescent="0.25">
      <c r="A439" s="550"/>
      <c r="B439" s="550"/>
      <c r="C439" s="550"/>
      <c r="D439" s="550"/>
      <c r="E439" s="550"/>
      <c r="F439" s="550"/>
      <c r="G439" s="550"/>
    </row>
    <row r="440" spans="1:7" x14ac:dyDescent="0.25">
      <c r="A440" s="550"/>
      <c r="B440" s="550"/>
      <c r="C440" s="550"/>
      <c r="D440" s="550"/>
      <c r="E440" s="550"/>
      <c r="F440" s="550"/>
      <c r="G440" s="550"/>
    </row>
    <row r="441" spans="1:7" x14ac:dyDescent="0.25">
      <c r="A441" s="550"/>
      <c r="B441" s="550"/>
      <c r="C441" s="550"/>
      <c r="D441" s="550"/>
      <c r="E441" s="550"/>
      <c r="F441" s="550"/>
      <c r="G441" s="550"/>
    </row>
    <row r="442" spans="1:7" x14ac:dyDescent="0.25">
      <c r="A442" s="550"/>
      <c r="B442" s="550"/>
      <c r="C442" s="550"/>
      <c r="D442" s="550"/>
      <c r="E442" s="550"/>
      <c r="F442" s="550"/>
      <c r="G442" s="550"/>
    </row>
    <row r="443" spans="1:7" x14ac:dyDescent="0.25">
      <c r="A443" s="550"/>
      <c r="B443" s="550"/>
      <c r="C443" s="550"/>
      <c r="D443" s="550"/>
      <c r="E443" s="550"/>
      <c r="F443" s="550"/>
      <c r="G443" s="550"/>
    </row>
    <row r="444" spans="1:7" x14ac:dyDescent="0.25">
      <c r="A444" s="550"/>
      <c r="B444" s="550"/>
      <c r="C444" s="550"/>
      <c r="D444" s="550"/>
      <c r="E444" s="550"/>
      <c r="F444" s="550"/>
      <c r="G444" s="550"/>
    </row>
    <row r="445" spans="1:7" x14ac:dyDescent="0.25">
      <c r="A445" s="550"/>
      <c r="B445" s="550"/>
      <c r="C445" s="550"/>
      <c r="D445" s="550"/>
      <c r="E445" s="550"/>
      <c r="F445" s="550"/>
      <c r="G445" s="550"/>
    </row>
    <row r="446" spans="1:7" x14ac:dyDescent="0.25">
      <c r="A446" s="550"/>
      <c r="B446" s="550"/>
      <c r="C446" s="550"/>
      <c r="D446" s="550"/>
      <c r="E446" s="550"/>
      <c r="F446" s="550"/>
      <c r="G446" s="550"/>
    </row>
    <row r="447" spans="1:7" x14ac:dyDescent="0.25">
      <c r="A447" s="550"/>
      <c r="B447" s="550"/>
      <c r="C447" s="550"/>
      <c r="D447" s="550"/>
      <c r="E447" s="550"/>
      <c r="F447" s="550"/>
      <c r="G447" s="550"/>
    </row>
    <row r="448" spans="1:7" x14ac:dyDescent="0.25">
      <c r="A448" s="550"/>
      <c r="B448" s="550"/>
      <c r="C448" s="550"/>
      <c r="D448" s="550"/>
      <c r="E448" s="550"/>
      <c r="F448" s="550"/>
      <c r="G448" s="550"/>
    </row>
    <row r="449" spans="1:7" x14ac:dyDescent="0.25">
      <c r="A449" s="550"/>
      <c r="B449" s="550"/>
      <c r="C449" s="550"/>
      <c r="D449" s="550"/>
      <c r="E449" s="550"/>
      <c r="F449" s="550"/>
      <c r="G449" s="550"/>
    </row>
    <row r="450" spans="1:7" x14ac:dyDescent="0.25">
      <c r="A450" s="550"/>
      <c r="B450" s="550"/>
      <c r="C450" s="550"/>
      <c r="D450" s="550"/>
      <c r="E450" s="550"/>
      <c r="F450" s="550"/>
      <c r="G450" s="550"/>
    </row>
    <row r="451" spans="1:7" x14ac:dyDescent="0.25">
      <c r="A451" s="550"/>
      <c r="B451" s="550"/>
      <c r="C451" s="550"/>
      <c r="D451" s="550"/>
      <c r="E451" s="550"/>
      <c r="F451" s="550"/>
      <c r="G451" s="550"/>
    </row>
    <row r="452" spans="1:7" x14ac:dyDescent="0.25">
      <c r="A452" s="550"/>
      <c r="B452" s="550"/>
      <c r="C452" s="550"/>
      <c r="D452" s="550"/>
      <c r="E452" s="550"/>
      <c r="F452" s="550"/>
      <c r="G452" s="550"/>
    </row>
    <row r="453" spans="1:7" x14ac:dyDescent="0.25">
      <c r="A453" s="550"/>
      <c r="B453" s="550"/>
      <c r="C453" s="550"/>
      <c r="D453" s="550"/>
      <c r="E453" s="550"/>
      <c r="F453" s="550"/>
      <c r="G453" s="550"/>
    </row>
    <row r="454" spans="1:7" x14ac:dyDescent="0.25">
      <c r="A454" s="550"/>
      <c r="B454" s="550"/>
      <c r="C454" s="550"/>
      <c r="D454" s="550"/>
      <c r="E454" s="550"/>
      <c r="F454" s="550"/>
      <c r="G454" s="550"/>
    </row>
    <row r="455" spans="1:7" x14ac:dyDescent="0.25">
      <c r="A455" s="550"/>
      <c r="B455" s="550"/>
      <c r="C455" s="550"/>
      <c r="D455" s="550"/>
      <c r="E455" s="550"/>
      <c r="F455" s="550"/>
      <c r="G455" s="550"/>
    </row>
    <row r="456" spans="1:7" x14ac:dyDescent="0.25">
      <c r="A456" s="550"/>
      <c r="B456" s="550"/>
      <c r="C456" s="550"/>
      <c r="D456" s="550"/>
      <c r="E456" s="550"/>
      <c r="F456" s="550"/>
      <c r="G456" s="550"/>
    </row>
    <row r="457" spans="1:7" x14ac:dyDescent="0.25">
      <c r="A457" s="550"/>
      <c r="B457" s="550"/>
      <c r="C457" s="550"/>
      <c r="D457" s="550"/>
      <c r="E457" s="550"/>
      <c r="F457" s="550"/>
      <c r="G457" s="550"/>
    </row>
    <row r="458" spans="1:7" x14ac:dyDescent="0.25">
      <c r="A458" s="550"/>
      <c r="B458" s="550"/>
      <c r="C458" s="550"/>
      <c r="D458" s="550"/>
      <c r="E458" s="550"/>
      <c r="F458" s="550"/>
      <c r="G458" s="550"/>
    </row>
    <row r="459" spans="1:7" x14ac:dyDescent="0.25">
      <c r="A459" s="550"/>
      <c r="B459" s="550"/>
      <c r="C459" s="550"/>
      <c r="D459" s="550"/>
      <c r="E459" s="550"/>
      <c r="F459" s="550"/>
      <c r="G459" s="550"/>
    </row>
    <row r="460" spans="1:7" x14ac:dyDescent="0.25">
      <c r="A460" s="550"/>
      <c r="B460" s="550"/>
      <c r="C460" s="550"/>
      <c r="D460" s="550"/>
      <c r="E460" s="550"/>
      <c r="F460" s="550"/>
      <c r="G460" s="550"/>
    </row>
    <row r="461" spans="1:7" x14ac:dyDescent="0.25">
      <c r="A461" s="550"/>
      <c r="B461" s="550"/>
      <c r="C461" s="550"/>
      <c r="D461" s="550"/>
      <c r="E461" s="550"/>
      <c r="F461" s="550"/>
      <c r="G461" s="550"/>
    </row>
    <row r="462" spans="1:7" x14ac:dyDescent="0.25">
      <c r="A462" s="550"/>
      <c r="B462" s="550"/>
      <c r="C462" s="550"/>
      <c r="D462" s="550"/>
      <c r="E462" s="550"/>
      <c r="F462" s="550"/>
      <c r="G462" s="550"/>
    </row>
    <row r="463" spans="1:7" x14ac:dyDescent="0.25">
      <c r="A463" s="550"/>
      <c r="B463" s="550"/>
      <c r="C463" s="550"/>
      <c r="D463" s="550"/>
      <c r="E463" s="550"/>
      <c r="F463" s="550"/>
      <c r="G463" s="550"/>
    </row>
    <row r="464" spans="1:7" x14ac:dyDescent="0.25">
      <c r="A464" s="550"/>
      <c r="B464" s="550"/>
      <c r="C464" s="550"/>
      <c r="D464" s="550"/>
      <c r="E464" s="550"/>
      <c r="F464" s="550"/>
      <c r="G464" s="550"/>
    </row>
    <row r="465" spans="1:7" x14ac:dyDescent="0.25">
      <c r="A465" s="550"/>
      <c r="B465" s="550"/>
      <c r="C465" s="550"/>
      <c r="D465" s="550"/>
      <c r="E465" s="550"/>
      <c r="F465" s="550"/>
      <c r="G465" s="550"/>
    </row>
    <row r="466" spans="1:7" x14ac:dyDescent="0.25">
      <c r="A466" s="550"/>
      <c r="B466" s="550"/>
      <c r="C466" s="550"/>
      <c r="D466" s="550"/>
      <c r="E466" s="550"/>
      <c r="F466" s="550"/>
      <c r="G466" s="550"/>
    </row>
    <row r="467" spans="1:7" x14ac:dyDescent="0.25">
      <c r="A467" s="550"/>
      <c r="B467" s="550"/>
      <c r="C467" s="550"/>
      <c r="D467" s="550"/>
      <c r="E467" s="550"/>
      <c r="F467" s="550"/>
      <c r="G467" s="550"/>
    </row>
    <row r="468" spans="1:7" x14ac:dyDescent="0.25">
      <c r="A468" s="550"/>
      <c r="B468" s="550"/>
      <c r="C468" s="550"/>
      <c r="D468" s="550"/>
      <c r="E468" s="550"/>
      <c r="F468" s="550"/>
      <c r="G468" s="550"/>
    </row>
    <row r="469" spans="1:7" x14ac:dyDescent="0.25">
      <c r="A469" s="550"/>
      <c r="B469" s="550"/>
      <c r="C469" s="550"/>
      <c r="D469" s="550"/>
      <c r="E469" s="550"/>
      <c r="F469" s="550"/>
      <c r="G469" s="550"/>
    </row>
    <row r="470" spans="1:7" x14ac:dyDescent="0.25">
      <c r="A470" s="550"/>
      <c r="B470" s="550"/>
      <c r="C470" s="550"/>
      <c r="D470" s="550"/>
      <c r="E470" s="550"/>
      <c r="F470" s="550"/>
      <c r="G470" s="550"/>
    </row>
    <row r="471" spans="1:7" x14ac:dyDescent="0.25">
      <c r="A471" s="550"/>
      <c r="B471" s="550"/>
      <c r="C471" s="550"/>
      <c r="D471" s="550"/>
      <c r="E471" s="550"/>
      <c r="F471" s="550"/>
      <c r="G471" s="550"/>
    </row>
    <row r="472" spans="1:7" x14ac:dyDescent="0.25">
      <c r="A472" s="550"/>
      <c r="B472" s="550"/>
      <c r="C472" s="550"/>
      <c r="D472" s="550"/>
      <c r="E472" s="550"/>
      <c r="F472" s="550"/>
      <c r="G472" s="550"/>
    </row>
    <row r="473" spans="1:7" x14ac:dyDescent="0.25">
      <c r="A473" s="550"/>
      <c r="B473" s="550"/>
      <c r="C473" s="550"/>
      <c r="D473" s="550"/>
      <c r="E473" s="550"/>
      <c r="F473" s="550"/>
      <c r="G473" s="550"/>
    </row>
    <row r="474" spans="1:7" x14ac:dyDescent="0.25">
      <c r="A474" s="550"/>
      <c r="B474" s="550"/>
      <c r="C474" s="550"/>
      <c r="D474" s="550"/>
      <c r="E474" s="550"/>
      <c r="F474" s="550"/>
      <c r="G474" s="550"/>
    </row>
    <row r="475" spans="1:7" x14ac:dyDescent="0.25">
      <c r="A475" s="550"/>
      <c r="B475" s="550"/>
      <c r="C475" s="550"/>
      <c r="D475" s="550"/>
      <c r="E475" s="550"/>
      <c r="F475" s="550"/>
      <c r="G475" s="550"/>
    </row>
    <row r="476" spans="1:7" x14ac:dyDescent="0.25">
      <c r="A476" s="550"/>
      <c r="B476" s="550"/>
      <c r="C476" s="550"/>
      <c r="D476" s="550"/>
      <c r="E476" s="550"/>
      <c r="F476" s="550"/>
      <c r="G476" s="550"/>
    </row>
    <row r="477" spans="1:7" x14ac:dyDescent="0.25">
      <c r="A477" s="550"/>
      <c r="B477" s="550"/>
      <c r="C477" s="550"/>
      <c r="D477" s="550"/>
      <c r="E477" s="550"/>
      <c r="F477" s="550"/>
      <c r="G477" s="550"/>
    </row>
    <row r="478" spans="1:7" x14ac:dyDescent="0.25">
      <c r="A478" s="550"/>
      <c r="B478" s="550"/>
      <c r="C478" s="550"/>
      <c r="D478" s="550"/>
      <c r="E478" s="550"/>
      <c r="F478" s="550"/>
      <c r="G478" s="550"/>
    </row>
    <row r="479" spans="1:7" x14ac:dyDescent="0.25">
      <c r="A479" s="550"/>
      <c r="B479" s="550"/>
      <c r="C479" s="550"/>
      <c r="D479" s="550"/>
      <c r="E479" s="550"/>
      <c r="F479" s="550"/>
      <c r="G479" s="550"/>
    </row>
    <row r="480" spans="1:7" x14ac:dyDescent="0.25">
      <c r="A480" s="550"/>
      <c r="B480" s="550"/>
      <c r="C480" s="550"/>
      <c r="D480" s="550"/>
      <c r="E480" s="550"/>
      <c r="F480" s="550"/>
      <c r="G480" s="550"/>
    </row>
    <row r="481" spans="1:7" x14ac:dyDescent="0.25">
      <c r="A481" s="550"/>
      <c r="B481" s="550"/>
      <c r="C481" s="550"/>
      <c r="D481" s="550"/>
      <c r="E481" s="550"/>
      <c r="F481" s="550"/>
      <c r="G481" s="550"/>
    </row>
    <row r="482" spans="1:7" x14ac:dyDescent="0.25">
      <c r="A482" s="550"/>
      <c r="B482" s="550"/>
      <c r="C482" s="550"/>
      <c r="D482" s="550"/>
      <c r="E482" s="550"/>
      <c r="F482" s="550"/>
      <c r="G482" s="550"/>
    </row>
    <row r="483" spans="1:7" x14ac:dyDescent="0.25">
      <c r="A483" s="550"/>
      <c r="B483" s="550"/>
      <c r="C483" s="550"/>
      <c r="D483" s="550"/>
      <c r="E483" s="550"/>
      <c r="F483" s="550"/>
      <c r="G483" s="550"/>
    </row>
    <row r="484" spans="1:7" x14ac:dyDescent="0.25">
      <c r="A484" s="550"/>
      <c r="B484" s="550"/>
      <c r="C484" s="550"/>
      <c r="D484" s="550"/>
      <c r="E484" s="550"/>
      <c r="F484" s="550"/>
      <c r="G484" s="550"/>
    </row>
    <row r="485" spans="1:7" x14ac:dyDescent="0.25">
      <c r="A485" s="550"/>
      <c r="B485" s="550"/>
      <c r="C485" s="550"/>
      <c r="D485" s="550"/>
      <c r="E485" s="550"/>
      <c r="F485" s="550"/>
      <c r="G485" s="550"/>
    </row>
    <row r="486" spans="1:7" x14ac:dyDescent="0.25">
      <c r="A486" s="550"/>
      <c r="B486" s="550"/>
      <c r="C486" s="550"/>
      <c r="D486" s="550"/>
      <c r="E486" s="550"/>
      <c r="F486" s="550"/>
      <c r="G486" s="550"/>
    </row>
    <row r="487" spans="1:7" x14ac:dyDescent="0.25">
      <c r="A487" s="550"/>
      <c r="B487" s="550"/>
      <c r="C487" s="550"/>
      <c r="D487" s="550"/>
      <c r="E487" s="550"/>
      <c r="F487" s="550"/>
      <c r="G487" s="550"/>
    </row>
    <row r="488" spans="1:7" x14ac:dyDescent="0.25">
      <c r="A488" s="550"/>
      <c r="B488" s="550"/>
      <c r="C488" s="550"/>
      <c r="D488" s="550"/>
      <c r="E488" s="550"/>
      <c r="F488" s="550"/>
      <c r="G488" s="550"/>
    </row>
    <row r="489" spans="1:7" x14ac:dyDescent="0.25">
      <c r="A489" s="550"/>
      <c r="B489" s="550"/>
      <c r="C489" s="550"/>
      <c r="D489" s="550"/>
      <c r="E489" s="550"/>
      <c r="F489" s="550"/>
      <c r="G489" s="550"/>
    </row>
    <row r="490" spans="1:7" x14ac:dyDescent="0.25">
      <c r="A490" s="550"/>
      <c r="B490" s="550"/>
      <c r="C490" s="550"/>
      <c r="D490" s="550"/>
      <c r="E490" s="550"/>
      <c r="F490" s="550"/>
      <c r="G490" s="550"/>
    </row>
    <row r="491" spans="1:7" x14ac:dyDescent="0.25">
      <c r="A491" s="550"/>
      <c r="B491" s="550"/>
      <c r="C491" s="550"/>
      <c r="D491" s="550"/>
      <c r="E491" s="550"/>
      <c r="F491" s="550"/>
      <c r="G491" s="550"/>
    </row>
    <row r="492" spans="1:7" x14ac:dyDescent="0.25">
      <c r="A492" s="550"/>
      <c r="B492" s="550"/>
      <c r="C492" s="550"/>
      <c r="D492" s="550"/>
      <c r="E492" s="550"/>
      <c r="F492" s="550"/>
      <c r="G492" s="550"/>
    </row>
    <row r="493" spans="1:7" x14ac:dyDescent="0.25">
      <c r="A493" s="550"/>
      <c r="B493" s="550"/>
      <c r="C493" s="550"/>
      <c r="D493" s="550"/>
      <c r="E493" s="550"/>
      <c r="F493" s="550"/>
      <c r="G493" s="550"/>
    </row>
    <row r="494" spans="1:7" x14ac:dyDescent="0.25">
      <c r="A494" s="550"/>
      <c r="B494" s="550"/>
      <c r="C494" s="550"/>
      <c r="D494" s="550"/>
      <c r="E494" s="550"/>
      <c r="F494" s="550"/>
      <c r="G494" s="550"/>
    </row>
    <row r="495" spans="1:7" x14ac:dyDescent="0.25">
      <c r="A495" s="550"/>
      <c r="B495" s="550"/>
      <c r="C495" s="550"/>
      <c r="D495" s="550"/>
      <c r="E495" s="550"/>
      <c r="F495" s="550"/>
      <c r="G495" s="550"/>
    </row>
    <row r="496" spans="1:7" x14ac:dyDescent="0.25">
      <c r="A496" s="550"/>
      <c r="B496" s="550"/>
      <c r="C496" s="550"/>
      <c r="D496" s="550"/>
      <c r="E496" s="550"/>
      <c r="F496" s="550"/>
      <c r="G496" s="550"/>
    </row>
    <row r="497" spans="1:7" x14ac:dyDescent="0.25">
      <c r="A497" s="550"/>
      <c r="B497" s="550"/>
      <c r="C497" s="550"/>
      <c r="D497" s="550"/>
      <c r="E497" s="550"/>
      <c r="F497" s="550"/>
      <c r="G497" s="550"/>
    </row>
    <row r="498" spans="1:7" x14ac:dyDescent="0.25">
      <c r="A498" s="550"/>
      <c r="B498" s="550"/>
      <c r="C498" s="550"/>
      <c r="D498" s="550"/>
      <c r="E498" s="550"/>
      <c r="F498" s="550"/>
      <c r="G498" s="550"/>
    </row>
    <row r="499" spans="1:7" x14ac:dyDescent="0.25">
      <c r="A499" s="550"/>
      <c r="B499" s="550"/>
      <c r="C499" s="550"/>
      <c r="D499" s="550"/>
      <c r="E499" s="550"/>
      <c r="F499" s="550"/>
      <c r="G499" s="550"/>
    </row>
    <row r="500" spans="1:7" x14ac:dyDescent="0.25">
      <c r="A500" s="550"/>
      <c r="B500" s="550"/>
      <c r="C500" s="550"/>
      <c r="D500" s="550"/>
      <c r="E500" s="550"/>
      <c r="F500" s="550"/>
      <c r="G500" s="550"/>
    </row>
    <row r="501" spans="1:7" x14ac:dyDescent="0.25">
      <c r="A501" s="550"/>
      <c r="B501" s="550"/>
      <c r="C501" s="550"/>
      <c r="D501" s="550"/>
      <c r="E501" s="550"/>
      <c r="F501" s="550"/>
      <c r="G501" s="550"/>
    </row>
    <row r="502" spans="1:7" x14ac:dyDescent="0.25">
      <c r="A502" s="550"/>
      <c r="B502" s="550"/>
      <c r="C502" s="550"/>
      <c r="D502" s="550"/>
      <c r="E502" s="550"/>
      <c r="F502" s="550"/>
      <c r="G502" s="550"/>
    </row>
    <row r="503" spans="1:7" x14ac:dyDescent="0.25">
      <c r="A503" s="550"/>
      <c r="B503" s="550"/>
      <c r="C503" s="550"/>
      <c r="D503" s="550"/>
      <c r="E503" s="550"/>
      <c r="F503" s="550"/>
      <c r="G503" s="550"/>
    </row>
    <row r="504" spans="1:7" x14ac:dyDescent="0.25">
      <c r="A504" s="550"/>
      <c r="B504" s="550"/>
      <c r="C504" s="550"/>
      <c r="D504" s="550"/>
      <c r="E504" s="550"/>
      <c r="F504" s="550"/>
      <c r="G504" s="550"/>
    </row>
    <row r="505" spans="1:7" x14ac:dyDescent="0.25">
      <c r="A505" s="550"/>
      <c r="B505" s="550"/>
      <c r="C505" s="550"/>
      <c r="D505" s="550"/>
      <c r="E505" s="550"/>
      <c r="F505" s="550"/>
      <c r="G505" s="550"/>
    </row>
    <row r="506" spans="1:7" x14ac:dyDescent="0.25">
      <c r="A506" s="550"/>
      <c r="B506" s="550"/>
      <c r="C506" s="550"/>
      <c r="D506" s="550"/>
      <c r="E506" s="550"/>
      <c r="F506" s="550"/>
      <c r="G506" s="550"/>
    </row>
    <row r="507" spans="1:7" x14ac:dyDescent="0.25">
      <c r="A507" s="550"/>
      <c r="B507" s="550"/>
      <c r="C507" s="550"/>
      <c r="D507" s="550"/>
      <c r="E507" s="550"/>
      <c r="F507" s="550"/>
      <c r="G507" s="550"/>
    </row>
    <row r="508" spans="1:7" x14ac:dyDescent="0.25">
      <c r="A508" s="550"/>
      <c r="B508" s="550"/>
      <c r="C508" s="550"/>
      <c r="D508" s="550"/>
      <c r="E508" s="550"/>
      <c r="F508" s="550"/>
      <c r="G508" s="550"/>
    </row>
    <row r="509" spans="1:7" x14ac:dyDescent="0.25">
      <c r="A509" s="550"/>
      <c r="B509" s="550"/>
      <c r="C509" s="550"/>
      <c r="D509" s="550"/>
      <c r="E509" s="550"/>
      <c r="F509" s="550"/>
      <c r="G509" s="550"/>
    </row>
    <row r="510" spans="1:7" x14ac:dyDescent="0.25">
      <c r="A510" s="550"/>
      <c r="B510" s="550"/>
      <c r="C510" s="550"/>
      <c r="D510" s="550"/>
      <c r="E510" s="550"/>
      <c r="F510" s="550"/>
      <c r="G510" s="550"/>
    </row>
    <row r="511" spans="1:7" x14ac:dyDescent="0.25">
      <c r="A511" s="550"/>
      <c r="B511" s="550"/>
      <c r="C511" s="550"/>
      <c r="D511" s="550"/>
      <c r="E511" s="550"/>
      <c r="F511" s="550"/>
      <c r="G511" s="550"/>
    </row>
    <row r="512" spans="1:7" x14ac:dyDescent="0.25">
      <c r="A512" s="550"/>
      <c r="B512" s="550"/>
      <c r="C512" s="550"/>
      <c r="D512" s="550"/>
      <c r="E512" s="550"/>
      <c r="F512" s="550"/>
      <c r="G512" s="550"/>
    </row>
    <row r="513" spans="1:7" x14ac:dyDescent="0.25">
      <c r="A513" s="550"/>
      <c r="B513" s="550"/>
      <c r="C513" s="550"/>
      <c r="D513" s="550"/>
      <c r="E513" s="550"/>
      <c r="F513" s="550"/>
      <c r="G513" s="550"/>
    </row>
    <row r="514" spans="1:7" x14ac:dyDescent="0.25">
      <c r="A514" s="550"/>
      <c r="B514" s="550"/>
      <c r="C514" s="550"/>
      <c r="D514" s="550"/>
      <c r="E514" s="550"/>
      <c r="F514" s="550"/>
      <c r="G514" s="550"/>
    </row>
    <row r="515" spans="1:7" x14ac:dyDescent="0.25">
      <c r="A515" s="550"/>
      <c r="B515" s="550"/>
      <c r="C515" s="550"/>
      <c r="D515" s="550"/>
      <c r="E515" s="550"/>
      <c r="F515" s="550"/>
      <c r="G515" s="550"/>
    </row>
    <row r="516" spans="1:7" x14ac:dyDescent="0.25">
      <c r="A516" s="550"/>
      <c r="B516" s="550"/>
      <c r="C516" s="550"/>
      <c r="D516" s="550"/>
      <c r="E516" s="550"/>
      <c r="F516" s="550"/>
      <c r="G516" s="550"/>
    </row>
    <row r="517" spans="1:7" x14ac:dyDescent="0.25">
      <c r="A517" s="550"/>
      <c r="B517" s="550"/>
      <c r="C517" s="550"/>
      <c r="D517" s="550"/>
      <c r="E517" s="550"/>
      <c r="F517" s="550"/>
      <c r="G517" s="550"/>
    </row>
    <row r="518" spans="1:7" x14ac:dyDescent="0.25">
      <c r="A518" s="550"/>
      <c r="B518" s="550"/>
      <c r="C518" s="550"/>
      <c r="D518" s="550"/>
      <c r="E518" s="550"/>
      <c r="F518" s="550"/>
      <c r="G518" s="550"/>
    </row>
    <row r="519" spans="1:7" x14ac:dyDescent="0.25">
      <c r="A519" s="550"/>
      <c r="B519" s="550"/>
      <c r="C519" s="550"/>
      <c r="D519" s="550"/>
      <c r="E519" s="550"/>
      <c r="F519" s="550"/>
      <c r="G519" s="550"/>
    </row>
    <row r="520" spans="1:7" x14ac:dyDescent="0.25">
      <c r="A520" s="550"/>
      <c r="B520" s="550"/>
      <c r="C520" s="550"/>
      <c r="D520" s="550"/>
      <c r="E520" s="550"/>
      <c r="F520" s="550"/>
      <c r="G520" s="550"/>
    </row>
    <row r="521" spans="1:7" x14ac:dyDescent="0.25">
      <c r="A521" s="550"/>
      <c r="B521" s="550"/>
      <c r="C521" s="550"/>
      <c r="D521" s="550"/>
      <c r="E521" s="550"/>
      <c r="F521" s="550"/>
      <c r="G521" s="550"/>
    </row>
    <row r="522" spans="1:7" x14ac:dyDescent="0.25">
      <c r="A522" s="550"/>
      <c r="B522" s="550"/>
      <c r="C522" s="550"/>
      <c r="D522" s="550"/>
      <c r="E522" s="550"/>
      <c r="F522" s="550"/>
      <c r="G522" s="550"/>
    </row>
    <row r="523" spans="1:7" x14ac:dyDescent="0.25">
      <c r="A523" s="550"/>
      <c r="B523" s="550"/>
      <c r="C523" s="550"/>
      <c r="D523" s="550"/>
      <c r="E523" s="550"/>
      <c r="F523" s="550"/>
      <c r="G523" s="550"/>
    </row>
    <row r="524" spans="1:7" x14ac:dyDescent="0.25">
      <c r="A524" s="550"/>
      <c r="B524" s="550"/>
      <c r="C524" s="550"/>
      <c r="D524" s="550"/>
      <c r="E524" s="550"/>
      <c r="F524" s="550"/>
      <c r="G524" s="550"/>
    </row>
    <row r="525" spans="1:7" x14ac:dyDescent="0.25">
      <c r="A525" s="550"/>
      <c r="B525" s="550"/>
      <c r="C525" s="550"/>
      <c r="D525" s="550"/>
      <c r="E525" s="550"/>
      <c r="F525" s="550"/>
      <c r="G525" s="550"/>
    </row>
    <row r="526" spans="1:7" x14ac:dyDescent="0.25">
      <c r="A526" s="550"/>
      <c r="B526" s="550"/>
      <c r="C526" s="550"/>
      <c r="D526" s="550"/>
      <c r="E526" s="550"/>
      <c r="F526" s="550"/>
      <c r="G526" s="550"/>
    </row>
    <row r="527" spans="1:7" x14ac:dyDescent="0.25">
      <c r="A527" s="550"/>
      <c r="B527" s="550"/>
      <c r="C527" s="550"/>
      <c r="D527" s="550"/>
      <c r="E527" s="550"/>
      <c r="F527" s="550"/>
      <c r="G527" s="550"/>
    </row>
    <row r="528" spans="1:7" x14ac:dyDescent="0.25">
      <c r="A528" s="550"/>
      <c r="B528" s="550"/>
      <c r="C528" s="550"/>
      <c r="D528" s="550"/>
      <c r="E528" s="550"/>
      <c r="F528" s="550"/>
      <c r="G528" s="550"/>
    </row>
    <row r="529" spans="1:7" x14ac:dyDescent="0.25">
      <c r="A529" s="550"/>
      <c r="B529" s="550"/>
      <c r="C529" s="550"/>
      <c r="D529" s="550"/>
      <c r="E529" s="550"/>
      <c r="F529" s="550"/>
      <c r="G529" s="550"/>
    </row>
    <row r="530" spans="1:7" x14ac:dyDescent="0.25">
      <c r="A530" s="550"/>
      <c r="B530" s="550"/>
      <c r="C530" s="550"/>
      <c r="D530" s="550"/>
      <c r="E530" s="550"/>
      <c r="F530" s="550"/>
      <c r="G530" s="550"/>
    </row>
    <row r="531" spans="1:7" x14ac:dyDescent="0.25">
      <c r="A531" s="550"/>
      <c r="B531" s="550"/>
      <c r="C531" s="550"/>
      <c r="D531" s="550"/>
      <c r="E531" s="550"/>
      <c r="F531" s="550"/>
      <c r="G531" s="550"/>
    </row>
    <row r="532" spans="1:7" x14ac:dyDescent="0.25">
      <c r="A532" s="550"/>
      <c r="B532" s="550"/>
      <c r="C532" s="550"/>
      <c r="D532" s="550"/>
      <c r="E532" s="550"/>
      <c r="F532" s="550"/>
      <c r="G532" s="550"/>
    </row>
    <row r="533" spans="1:7" x14ac:dyDescent="0.25">
      <c r="A533" s="550"/>
      <c r="B533" s="550"/>
      <c r="C533" s="550"/>
      <c r="D533" s="550"/>
      <c r="E533" s="550"/>
      <c r="F533" s="550"/>
      <c r="G533" s="550"/>
    </row>
    <row r="534" spans="1:7" x14ac:dyDescent="0.25">
      <c r="A534" s="550"/>
      <c r="B534" s="550"/>
      <c r="C534" s="550"/>
      <c r="D534" s="550"/>
      <c r="E534" s="550"/>
      <c r="F534" s="550"/>
      <c r="G534" s="550"/>
    </row>
    <row r="535" spans="1:7" x14ac:dyDescent="0.25">
      <c r="A535" s="550"/>
      <c r="B535" s="550"/>
      <c r="C535" s="550"/>
      <c r="D535" s="550"/>
      <c r="E535" s="550"/>
      <c r="F535" s="550"/>
      <c r="G535" s="550"/>
    </row>
    <row r="536" spans="1:7" x14ac:dyDescent="0.25">
      <c r="A536" s="550"/>
      <c r="B536" s="550"/>
      <c r="C536" s="550"/>
      <c r="D536" s="550"/>
      <c r="E536" s="550"/>
      <c r="F536" s="550"/>
      <c r="G536" s="550"/>
    </row>
    <row r="537" spans="1:7" x14ac:dyDescent="0.25">
      <c r="A537" s="550"/>
      <c r="B537" s="550"/>
      <c r="C537" s="550"/>
      <c r="D537" s="550"/>
      <c r="E537" s="550"/>
      <c r="F537" s="550"/>
      <c r="G537" s="550"/>
    </row>
    <row r="538" spans="1:7" x14ac:dyDescent="0.25">
      <c r="A538" s="550"/>
      <c r="B538" s="550"/>
      <c r="C538" s="550"/>
      <c r="D538" s="550"/>
      <c r="E538" s="550"/>
      <c r="F538" s="550"/>
      <c r="G538" s="550"/>
    </row>
    <row r="539" spans="1:7" x14ac:dyDescent="0.25">
      <c r="A539" s="550"/>
      <c r="B539" s="550"/>
      <c r="C539" s="550"/>
      <c r="D539" s="550"/>
      <c r="E539" s="550"/>
      <c r="F539" s="550"/>
      <c r="G539" s="550"/>
    </row>
    <row r="540" spans="1:7" x14ac:dyDescent="0.25">
      <c r="A540" s="550"/>
      <c r="B540" s="550"/>
      <c r="C540" s="550"/>
      <c r="D540" s="550"/>
      <c r="E540" s="550"/>
      <c r="F540" s="550"/>
      <c r="G540" s="550"/>
    </row>
    <row r="541" spans="1:7" x14ac:dyDescent="0.25">
      <c r="A541" s="550"/>
      <c r="B541" s="550"/>
      <c r="C541" s="550"/>
      <c r="D541" s="550"/>
      <c r="E541" s="550"/>
      <c r="F541" s="550"/>
      <c r="G541" s="550"/>
    </row>
    <row r="542" spans="1:7" x14ac:dyDescent="0.25">
      <c r="A542" s="550"/>
      <c r="B542" s="550"/>
      <c r="C542" s="550"/>
      <c r="D542" s="550"/>
      <c r="E542" s="550"/>
      <c r="F542" s="550"/>
      <c r="G542" s="550"/>
    </row>
    <row r="543" spans="1:7" x14ac:dyDescent="0.25">
      <c r="A543" s="550"/>
      <c r="B543" s="550"/>
      <c r="C543" s="550"/>
      <c r="D543" s="550"/>
      <c r="E543" s="550"/>
      <c r="F543" s="550"/>
      <c r="G543" s="550"/>
    </row>
    <row r="544" spans="1:7" x14ac:dyDescent="0.25">
      <c r="A544" s="550"/>
      <c r="B544" s="550"/>
      <c r="C544" s="550"/>
      <c r="D544" s="550"/>
      <c r="E544" s="550"/>
      <c r="F544" s="550"/>
      <c r="G544" s="550"/>
    </row>
    <row r="545" spans="1:7" x14ac:dyDescent="0.25">
      <c r="A545" s="550"/>
      <c r="B545" s="550"/>
      <c r="C545" s="550"/>
      <c r="D545" s="550"/>
      <c r="E545" s="550"/>
      <c r="F545" s="550"/>
      <c r="G545" s="550"/>
    </row>
    <row r="546" spans="1:7" x14ac:dyDescent="0.25">
      <c r="A546" s="550"/>
      <c r="B546" s="550"/>
      <c r="C546" s="550"/>
      <c r="D546" s="550"/>
      <c r="E546" s="550"/>
      <c r="F546" s="550"/>
      <c r="G546" s="550"/>
    </row>
    <row r="547" spans="1:7" x14ac:dyDescent="0.25">
      <c r="A547" s="550"/>
      <c r="B547" s="550"/>
      <c r="C547" s="550"/>
      <c r="D547" s="550"/>
      <c r="E547" s="550"/>
      <c r="F547" s="550"/>
      <c r="G547" s="550"/>
    </row>
    <row r="548" spans="1:7" x14ac:dyDescent="0.25">
      <c r="A548" s="550"/>
      <c r="B548" s="550"/>
      <c r="C548" s="550"/>
      <c r="D548" s="550"/>
      <c r="E548" s="550"/>
      <c r="F548" s="550"/>
      <c r="G548" s="550"/>
    </row>
    <row r="549" spans="1:7" x14ac:dyDescent="0.25">
      <c r="A549" s="550"/>
      <c r="B549" s="550"/>
      <c r="C549" s="550"/>
      <c r="D549" s="550"/>
      <c r="E549" s="550"/>
      <c r="F549" s="550"/>
      <c r="G549" s="550"/>
    </row>
    <row r="550" spans="1:7" x14ac:dyDescent="0.25">
      <c r="A550" s="550"/>
      <c r="B550" s="550"/>
      <c r="C550" s="550"/>
      <c r="D550" s="550"/>
      <c r="E550" s="550"/>
      <c r="F550" s="550"/>
      <c r="G550" s="550"/>
    </row>
    <row r="551" spans="1:7" x14ac:dyDescent="0.25">
      <c r="A551" s="550"/>
      <c r="B551" s="550"/>
      <c r="C551" s="550"/>
      <c r="D551" s="550"/>
      <c r="E551" s="550"/>
      <c r="F551" s="550"/>
      <c r="G551" s="550"/>
    </row>
    <row r="552" spans="1:7" x14ac:dyDescent="0.25">
      <c r="A552" s="550"/>
      <c r="B552" s="550"/>
      <c r="C552" s="550"/>
      <c r="D552" s="550"/>
      <c r="E552" s="550"/>
      <c r="F552" s="550"/>
      <c r="G552" s="550"/>
    </row>
    <row r="553" spans="1:7" x14ac:dyDescent="0.25">
      <c r="A553" s="550"/>
      <c r="B553" s="550"/>
      <c r="C553" s="550"/>
      <c r="D553" s="550"/>
      <c r="E553" s="550"/>
      <c r="F553" s="550"/>
      <c r="G553" s="550"/>
    </row>
    <row r="554" spans="1:7" x14ac:dyDescent="0.25">
      <c r="A554" s="550"/>
      <c r="B554" s="550"/>
      <c r="C554" s="550"/>
      <c r="D554" s="550"/>
      <c r="E554" s="550"/>
      <c r="F554" s="550"/>
      <c r="G554" s="550"/>
    </row>
    <row r="555" spans="1:7" x14ac:dyDescent="0.25">
      <c r="A555" s="550"/>
      <c r="B555" s="550"/>
      <c r="C555" s="550"/>
      <c r="D555" s="550"/>
      <c r="E555" s="550"/>
      <c r="F555" s="550"/>
      <c r="G555" s="550"/>
    </row>
    <row r="556" spans="1:7" x14ac:dyDescent="0.25">
      <c r="A556" s="550"/>
      <c r="B556" s="550"/>
      <c r="C556" s="550"/>
      <c r="D556" s="550"/>
      <c r="E556" s="550"/>
      <c r="F556" s="550"/>
      <c r="G556" s="550"/>
    </row>
    <row r="557" spans="1:7" x14ac:dyDescent="0.25">
      <c r="A557" s="550"/>
      <c r="B557" s="550"/>
      <c r="C557" s="550"/>
      <c r="D557" s="550"/>
      <c r="E557" s="550"/>
      <c r="F557" s="550"/>
      <c r="G557" s="550"/>
    </row>
    <row r="558" spans="1:7" x14ac:dyDescent="0.25">
      <c r="A558" s="550"/>
      <c r="B558" s="550"/>
      <c r="C558" s="550"/>
      <c r="D558" s="550"/>
      <c r="E558" s="550"/>
      <c r="F558" s="550"/>
      <c r="G558" s="550"/>
    </row>
    <row r="559" spans="1:7" x14ac:dyDescent="0.25">
      <c r="A559" s="550"/>
      <c r="B559" s="550"/>
      <c r="C559" s="550"/>
      <c r="D559" s="550"/>
      <c r="E559" s="550"/>
      <c r="F559" s="550"/>
      <c r="G559" s="550"/>
    </row>
    <row r="560" spans="1:7" x14ac:dyDescent="0.25">
      <c r="A560" s="550"/>
      <c r="B560" s="550"/>
      <c r="C560" s="550"/>
      <c r="D560" s="550"/>
      <c r="E560" s="550"/>
      <c r="F560" s="550"/>
      <c r="G560" s="550"/>
    </row>
    <row r="561" spans="1:7" x14ac:dyDescent="0.25">
      <c r="A561" s="550"/>
      <c r="B561" s="550"/>
      <c r="C561" s="550"/>
      <c r="D561" s="550"/>
      <c r="E561" s="550"/>
      <c r="F561" s="550"/>
      <c r="G561" s="550"/>
    </row>
    <row r="562" spans="1:7" x14ac:dyDescent="0.25">
      <c r="A562" s="550"/>
      <c r="B562" s="550"/>
      <c r="C562" s="550"/>
      <c r="D562" s="550"/>
      <c r="E562" s="550"/>
      <c r="F562" s="550"/>
      <c r="G562" s="550"/>
    </row>
    <row r="563" spans="1:7" x14ac:dyDescent="0.25">
      <c r="A563" s="550"/>
      <c r="B563" s="550"/>
      <c r="C563" s="550"/>
      <c r="D563" s="550"/>
      <c r="E563" s="550"/>
      <c r="F563" s="550"/>
      <c r="G563" s="550"/>
    </row>
    <row r="564" spans="1:7" x14ac:dyDescent="0.25">
      <c r="A564" s="550"/>
      <c r="B564" s="550"/>
      <c r="C564" s="550"/>
      <c r="D564" s="550"/>
      <c r="E564" s="550"/>
      <c r="F564" s="550"/>
      <c r="G564" s="550"/>
    </row>
    <row r="565" spans="1:7" x14ac:dyDescent="0.25">
      <c r="A565" s="550"/>
      <c r="B565" s="550"/>
      <c r="C565" s="550"/>
      <c r="D565" s="550"/>
      <c r="E565" s="550"/>
      <c r="F565" s="550"/>
      <c r="G565" s="550"/>
    </row>
    <row r="566" spans="1:7" x14ac:dyDescent="0.25">
      <c r="A566" s="550"/>
      <c r="B566" s="550"/>
      <c r="C566" s="550"/>
      <c r="D566" s="550"/>
      <c r="E566" s="550"/>
      <c r="F566" s="550"/>
      <c r="G566" s="550"/>
    </row>
    <row r="567" spans="1:7" x14ac:dyDescent="0.25">
      <c r="A567" s="550"/>
      <c r="B567" s="550"/>
      <c r="C567" s="550"/>
      <c r="D567" s="550"/>
      <c r="E567" s="550"/>
      <c r="F567" s="550"/>
      <c r="G567" s="550"/>
    </row>
    <row r="568" spans="1:7" x14ac:dyDescent="0.25">
      <c r="A568" s="550"/>
      <c r="B568" s="550"/>
      <c r="C568" s="550"/>
      <c r="D568" s="550"/>
      <c r="E568" s="550"/>
      <c r="F568" s="550"/>
      <c r="G568" s="550"/>
    </row>
    <row r="569" spans="1:7" x14ac:dyDescent="0.25">
      <c r="A569" s="550"/>
      <c r="B569" s="550"/>
      <c r="C569" s="550"/>
      <c r="D569" s="550"/>
      <c r="E569" s="550"/>
      <c r="F569" s="550"/>
      <c r="G569" s="550"/>
    </row>
    <row r="570" spans="1:7" x14ac:dyDescent="0.25">
      <c r="A570" s="550"/>
      <c r="B570" s="550"/>
      <c r="C570" s="550"/>
      <c r="D570" s="550"/>
      <c r="E570" s="550"/>
      <c r="F570" s="550"/>
      <c r="G570" s="550"/>
    </row>
    <row r="571" spans="1:7" x14ac:dyDescent="0.25">
      <c r="A571" s="550"/>
      <c r="B571" s="550"/>
      <c r="C571" s="550"/>
      <c r="D571" s="550"/>
      <c r="E571" s="550"/>
      <c r="F571" s="550"/>
      <c r="G571" s="550"/>
    </row>
    <row r="572" spans="1:7" x14ac:dyDescent="0.25">
      <c r="A572" s="550"/>
      <c r="B572" s="550"/>
      <c r="C572" s="550"/>
      <c r="D572" s="550"/>
      <c r="E572" s="550"/>
      <c r="F572" s="550"/>
      <c r="G572" s="550"/>
    </row>
    <row r="573" spans="1:7" x14ac:dyDescent="0.25">
      <c r="A573" s="550"/>
      <c r="B573" s="550"/>
      <c r="C573" s="550"/>
      <c r="D573" s="550"/>
      <c r="E573" s="550"/>
      <c r="F573" s="550"/>
      <c r="G573" s="550"/>
    </row>
    <row r="574" spans="1:7" x14ac:dyDescent="0.25">
      <c r="A574" s="550"/>
      <c r="B574" s="550"/>
      <c r="C574" s="550"/>
      <c r="D574" s="550"/>
      <c r="E574" s="550"/>
      <c r="F574" s="550"/>
      <c r="G574" s="550"/>
    </row>
    <row r="575" spans="1:7" x14ac:dyDescent="0.25">
      <c r="A575" s="550"/>
      <c r="B575" s="550"/>
      <c r="C575" s="550"/>
      <c r="D575" s="550"/>
      <c r="E575" s="550"/>
      <c r="F575" s="550"/>
      <c r="G575" s="550"/>
    </row>
    <row r="576" spans="1:7" x14ac:dyDescent="0.25">
      <c r="A576" s="550"/>
      <c r="B576" s="550"/>
      <c r="C576" s="550"/>
      <c r="D576" s="550"/>
      <c r="E576" s="550"/>
      <c r="F576" s="550"/>
      <c r="G576" s="550"/>
    </row>
    <row r="577" spans="1:7" x14ac:dyDescent="0.25">
      <c r="A577" s="550"/>
      <c r="B577" s="550"/>
      <c r="C577" s="550"/>
      <c r="D577" s="550"/>
      <c r="E577" s="550"/>
      <c r="F577" s="550"/>
      <c r="G577" s="550"/>
    </row>
    <row r="578" spans="1:7" x14ac:dyDescent="0.25">
      <c r="A578" s="550"/>
      <c r="B578" s="550"/>
      <c r="C578" s="550"/>
      <c r="D578" s="550"/>
      <c r="E578" s="550"/>
      <c r="F578" s="550"/>
      <c r="G578" s="550"/>
    </row>
    <row r="579" spans="1:7" x14ac:dyDescent="0.25">
      <c r="A579" s="550"/>
      <c r="B579" s="550"/>
      <c r="C579" s="550"/>
      <c r="D579" s="550"/>
      <c r="E579" s="550"/>
      <c r="F579" s="550"/>
      <c r="G579" s="550"/>
    </row>
    <row r="580" spans="1:7" x14ac:dyDescent="0.25">
      <c r="A580" s="550"/>
      <c r="B580" s="550"/>
      <c r="C580" s="550"/>
      <c r="D580" s="550"/>
      <c r="E580" s="550"/>
      <c r="F580" s="550"/>
      <c r="G580" s="550"/>
    </row>
    <row r="581" spans="1:7" x14ac:dyDescent="0.25">
      <c r="A581" s="550"/>
      <c r="B581" s="550"/>
      <c r="C581" s="550"/>
      <c r="D581" s="550"/>
      <c r="E581" s="550"/>
      <c r="F581" s="550"/>
      <c r="G581" s="550"/>
    </row>
    <row r="582" spans="1:7" x14ac:dyDescent="0.25">
      <c r="A582" s="550"/>
      <c r="B582" s="550"/>
      <c r="C582" s="550"/>
      <c r="D582" s="550"/>
      <c r="E582" s="550"/>
      <c r="F582" s="550"/>
      <c r="G582" s="550"/>
    </row>
    <row r="583" spans="1:7" x14ac:dyDescent="0.25">
      <c r="A583" s="550"/>
      <c r="B583" s="550"/>
      <c r="C583" s="550"/>
      <c r="D583" s="550"/>
      <c r="E583" s="550"/>
      <c r="F583" s="550"/>
      <c r="G583" s="550"/>
    </row>
    <row r="584" spans="1:7" x14ac:dyDescent="0.25">
      <c r="A584" s="550"/>
      <c r="B584" s="550"/>
      <c r="C584" s="550"/>
      <c r="D584" s="550"/>
      <c r="E584" s="550"/>
      <c r="F584" s="550"/>
      <c r="G584" s="550"/>
    </row>
    <row r="585" spans="1:7" x14ac:dyDescent="0.25">
      <c r="A585" s="550"/>
      <c r="B585" s="550"/>
      <c r="C585" s="550"/>
      <c r="D585" s="550"/>
      <c r="E585" s="550"/>
      <c r="F585" s="550"/>
      <c r="G585" s="550"/>
    </row>
    <row r="586" spans="1:7" x14ac:dyDescent="0.25">
      <c r="A586" s="550"/>
      <c r="B586" s="550"/>
      <c r="C586" s="550"/>
      <c r="D586" s="550"/>
      <c r="E586" s="550"/>
      <c r="F586" s="550"/>
      <c r="G586" s="550"/>
    </row>
    <row r="587" spans="1:7" x14ac:dyDescent="0.25">
      <c r="A587" s="550"/>
      <c r="B587" s="550"/>
      <c r="C587" s="550"/>
      <c r="D587" s="550"/>
      <c r="E587" s="550"/>
      <c r="F587" s="550"/>
      <c r="G587" s="550"/>
    </row>
    <row r="588" spans="1:7" x14ac:dyDescent="0.25">
      <c r="A588" s="550"/>
      <c r="B588" s="550"/>
      <c r="C588" s="550"/>
      <c r="D588" s="550"/>
      <c r="E588" s="550"/>
      <c r="F588" s="550"/>
      <c r="G588" s="550"/>
    </row>
    <row r="589" spans="1:7" x14ac:dyDescent="0.25">
      <c r="A589" s="550"/>
      <c r="B589" s="550"/>
      <c r="C589" s="550"/>
      <c r="D589" s="550"/>
      <c r="E589" s="550"/>
      <c r="F589" s="550"/>
      <c r="G589" s="550"/>
    </row>
    <row r="590" spans="1:7" x14ac:dyDescent="0.25">
      <c r="A590" s="550"/>
      <c r="B590" s="550"/>
      <c r="C590" s="550"/>
      <c r="D590" s="550"/>
      <c r="E590" s="550"/>
      <c r="F590" s="550"/>
      <c r="G590" s="550"/>
    </row>
    <row r="591" spans="1:7" x14ac:dyDescent="0.25">
      <c r="A591" s="550"/>
      <c r="B591" s="550"/>
      <c r="C591" s="550"/>
      <c r="D591" s="550"/>
      <c r="E591" s="550"/>
      <c r="F591" s="550"/>
      <c r="G591" s="550"/>
    </row>
    <row r="592" spans="1:7" x14ac:dyDescent="0.25">
      <c r="A592" s="550"/>
      <c r="B592" s="550"/>
      <c r="C592" s="550"/>
      <c r="D592" s="550"/>
      <c r="E592" s="550"/>
      <c r="F592" s="550"/>
      <c r="G592" s="550"/>
    </row>
    <row r="593" spans="1:7" x14ac:dyDescent="0.25">
      <c r="A593" s="550"/>
      <c r="B593" s="550"/>
      <c r="C593" s="550"/>
      <c r="D593" s="550"/>
      <c r="E593" s="550"/>
      <c r="F593" s="550"/>
      <c r="G593" s="550"/>
    </row>
    <row r="594" spans="1:7" x14ac:dyDescent="0.25">
      <c r="A594" s="550"/>
      <c r="B594" s="550"/>
      <c r="C594" s="550"/>
      <c r="D594" s="550"/>
      <c r="E594" s="550"/>
      <c r="F594" s="550"/>
      <c r="G594" s="550"/>
    </row>
    <row r="595" spans="1:7" x14ac:dyDescent="0.25">
      <c r="A595" s="550"/>
      <c r="B595" s="550"/>
      <c r="C595" s="550"/>
      <c r="D595" s="550"/>
      <c r="E595" s="550"/>
      <c r="F595" s="550"/>
      <c r="G595" s="550"/>
    </row>
    <row r="596" spans="1:7" x14ac:dyDescent="0.25">
      <c r="A596" s="550"/>
      <c r="B596" s="550"/>
      <c r="C596" s="550"/>
      <c r="D596" s="550"/>
      <c r="E596" s="550"/>
      <c r="F596" s="550"/>
      <c r="G596" s="550"/>
    </row>
    <row r="597" spans="1:7" x14ac:dyDescent="0.25">
      <c r="A597" s="550"/>
      <c r="B597" s="550"/>
      <c r="C597" s="550"/>
      <c r="D597" s="550"/>
      <c r="E597" s="550"/>
      <c r="F597" s="550"/>
      <c r="G597" s="550"/>
    </row>
    <row r="598" spans="1:7" x14ac:dyDescent="0.25">
      <c r="A598" s="550"/>
      <c r="B598" s="550"/>
      <c r="C598" s="550"/>
      <c r="D598" s="550"/>
      <c r="E598" s="550"/>
      <c r="F598" s="550"/>
      <c r="G598" s="550"/>
    </row>
    <row r="599" spans="1:7" x14ac:dyDescent="0.25">
      <c r="A599" s="550"/>
      <c r="B599" s="550"/>
      <c r="C599" s="550"/>
      <c r="D599" s="550"/>
      <c r="E599" s="550"/>
      <c r="F599" s="550"/>
      <c r="G599" s="550"/>
    </row>
    <row r="600" spans="1:7" x14ac:dyDescent="0.25">
      <c r="A600" s="550"/>
      <c r="B600" s="550"/>
      <c r="C600" s="550"/>
      <c r="D600" s="550"/>
      <c r="E600" s="550"/>
      <c r="F600" s="550"/>
      <c r="G600" s="550"/>
    </row>
    <row r="601" spans="1:7" x14ac:dyDescent="0.25">
      <c r="A601" s="550"/>
      <c r="B601" s="550"/>
      <c r="C601" s="550"/>
      <c r="D601" s="550"/>
      <c r="E601" s="550"/>
      <c r="F601" s="550"/>
      <c r="G601" s="550"/>
    </row>
    <row r="602" spans="1:7" x14ac:dyDescent="0.25">
      <c r="A602" s="550"/>
      <c r="B602" s="550"/>
      <c r="C602" s="550"/>
      <c r="D602" s="550"/>
      <c r="E602" s="550"/>
      <c r="F602" s="550"/>
      <c r="G602" s="550"/>
    </row>
    <row r="603" spans="1:7" x14ac:dyDescent="0.25">
      <c r="A603" s="550"/>
      <c r="B603" s="550"/>
      <c r="C603" s="550"/>
      <c r="D603" s="550"/>
      <c r="E603" s="550"/>
      <c r="F603" s="550"/>
      <c r="G603" s="550"/>
    </row>
    <row r="604" spans="1:7" x14ac:dyDescent="0.25">
      <c r="A604" s="550"/>
      <c r="B604" s="550"/>
      <c r="C604" s="550"/>
      <c r="D604" s="550"/>
      <c r="E604" s="550"/>
      <c r="F604" s="550"/>
      <c r="G604" s="550"/>
    </row>
    <row r="605" spans="1:7" x14ac:dyDescent="0.25">
      <c r="A605" s="550"/>
      <c r="B605" s="550"/>
      <c r="C605" s="550"/>
      <c r="D605" s="550"/>
      <c r="E605" s="550"/>
      <c r="F605" s="550"/>
      <c r="G605" s="550"/>
    </row>
    <row r="606" spans="1:7" x14ac:dyDescent="0.25">
      <c r="A606" s="550"/>
      <c r="B606" s="550"/>
      <c r="C606" s="550"/>
      <c r="D606" s="550"/>
      <c r="E606" s="550"/>
      <c r="F606" s="550"/>
      <c r="G606" s="550"/>
    </row>
    <row r="607" spans="1:7" x14ac:dyDescent="0.25">
      <c r="A607" s="550"/>
      <c r="B607" s="550"/>
      <c r="C607" s="550"/>
      <c r="D607" s="550"/>
      <c r="E607" s="550"/>
      <c r="F607" s="550"/>
      <c r="G607" s="550"/>
    </row>
    <row r="608" spans="1:7" x14ac:dyDescent="0.25">
      <c r="A608" s="550"/>
      <c r="B608" s="550"/>
      <c r="C608" s="550"/>
      <c r="D608" s="550"/>
      <c r="E608" s="550"/>
      <c r="F608" s="550"/>
      <c r="G608" s="550"/>
    </row>
    <row r="609" spans="1:7" x14ac:dyDescent="0.25">
      <c r="A609" s="550"/>
      <c r="B609" s="550"/>
      <c r="C609" s="550"/>
      <c r="D609" s="550"/>
      <c r="E609" s="550"/>
      <c r="F609" s="550"/>
      <c r="G609" s="550"/>
    </row>
    <row r="610" spans="1:7" x14ac:dyDescent="0.25">
      <c r="A610" s="550"/>
      <c r="B610" s="550"/>
      <c r="C610" s="550"/>
      <c r="D610" s="550"/>
      <c r="E610" s="550"/>
      <c r="F610" s="550"/>
      <c r="G610" s="550"/>
    </row>
    <row r="611" spans="1:7" x14ac:dyDescent="0.25">
      <c r="A611" s="550"/>
      <c r="B611" s="550"/>
      <c r="C611" s="550"/>
      <c r="D611" s="550"/>
      <c r="E611" s="550"/>
      <c r="F611" s="550"/>
      <c r="G611" s="550"/>
    </row>
    <row r="612" spans="1:7" x14ac:dyDescent="0.25">
      <c r="A612" s="550"/>
      <c r="B612" s="550"/>
      <c r="C612" s="550"/>
      <c r="D612" s="550"/>
      <c r="E612" s="550"/>
      <c r="F612" s="550"/>
      <c r="G612" s="550"/>
    </row>
    <row r="613" spans="1:7" x14ac:dyDescent="0.25">
      <c r="A613" s="550"/>
      <c r="B613" s="550"/>
      <c r="C613" s="550"/>
      <c r="D613" s="550"/>
      <c r="E613" s="550"/>
      <c r="F613" s="550"/>
      <c r="G613" s="550"/>
    </row>
    <row r="614" spans="1:7" x14ac:dyDescent="0.25">
      <c r="A614" s="550"/>
      <c r="B614" s="550"/>
      <c r="C614" s="550"/>
      <c r="D614" s="550"/>
      <c r="E614" s="550"/>
      <c r="F614" s="550"/>
      <c r="G614" s="550"/>
    </row>
    <row r="615" spans="1:7" x14ac:dyDescent="0.25">
      <c r="A615" s="550"/>
      <c r="B615" s="550"/>
      <c r="C615" s="550"/>
      <c r="D615" s="550"/>
      <c r="E615" s="550"/>
      <c r="F615" s="550"/>
      <c r="G615" s="550"/>
    </row>
    <row r="616" spans="1:7" x14ac:dyDescent="0.25">
      <c r="A616" s="550"/>
      <c r="B616" s="550"/>
      <c r="C616" s="550"/>
      <c r="D616" s="550"/>
      <c r="E616" s="550"/>
      <c r="F616" s="550"/>
      <c r="G616" s="550"/>
    </row>
    <row r="617" spans="1:7" x14ac:dyDescent="0.25">
      <c r="A617" s="550"/>
      <c r="B617" s="550"/>
      <c r="C617" s="550"/>
      <c r="D617" s="550"/>
      <c r="E617" s="550"/>
      <c r="F617" s="550"/>
      <c r="G617" s="550"/>
    </row>
    <row r="618" spans="1:7" x14ac:dyDescent="0.25">
      <c r="A618" s="550"/>
      <c r="B618" s="550"/>
      <c r="C618" s="550"/>
      <c r="D618" s="550"/>
      <c r="E618" s="550"/>
      <c r="F618" s="550"/>
      <c r="G618" s="550"/>
    </row>
    <row r="619" spans="1:7" x14ac:dyDescent="0.25">
      <c r="A619" s="550"/>
      <c r="B619" s="550"/>
      <c r="C619" s="550"/>
      <c r="D619" s="550"/>
      <c r="E619" s="550"/>
      <c r="F619" s="550"/>
      <c r="G619" s="550"/>
    </row>
    <row r="620" spans="1:7" x14ac:dyDescent="0.25">
      <c r="A620" s="550"/>
      <c r="B620" s="550"/>
      <c r="C620" s="550"/>
      <c r="D620" s="550"/>
      <c r="E620" s="550"/>
      <c r="F620" s="550"/>
      <c r="G620" s="550"/>
    </row>
    <row r="621" spans="1:7" x14ac:dyDescent="0.25">
      <c r="A621" s="550"/>
      <c r="B621" s="550"/>
      <c r="C621" s="550"/>
      <c r="D621" s="550"/>
      <c r="E621" s="550"/>
      <c r="F621" s="550"/>
      <c r="G621" s="550"/>
    </row>
    <row r="622" spans="1:7" x14ac:dyDescent="0.25">
      <c r="A622" s="550"/>
      <c r="B622" s="550"/>
      <c r="C622" s="550"/>
      <c r="D622" s="550"/>
      <c r="E622" s="550"/>
      <c r="F622" s="550"/>
      <c r="G622" s="550"/>
    </row>
    <row r="623" spans="1:7" x14ac:dyDescent="0.25">
      <c r="A623" s="550"/>
      <c r="B623" s="550"/>
      <c r="C623" s="550"/>
      <c r="D623" s="550"/>
      <c r="E623" s="550"/>
      <c r="F623" s="550"/>
      <c r="G623" s="550"/>
    </row>
    <row r="624" spans="1:7" x14ac:dyDescent="0.25">
      <c r="A624" s="550"/>
      <c r="B624" s="550"/>
      <c r="C624" s="550"/>
      <c r="D624" s="550"/>
      <c r="E624" s="550"/>
      <c r="F624" s="550"/>
      <c r="G624" s="550"/>
    </row>
    <row r="625" spans="1:7" x14ac:dyDescent="0.25">
      <c r="A625" s="550"/>
      <c r="B625" s="550"/>
      <c r="C625" s="550"/>
      <c r="D625" s="550"/>
      <c r="E625" s="550"/>
      <c r="F625" s="550"/>
      <c r="G625" s="550"/>
    </row>
    <row r="626" spans="1:7" x14ac:dyDescent="0.25">
      <c r="A626" s="550"/>
      <c r="B626" s="550"/>
      <c r="C626" s="550"/>
      <c r="D626" s="550"/>
      <c r="E626" s="550"/>
      <c r="F626" s="550"/>
      <c r="G626" s="550"/>
    </row>
    <row r="627" spans="1:7" x14ac:dyDescent="0.25">
      <c r="A627" s="550"/>
      <c r="B627" s="550"/>
      <c r="C627" s="550"/>
      <c r="D627" s="550"/>
      <c r="E627" s="550"/>
      <c r="F627" s="550"/>
      <c r="G627" s="550"/>
    </row>
    <row r="628" spans="1:7" x14ac:dyDescent="0.25">
      <c r="A628" s="550"/>
      <c r="B628" s="550"/>
      <c r="C628" s="550"/>
      <c r="D628" s="550"/>
      <c r="E628" s="550"/>
      <c r="F628" s="550"/>
      <c r="G628" s="550"/>
    </row>
    <row r="629" spans="1:7" x14ac:dyDescent="0.25">
      <c r="A629" s="550"/>
      <c r="B629" s="550"/>
      <c r="C629" s="550"/>
      <c r="D629" s="550"/>
      <c r="E629" s="550"/>
      <c r="F629" s="550"/>
      <c r="G629" s="550"/>
    </row>
    <row r="630" spans="1:7" x14ac:dyDescent="0.25">
      <c r="A630" s="550"/>
      <c r="B630" s="550"/>
      <c r="C630" s="550"/>
      <c r="D630" s="550"/>
      <c r="E630" s="550"/>
      <c r="F630" s="550"/>
      <c r="G630" s="550"/>
    </row>
    <row r="631" spans="1:7" x14ac:dyDescent="0.25">
      <c r="A631" s="550"/>
      <c r="B631" s="550"/>
      <c r="C631" s="550"/>
      <c r="D631" s="550"/>
      <c r="E631" s="550"/>
      <c r="F631" s="550"/>
      <c r="G631" s="550"/>
    </row>
    <row r="632" spans="1:7" x14ac:dyDescent="0.25">
      <c r="A632" s="550"/>
      <c r="B632" s="550"/>
      <c r="C632" s="550"/>
      <c r="D632" s="550"/>
      <c r="E632" s="550"/>
      <c r="F632" s="550"/>
      <c r="G632" s="550"/>
    </row>
    <row r="633" spans="1:7" x14ac:dyDescent="0.25">
      <c r="A633" s="550"/>
      <c r="B633" s="550"/>
      <c r="C633" s="550"/>
      <c r="D633" s="550"/>
      <c r="E633" s="550"/>
      <c r="F633" s="550"/>
      <c r="G633" s="550"/>
    </row>
    <row r="634" spans="1:7" x14ac:dyDescent="0.25">
      <c r="A634" s="550"/>
      <c r="B634" s="550"/>
      <c r="C634" s="550"/>
      <c r="D634" s="550"/>
      <c r="E634" s="550"/>
      <c r="F634" s="550"/>
      <c r="G634" s="550"/>
    </row>
    <row r="635" spans="1:7" x14ac:dyDescent="0.25">
      <c r="A635" s="550"/>
      <c r="B635" s="550"/>
      <c r="C635" s="550"/>
      <c r="D635" s="550"/>
      <c r="E635" s="550"/>
      <c r="F635" s="550"/>
      <c r="G635" s="550"/>
    </row>
    <row r="636" spans="1:7" x14ac:dyDescent="0.25">
      <c r="A636" s="550"/>
      <c r="B636" s="550"/>
      <c r="C636" s="550"/>
      <c r="D636" s="550"/>
      <c r="E636" s="550"/>
      <c r="F636" s="550"/>
      <c r="G636" s="550"/>
    </row>
    <row r="637" spans="1:7" x14ac:dyDescent="0.25">
      <c r="A637" s="550"/>
      <c r="B637" s="550"/>
      <c r="C637" s="550"/>
      <c r="D637" s="550"/>
      <c r="E637" s="550"/>
      <c r="F637" s="550"/>
      <c r="G637" s="550"/>
    </row>
    <row r="638" spans="1:7" x14ac:dyDescent="0.25">
      <c r="A638" s="550"/>
      <c r="B638" s="550"/>
      <c r="C638" s="550"/>
      <c r="D638" s="550"/>
      <c r="E638" s="550"/>
      <c r="F638" s="550"/>
      <c r="G638" s="550"/>
    </row>
    <row r="639" spans="1:7" x14ac:dyDescent="0.25">
      <c r="A639" s="550"/>
      <c r="B639" s="550"/>
      <c r="C639" s="550"/>
      <c r="D639" s="550"/>
      <c r="E639" s="550"/>
      <c r="F639" s="550"/>
      <c r="G639" s="550"/>
    </row>
    <row r="640" spans="1:7" x14ac:dyDescent="0.25">
      <c r="A640" s="550"/>
      <c r="B640" s="550"/>
      <c r="C640" s="550"/>
      <c r="D640" s="550"/>
      <c r="E640" s="550"/>
      <c r="F640" s="550"/>
      <c r="G640" s="550"/>
    </row>
    <row r="641" spans="1:7" x14ac:dyDescent="0.25">
      <c r="A641" s="550"/>
      <c r="B641" s="550"/>
      <c r="C641" s="550"/>
      <c r="D641" s="550"/>
      <c r="E641" s="550"/>
      <c r="F641" s="550"/>
      <c r="G641" s="550"/>
    </row>
    <row r="642" spans="1:7" x14ac:dyDescent="0.25">
      <c r="A642" s="550"/>
      <c r="B642" s="550"/>
      <c r="C642" s="550"/>
      <c r="D642" s="550"/>
      <c r="E642" s="550"/>
      <c r="F642" s="550"/>
      <c r="G642" s="550"/>
    </row>
    <row r="643" spans="1:7" x14ac:dyDescent="0.25">
      <c r="A643" s="550"/>
      <c r="B643" s="550"/>
      <c r="C643" s="550"/>
      <c r="D643" s="550"/>
      <c r="E643" s="550"/>
      <c r="F643" s="550"/>
      <c r="G643" s="550"/>
    </row>
    <row r="644" spans="1:7" x14ac:dyDescent="0.25">
      <c r="A644" s="550"/>
      <c r="B644" s="550"/>
      <c r="C644" s="550"/>
      <c r="D644" s="550"/>
      <c r="E644" s="550"/>
      <c r="F644" s="550"/>
      <c r="G644" s="550"/>
    </row>
    <row r="645" spans="1:7" x14ac:dyDescent="0.25">
      <c r="A645" s="550"/>
      <c r="B645" s="550"/>
      <c r="C645" s="550"/>
      <c r="D645" s="550"/>
      <c r="E645" s="550"/>
      <c r="F645" s="550"/>
      <c r="G645" s="550"/>
    </row>
    <row r="646" spans="1:7" x14ac:dyDescent="0.25">
      <c r="A646" s="550"/>
      <c r="B646" s="550"/>
      <c r="C646" s="550"/>
      <c r="D646" s="550"/>
      <c r="E646" s="550"/>
      <c r="F646" s="550"/>
      <c r="G646" s="550"/>
    </row>
    <row r="647" spans="1:7" x14ac:dyDescent="0.25">
      <c r="A647" s="550"/>
      <c r="B647" s="550"/>
      <c r="C647" s="550"/>
      <c r="D647" s="550"/>
      <c r="E647" s="550"/>
      <c r="F647" s="550"/>
      <c r="G647" s="550"/>
    </row>
    <row r="648" spans="1:7" x14ac:dyDescent="0.25">
      <c r="A648" s="550"/>
      <c r="B648" s="550"/>
      <c r="C648" s="550"/>
      <c r="D648" s="550"/>
      <c r="E648" s="550"/>
      <c r="F648" s="550"/>
      <c r="G648" s="550"/>
    </row>
    <row r="649" spans="1:7" x14ac:dyDescent="0.25">
      <c r="A649" s="550"/>
      <c r="B649" s="550"/>
      <c r="C649" s="550"/>
      <c r="D649" s="550"/>
      <c r="E649" s="550"/>
      <c r="F649" s="550"/>
      <c r="G649" s="550"/>
    </row>
    <row r="650" spans="1:7" x14ac:dyDescent="0.25">
      <c r="A650" s="550"/>
      <c r="B650" s="550"/>
      <c r="C650" s="550"/>
      <c r="D650" s="550"/>
      <c r="E650" s="550"/>
      <c r="F650" s="550"/>
      <c r="G650" s="550"/>
    </row>
    <row r="651" spans="1:7" x14ac:dyDescent="0.25">
      <c r="A651" s="550"/>
      <c r="B651" s="550"/>
      <c r="C651" s="550"/>
      <c r="D651" s="550"/>
      <c r="E651" s="550"/>
      <c r="F651" s="550"/>
      <c r="G651" s="550"/>
    </row>
    <row r="652" spans="1:7" x14ac:dyDescent="0.25">
      <c r="A652" s="550"/>
      <c r="B652" s="550"/>
      <c r="C652" s="550"/>
      <c r="D652" s="550"/>
      <c r="E652" s="550"/>
      <c r="F652" s="550"/>
      <c r="G652" s="550"/>
    </row>
    <row r="653" spans="1:7" x14ac:dyDescent="0.25">
      <c r="A653" s="550"/>
      <c r="B653" s="550"/>
      <c r="C653" s="550"/>
      <c r="D653" s="550"/>
      <c r="E653" s="550"/>
      <c r="F653" s="550"/>
      <c r="G653" s="550"/>
    </row>
    <row r="654" spans="1:7" x14ac:dyDescent="0.25">
      <c r="A654" s="550"/>
      <c r="B654" s="550"/>
      <c r="C654" s="550"/>
      <c r="D654" s="550"/>
      <c r="E654" s="550"/>
      <c r="F654" s="550"/>
      <c r="G654" s="550"/>
    </row>
    <row r="655" spans="1:7" x14ac:dyDescent="0.25">
      <c r="A655" s="550"/>
      <c r="B655" s="550"/>
      <c r="C655" s="550"/>
      <c r="D655" s="550"/>
      <c r="E655" s="550"/>
      <c r="F655" s="550"/>
      <c r="G655" s="550"/>
    </row>
    <row r="656" spans="1:7" x14ac:dyDescent="0.25">
      <c r="A656" s="550"/>
      <c r="B656" s="550"/>
      <c r="C656" s="550"/>
      <c r="D656" s="550"/>
      <c r="E656" s="550"/>
      <c r="F656" s="550"/>
      <c r="G656" s="550"/>
    </row>
    <row r="657" spans="1:7" x14ac:dyDescent="0.25">
      <c r="A657" s="550"/>
      <c r="B657" s="550"/>
      <c r="C657" s="550"/>
      <c r="D657" s="550"/>
      <c r="E657" s="550"/>
      <c r="F657" s="550"/>
      <c r="G657" s="550"/>
    </row>
    <row r="658" spans="1:7" x14ac:dyDescent="0.25">
      <c r="A658" s="550"/>
      <c r="B658" s="550"/>
      <c r="C658" s="550"/>
      <c r="D658" s="550"/>
      <c r="E658" s="550"/>
      <c r="F658" s="550"/>
      <c r="G658" s="550"/>
    </row>
    <row r="659" spans="1:7" x14ac:dyDescent="0.25">
      <c r="A659" s="550"/>
      <c r="B659" s="550"/>
      <c r="C659" s="550"/>
      <c r="D659" s="550"/>
      <c r="E659" s="550"/>
      <c r="F659" s="550"/>
      <c r="G659" s="550"/>
    </row>
    <row r="660" spans="1:7" x14ac:dyDescent="0.25">
      <c r="A660" s="550"/>
      <c r="B660" s="550"/>
      <c r="C660" s="550"/>
      <c r="D660" s="550"/>
      <c r="E660" s="550"/>
      <c r="F660" s="550"/>
      <c r="G660" s="550"/>
    </row>
    <row r="661" spans="1:7" x14ac:dyDescent="0.25">
      <c r="A661" s="550"/>
      <c r="B661" s="550"/>
      <c r="C661" s="550"/>
      <c r="D661" s="550"/>
      <c r="E661" s="550"/>
      <c r="F661" s="550"/>
      <c r="G661" s="550"/>
    </row>
    <row r="662" spans="1:7" x14ac:dyDescent="0.25">
      <c r="A662" s="550"/>
      <c r="B662" s="550"/>
      <c r="C662" s="550"/>
      <c r="D662" s="550"/>
      <c r="E662" s="550"/>
      <c r="F662" s="550"/>
      <c r="G662" s="550"/>
    </row>
    <row r="663" spans="1:7" x14ac:dyDescent="0.25">
      <c r="A663" s="550"/>
      <c r="B663" s="550"/>
      <c r="C663" s="550"/>
      <c r="D663" s="550"/>
      <c r="E663" s="550"/>
      <c r="F663" s="550"/>
      <c r="G663" s="550"/>
    </row>
    <row r="664" spans="1:7" x14ac:dyDescent="0.25">
      <c r="A664" s="550"/>
      <c r="B664" s="550"/>
      <c r="C664" s="550"/>
      <c r="D664" s="550"/>
      <c r="E664" s="550"/>
      <c r="F664" s="550"/>
      <c r="G664" s="550"/>
    </row>
    <row r="665" spans="1:7" x14ac:dyDescent="0.25">
      <c r="A665" s="550"/>
      <c r="B665" s="550"/>
      <c r="C665" s="550"/>
      <c r="D665" s="550"/>
      <c r="E665" s="550"/>
      <c r="F665" s="550"/>
      <c r="G665" s="550"/>
    </row>
    <row r="666" spans="1:7" x14ac:dyDescent="0.25">
      <c r="A666" s="550"/>
      <c r="B666" s="550"/>
      <c r="C666" s="550"/>
      <c r="D666" s="550"/>
      <c r="E666" s="550"/>
      <c r="F666" s="550"/>
      <c r="G666" s="550"/>
    </row>
    <row r="667" spans="1:7" x14ac:dyDescent="0.25">
      <c r="A667" s="550"/>
      <c r="B667" s="550"/>
      <c r="C667" s="550"/>
      <c r="D667" s="550"/>
      <c r="E667" s="550"/>
      <c r="F667" s="550"/>
      <c r="G667" s="550"/>
    </row>
    <row r="668" spans="1:7" x14ac:dyDescent="0.25">
      <c r="A668" s="550"/>
      <c r="B668" s="550"/>
      <c r="C668" s="550"/>
      <c r="D668" s="550"/>
      <c r="E668" s="550"/>
      <c r="F668" s="550"/>
      <c r="G668" s="550"/>
    </row>
    <row r="669" spans="1:7" x14ac:dyDescent="0.25">
      <c r="A669" s="550"/>
      <c r="B669" s="550"/>
      <c r="C669" s="550"/>
      <c r="D669" s="550"/>
      <c r="E669" s="550"/>
      <c r="F669" s="550"/>
      <c r="G669" s="550"/>
    </row>
    <row r="670" spans="1:7" x14ac:dyDescent="0.25">
      <c r="A670" s="550"/>
      <c r="B670" s="550"/>
      <c r="C670" s="550"/>
      <c r="D670" s="550"/>
      <c r="E670" s="550"/>
      <c r="F670" s="550"/>
      <c r="G670" s="550"/>
    </row>
    <row r="671" spans="1:7" x14ac:dyDescent="0.25">
      <c r="A671" s="550"/>
      <c r="B671" s="550"/>
      <c r="C671" s="550"/>
      <c r="D671" s="550"/>
      <c r="E671" s="550"/>
      <c r="F671" s="550"/>
      <c r="G671" s="550"/>
    </row>
    <row r="672" spans="1:7" x14ac:dyDescent="0.25">
      <c r="A672" s="550"/>
      <c r="B672" s="550"/>
      <c r="C672" s="550"/>
      <c r="D672" s="550"/>
      <c r="E672" s="550"/>
      <c r="F672" s="550"/>
      <c r="G672" s="550"/>
    </row>
    <row r="673" spans="1:7" x14ac:dyDescent="0.25">
      <c r="A673" s="550"/>
      <c r="B673" s="550"/>
      <c r="C673" s="550"/>
      <c r="D673" s="550"/>
      <c r="E673" s="550"/>
      <c r="F673" s="550"/>
      <c r="G673" s="550"/>
    </row>
    <row r="674" spans="1:7" x14ac:dyDescent="0.25">
      <c r="A674" s="550"/>
      <c r="B674" s="550"/>
      <c r="C674" s="550"/>
      <c r="D674" s="550"/>
      <c r="E674" s="550"/>
      <c r="F674" s="550"/>
      <c r="G674" s="550"/>
    </row>
    <row r="675" spans="1:7" x14ac:dyDescent="0.25">
      <c r="A675" s="550"/>
      <c r="B675" s="550"/>
      <c r="C675" s="550"/>
      <c r="D675" s="550"/>
      <c r="E675" s="550"/>
      <c r="F675" s="550"/>
      <c r="G675" s="550"/>
    </row>
    <row r="676" spans="1:7" x14ac:dyDescent="0.25">
      <c r="A676" s="550"/>
      <c r="B676" s="550"/>
      <c r="C676" s="550"/>
      <c r="D676" s="550"/>
      <c r="E676" s="550"/>
      <c r="F676" s="550"/>
      <c r="G676" s="550"/>
    </row>
    <row r="677" spans="1:7" x14ac:dyDescent="0.25">
      <c r="A677" s="550"/>
      <c r="B677" s="550"/>
      <c r="C677" s="550"/>
      <c r="D677" s="550"/>
      <c r="E677" s="550"/>
      <c r="F677" s="550"/>
      <c r="G677" s="550"/>
    </row>
    <row r="678" spans="1:7" x14ac:dyDescent="0.25">
      <c r="A678" s="550"/>
      <c r="B678" s="550"/>
      <c r="C678" s="550"/>
      <c r="D678" s="550"/>
      <c r="E678" s="550"/>
      <c r="F678" s="550"/>
      <c r="G678" s="550"/>
    </row>
    <row r="679" spans="1:7" x14ac:dyDescent="0.25">
      <c r="A679" s="550"/>
      <c r="B679" s="550"/>
      <c r="C679" s="550"/>
      <c r="D679" s="550"/>
      <c r="E679" s="550"/>
      <c r="F679" s="550"/>
      <c r="G679" s="550"/>
    </row>
    <row r="680" spans="1:7" x14ac:dyDescent="0.25">
      <c r="A680" s="550"/>
      <c r="B680" s="550"/>
      <c r="C680" s="550"/>
      <c r="D680" s="550"/>
      <c r="E680" s="550"/>
      <c r="F680" s="550"/>
      <c r="G680" s="550"/>
    </row>
    <row r="681" spans="1:7" x14ac:dyDescent="0.25">
      <c r="A681" s="550"/>
      <c r="B681" s="550"/>
      <c r="C681" s="550"/>
      <c r="D681" s="550"/>
      <c r="E681" s="550"/>
      <c r="F681" s="550"/>
      <c r="G681" s="550"/>
    </row>
    <row r="682" spans="1:7" x14ac:dyDescent="0.25">
      <c r="A682" s="550"/>
      <c r="B682" s="550"/>
      <c r="C682" s="550"/>
      <c r="D682" s="550"/>
      <c r="E682" s="550"/>
      <c r="F682" s="550"/>
      <c r="G682" s="550"/>
    </row>
    <row r="683" spans="1:7" x14ac:dyDescent="0.25">
      <c r="A683" s="550"/>
      <c r="B683" s="550"/>
      <c r="C683" s="550"/>
      <c r="D683" s="550"/>
      <c r="E683" s="550"/>
      <c r="F683" s="550"/>
      <c r="G683" s="550"/>
    </row>
    <row r="684" spans="1:7" x14ac:dyDescent="0.25">
      <c r="A684" s="550"/>
      <c r="B684" s="550"/>
      <c r="C684" s="550"/>
      <c r="D684" s="550"/>
      <c r="E684" s="550"/>
      <c r="F684" s="550"/>
      <c r="G684" s="550"/>
    </row>
    <row r="685" spans="1:7" x14ac:dyDescent="0.25">
      <c r="A685" s="550"/>
      <c r="B685" s="550"/>
      <c r="C685" s="550"/>
      <c r="D685" s="550"/>
      <c r="E685" s="550"/>
      <c r="F685" s="550"/>
      <c r="G685" s="550"/>
    </row>
    <row r="686" spans="1:7" x14ac:dyDescent="0.25">
      <c r="A686" s="550"/>
      <c r="B686" s="550"/>
      <c r="C686" s="550"/>
      <c r="D686" s="550"/>
      <c r="E686" s="550"/>
      <c r="F686" s="550"/>
      <c r="G686" s="550"/>
    </row>
    <row r="687" spans="1:7" x14ac:dyDescent="0.25">
      <c r="A687" s="550"/>
      <c r="B687" s="550"/>
      <c r="C687" s="550"/>
      <c r="D687" s="550"/>
      <c r="E687" s="550"/>
      <c r="F687" s="550"/>
      <c r="G687" s="550"/>
    </row>
    <row r="688" spans="1:7" x14ac:dyDescent="0.25">
      <c r="A688" s="550"/>
      <c r="B688" s="550"/>
      <c r="C688" s="550"/>
      <c r="D688" s="550"/>
      <c r="E688" s="550"/>
      <c r="F688" s="550"/>
      <c r="G688" s="550"/>
    </row>
    <row r="689" spans="1:7" x14ac:dyDescent="0.25">
      <c r="A689" s="550"/>
      <c r="B689" s="550"/>
      <c r="C689" s="550"/>
      <c r="D689" s="550"/>
      <c r="E689" s="550"/>
      <c r="F689" s="550"/>
      <c r="G689" s="550"/>
    </row>
    <row r="690" spans="1:7" x14ac:dyDescent="0.25">
      <c r="A690" s="550"/>
      <c r="B690" s="550"/>
      <c r="C690" s="550"/>
      <c r="D690" s="550"/>
      <c r="E690" s="550"/>
      <c r="F690" s="550"/>
      <c r="G690" s="550"/>
    </row>
    <row r="691" spans="1:7" x14ac:dyDescent="0.25">
      <c r="A691" s="550"/>
      <c r="B691" s="550"/>
      <c r="C691" s="550"/>
      <c r="D691" s="550"/>
      <c r="E691" s="550"/>
      <c r="F691" s="550"/>
      <c r="G691" s="550"/>
    </row>
    <row r="692" spans="1:7" x14ac:dyDescent="0.25">
      <c r="A692" s="550"/>
      <c r="B692" s="550"/>
      <c r="C692" s="550"/>
      <c r="D692" s="550"/>
      <c r="E692" s="550"/>
      <c r="F692" s="550"/>
      <c r="G692" s="550"/>
    </row>
    <row r="693" spans="1:7" x14ac:dyDescent="0.25">
      <c r="A693" s="550"/>
      <c r="B693" s="550"/>
      <c r="C693" s="550"/>
      <c r="D693" s="550"/>
      <c r="E693" s="550"/>
      <c r="F693" s="550"/>
      <c r="G693" s="550"/>
    </row>
    <row r="694" spans="1:7" x14ac:dyDescent="0.25">
      <c r="A694" s="550"/>
      <c r="B694" s="550"/>
      <c r="C694" s="550"/>
      <c r="D694" s="550"/>
      <c r="E694" s="550"/>
      <c r="F694" s="550"/>
      <c r="G694" s="550"/>
    </row>
    <row r="695" spans="1:7" x14ac:dyDescent="0.25">
      <c r="A695" s="550"/>
      <c r="B695" s="550"/>
      <c r="C695" s="550"/>
      <c r="D695" s="550"/>
      <c r="E695" s="550"/>
      <c r="F695" s="550"/>
      <c r="G695" s="550"/>
    </row>
    <row r="696" spans="1:7" x14ac:dyDescent="0.25">
      <c r="A696" s="550"/>
      <c r="B696" s="550"/>
      <c r="C696" s="550"/>
      <c r="D696" s="550"/>
      <c r="E696" s="550"/>
      <c r="F696" s="550"/>
      <c r="G696" s="550"/>
    </row>
    <row r="697" spans="1:7" x14ac:dyDescent="0.25">
      <c r="A697" s="550"/>
      <c r="B697" s="550"/>
      <c r="C697" s="550"/>
      <c r="D697" s="550"/>
      <c r="E697" s="550"/>
      <c r="F697" s="550"/>
      <c r="G697" s="550"/>
    </row>
    <row r="698" spans="1:7" x14ac:dyDescent="0.25">
      <c r="A698" s="550"/>
      <c r="B698" s="550"/>
      <c r="C698" s="550"/>
      <c r="D698" s="550"/>
      <c r="E698" s="550"/>
      <c r="F698" s="550"/>
      <c r="G698" s="550"/>
    </row>
    <row r="699" spans="1:7" x14ac:dyDescent="0.25">
      <c r="A699" s="550"/>
      <c r="B699" s="550"/>
      <c r="C699" s="550"/>
      <c r="D699" s="550"/>
      <c r="E699" s="550"/>
      <c r="F699" s="550"/>
      <c r="G699" s="550"/>
    </row>
    <row r="700" spans="1:7" x14ac:dyDescent="0.25">
      <c r="A700" s="550"/>
      <c r="B700" s="550"/>
      <c r="C700" s="550"/>
      <c r="D700" s="550"/>
      <c r="E700" s="550"/>
      <c r="F700" s="550"/>
      <c r="G700" s="550"/>
    </row>
    <row r="701" spans="1:7" x14ac:dyDescent="0.25">
      <c r="A701" s="550"/>
      <c r="B701" s="550"/>
      <c r="C701" s="550"/>
      <c r="D701" s="550"/>
      <c r="E701" s="550"/>
      <c r="F701" s="550"/>
      <c r="G701" s="550"/>
    </row>
    <row r="702" spans="1:7" x14ac:dyDescent="0.25">
      <c r="A702" s="550"/>
      <c r="B702" s="550"/>
      <c r="C702" s="550"/>
      <c r="D702" s="550"/>
      <c r="E702" s="550"/>
      <c r="F702" s="550"/>
      <c r="G702" s="550"/>
    </row>
    <row r="703" spans="1:7" x14ac:dyDescent="0.25">
      <c r="A703" s="550"/>
      <c r="B703" s="550"/>
      <c r="C703" s="550"/>
      <c r="D703" s="550"/>
      <c r="E703" s="550"/>
      <c r="F703" s="550"/>
      <c r="G703" s="550"/>
    </row>
    <row r="704" spans="1:7" x14ac:dyDescent="0.25">
      <c r="A704" s="550"/>
      <c r="B704" s="550"/>
      <c r="C704" s="550"/>
      <c r="D704" s="550"/>
      <c r="E704" s="550"/>
      <c r="F704" s="550"/>
      <c r="G704" s="550"/>
    </row>
    <row r="705" spans="1:7" x14ac:dyDescent="0.25">
      <c r="A705" s="550"/>
      <c r="B705" s="550"/>
      <c r="C705" s="550"/>
      <c r="D705" s="550"/>
      <c r="E705" s="550"/>
      <c r="F705" s="550"/>
      <c r="G705" s="550"/>
    </row>
    <row r="706" spans="1:7" x14ac:dyDescent="0.25">
      <c r="A706" s="550"/>
      <c r="B706" s="550"/>
      <c r="C706" s="550"/>
      <c r="D706" s="550"/>
      <c r="E706" s="550"/>
      <c r="F706" s="550"/>
      <c r="G706" s="550"/>
    </row>
    <row r="707" spans="1:7" x14ac:dyDescent="0.25">
      <c r="A707" s="550"/>
      <c r="B707" s="550"/>
      <c r="C707" s="550"/>
      <c r="D707" s="550"/>
      <c r="E707" s="550"/>
      <c r="F707" s="550"/>
      <c r="G707" s="550"/>
    </row>
    <row r="708" spans="1:7" x14ac:dyDescent="0.25">
      <c r="A708" s="550"/>
      <c r="B708" s="550"/>
      <c r="C708" s="550"/>
      <c r="D708" s="550"/>
      <c r="E708" s="550"/>
      <c r="F708" s="550"/>
      <c r="G708" s="550"/>
    </row>
    <row r="709" spans="1:7" x14ac:dyDescent="0.25">
      <c r="A709" s="550"/>
      <c r="B709" s="550"/>
      <c r="C709" s="550"/>
      <c r="D709" s="550"/>
      <c r="E709" s="550"/>
      <c r="F709" s="550"/>
      <c r="G709" s="550"/>
    </row>
    <row r="710" spans="1:7" x14ac:dyDescent="0.25">
      <c r="A710" s="550"/>
      <c r="B710" s="550"/>
      <c r="C710" s="550"/>
      <c r="D710" s="550"/>
      <c r="E710" s="550"/>
      <c r="F710" s="550"/>
      <c r="G710" s="550"/>
    </row>
    <row r="711" spans="1:7" x14ac:dyDescent="0.25">
      <c r="A711" s="550"/>
      <c r="B711" s="550"/>
      <c r="C711" s="550"/>
      <c r="D711" s="550"/>
      <c r="E711" s="550"/>
      <c r="F711" s="550"/>
      <c r="G711" s="550"/>
    </row>
    <row r="712" spans="1:7" x14ac:dyDescent="0.25">
      <c r="A712" s="550"/>
      <c r="B712" s="550"/>
      <c r="C712" s="550"/>
      <c r="D712" s="550"/>
      <c r="E712" s="550"/>
      <c r="F712" s="550"/>
      <c r="G712" s="550"/>
    </row>
    <row r="713" spans="1:7" x14ac:dyDescent="0.25">
      <c r="A713" s="550"/>
      <c r="B713" s="550"/>
      <c r="C713" s="550"/>
      <c r="D713" s="550"/>
      <c r="E713" s="550"/>
      <c r="F713" s="550"/>
      <c r="G713" s="550"/>
    </row>
    <row r="714" spans="1:7" x14ac:dyDescent="0.25">
      <c r="A714" s="550"/>
      <c r="B714" s="550"/>
      <c r="C714" s="550"/>
      <c r="D714" s="550"/>
      <c r="E714" s="550"/>
      <c r="F714" s="550"/>
      <c r="G714" s="550"/>
    </row>
    <row r="715" spans="1:7" x14ac:dyDescent="0.25">
      <c r="A715" s="550"/>
      <c r="B715" s="550"/>
      <c r="C715" s="550"/>
      <c r="D715" s="550"/>
      <c r="E715" s="550"/>
      <c r="F715" s="550"/>
      <c r="G715" s="550"/>
    </row>
    <row r="716" spans="1:7" x14ac:dyDescent="0.25">
      <c r="A716" s="550"/>
      <c r="B716" s="550"/>
      <c r="C716" s="550"/>
      <c r="D716" s="550"/>
      <c r="E716" s="550"/>
      <c r="F716" s="550"/>
      <c r="G716" s="550"/>
    </row>
    <row r="717" spans="1:7" x14ac:dyDescent="0.25">
      <c r="A717" s="550"/>
      <c r="B717" s="550"/>
      <c r="C717" s="550"/>
      <c r="D717" s="550"/>
      <c r="E717" s="550"/>
      <c r="F717" s="550"/>
      <c r="G717" s="550"/>
    </row>
    <row r="718" spans="1:7" x14ac:dyDescent="0.25">
      <c r="A718" s="550"/>
      <c r="B718" s="550"/>
      <c r="C718" s="550"/>
      <c r="D718" s="550"/>
      <c r="E718" s="550"/>
      <c r="F718" s="550"/>
      <c r="G718" s="550"/>
    </row>
    <row r="719" spans="1:7" x14ac:dyDescent="0.25">
      <c r="A719" s="550"/>
      <c r="B719" s="550"/>
      <c r="C719" s="550"/>
      <c r="D719" s="550"/>
      <c r="E719" s="550"/>
      <c r="F719" s="550"/>
      <c r="G719" s="550"/>
    </row>
    <row r="720" spans="1:7" x14ac:dyDescent="0.25">
      <c r="A720" s="550"/>
      <c r="B720" s="550"/>
      <c r="C720" s="550"/>
      <c r="D720" s="550"/>
      <c r="E720" s="550"/>
      <c r="F720" s="550"/>
      <c r="G720" s="550"/>
    </row>
    <row r="721" spans="1:7" x14ac:dyDescent="0.25">
      <c r="A721" s="550"/>
      <c r="B721" s="550"/>
      <c r="C721" s="550"/>
      <c r="D721" s="550"/>
      <c r="E721" s="550"/>
      <c r="F721" s="550"/>
      <c r="G721" s="550"/>
    </row>
    <row r="722" spans="1:7" x14ac:dyDescent="0.25">
      <c r="A722" s="550"/>
      <c r="B722" s="550"/>
      <c r="C722" s="550"/>
      <c r="D722" s="550"/>
      <c r="E722" s="550"/>
      <c r="F722" s="550"/>
      <c r="G722" s="550"/>
    </row>
    <row r="723" spans="1:7" x14ac:dyDescent="0.25">
      <c r="A723" s="550"/>
      <c r="B723" s="550"/>
      <c r="C723" s="550"/>
      <c r="D723" s="550"/>
      <c r="E723" s="550"/>
      <c r="F723" s="550"/>
      <c r="G723" s="550"/>
    </row>
    <row r="724" spans="1:7" x14ac:dyDescent="0.25">
      <c r="A724" s="550"/>
      <c r="B724" s="550"/>
      <c r="C724" s="550"/>
      <c r="D724" s="550"/>
      <c r="E724" s="550"/>
      <c r="F724" s="550"/>
      <c r="G724" s="550"/>
    </row>
    <row r="725" spans="1:7" x14ac:dyDescent="0.25">
      <c r="A725" s="550"/>
      <c r="B725" s="550"/>
      <c r="C725" s="550"/>
      <c r="D725" s="550"/>
      <c r="E725" s="550"/>
      <c r="F725" s="550"/>
      <c r="G725" s="550"/>
    </row>
    <row r="726" spans="1:7" x14ac:dyDescent="0.25">
      <c r="A726" s="550"/>
      <c r="B726" s="550"/>
      <c r="C726" s="550"/>
      <c r="D726" s="550"/>
      <c r="E726" s="550"/>
      <c r="F726" s="550"/>
      <c r="G726" s="550"/>
    </row>
    <row r="727" spans="1:7" x14ac:dyDescent="0.25">
      <c r="A727" s="550"/>
      <c r="B727" s="550"/>
      <c r="C727" s="550"/>
      <c r="D727" s="550"/>
      <c r="E727" s="550"/>
      <c r="F727" s="550"/>
      <c r="G727" s="550"/>
    </row>
    <row r="728" spans="1:7" x14ac:dyDescent="0.25">
      <c r="A728" s="550"/>
      <c r="B728" s="550"/>
      <c r="C728" s="550"/>
      <c r="D728" s="550"/>
      <c r="E728" s="550"/>
      <c r="F728" s="550"/>
      <c r="G728" s="550"/>
    </row>
    <row r="729" spans="1:7" x14ac:dyDescent="0.25">
      <c r="A729" s="550"/>
      <c r="B729" s="550"/>
      <c r="C729" s="550"/>
      <c r="D729" s="550"/>
      <c r="E729" s="550"/>
      <c r="F729" s="550"/>
      <c r="G729" s="550"/>
    </row>
    <row r="730" spans="1:7" x14ac:dyDescent="0.25">
      <c r="A730" s="550"/>
      <c r="B730" s="550"/>
      <c r="C730" s="550"/>
      <c r="D730" s="550"/>
      <c r="E730" s="550"/>
      <c r="F730" s="550"/>
      <c r="G730" s="550"/>
    </row>
    <row r="731" spans="1:7" x14ac:dyDescent="0.25">
      <c r="A731" s="550"/>
      <c r="B731" s="550"/>
      <c r="C731" s="550"/>
      <c r="D731" s="550"/>
      <c r="E731" s="550"/>
      <c r="F731" s="550"/>
      <c r="G731" s="550"/>
    </row>
    <row r="732" spans="1:7" x14ac:dyDescent="0.25">
      <c r="A732" s="550"/>
      <c r="B732" s="550"/>
      <c r="C732" s="550"/>
      <c r="D732" s="550"/>
      <c r="E732" s="550"/>
      <c r="F732" s="550"/>
      <c r="G732" s="550"/>
    </row>
    <row r="733" spans="1:7" x14ac:dyDescent="0.25">
      <c r="A733" s="550"/>
      <c r="B733" s="550"/>
      <c r="C733" s="550"/>
      <c r="D733" s="550"/>
      <c r="E733" s="550"/>
      <c r="F733" s="550"/>
      <c r="G733" s="550"/>
    </row>
    <row r="734" spans="1:7" x14ac:dyDescent="0.25">
      <c r="A734" s="550"/>
      <c r="B734" s="550"/>
      <c r="C734" s="550"/>
      <c r="D734" s="550"/>
      <c r="E734" s="550"/>
      <c r="F734" s="550"/>
      <c r="G734" s="550"/>
    </row>
    <row r="735" spans="1:7" x14ac:dyDescent="0.25">
      <c r="A735" s="550"/>
      <c r="B735" s="550"/>
      <c r="C735" s="550"/>
      <c r="D735" s="550"/>
      <c r="E735" s="550"/>
      <c r="F735" s="550"/>
      <c r="G735" s="550"/>
    </row>
    <row r="736" spans="1:7" x14ac:dyDescent="0.25">
      <c r="A736" s="550"/>
      <c r="B736" s="550"/>
      <c r="C736" s="550"/>
      <c r="D736" s="550"/>
      <c r="E736" s="550"/>
      <c r="F736" s="550"/>
      <c r="G736" s="550"/>
    </row>
    <row r="737" spans="1:7" x14ac:dyDescent="0.25">
      <c r="A737" s="550"/>
      <c r="B737" s="550"/>
      <c r="C737" s="550"/>
      <c r="D737" s="550"/>
      <c r="E737" s="550"/>
      <c r="F737" s="550"/>
      <c r="G737" s="550"/>
    </row>
    <row r="738" spans="1:7" x14ac:dyDescent="0.25">
      <c r="A738" s="550"/>
      <c r="B738" s="550"/>
      <c r="C738" s="550"/>
      <c r="D738" s="550"/>
      <c r="E738" s="550"/>
      <c r="F738" s="550"/>
      <c r="G738" s="550"/>
    </row>
    <row r="739" spans="1:7" x14ac:dyDescent="0.25">
      <c r="A739" s="550"/>
      <c r="B739" s="550"/>
      <c r="C739" s="550"/>
      <c r="D739" s="550"/>
      <c r="E739" s="550"/>
      <c r="F739" s="550"/>
      <c r="G739" s="550"/>
    </row>
    <row r="740" spans="1:7" x14ac:dyDescent="0.25">
      <c r="A740" s="550"/>
      <c r="B740" s="550"/>
      <c r="C740" s="550"/>
      <c r="D740" s="550"/>
      <c r="E740" s="550"/>
      <c r="F740" s="550"/>
      <c r="G740" s="550"/>
    </row>
    <row r="741" spans="1:7" x14ac:dyDescent="0.25">
      <c r="A741" s="550"/>
      <c r="B741" s="550"/>
      <c r="C741" s="550"/>
      <c r="D741" s="550"/>
      <c r="E741" s="550"/>
      <c r="F741" s="550"/>
      <c r="G741" s="550"/>
    </row>
    <row r="742" spans="1:7" x14ac:dyDescent="0.25">
      <c r="A742" s="550"/>
      <c r="B742" s="550"/>
      <c r="C742" s="550"/>
      <c r="D742" s="550"/>
      <c r="E742" s="550"/>
      <c r="F742" s="550"/>
      <c r="G742" s="550"/>
    </row>
    <row r="743" spans="1:7" x14ac:dyDescent="0.25">
      <c r="A743" s="550"/>
      <c r="B743" s="550"/>
      <c r="C743" s="550"/>
      <c r="D743" s="550"/>
      <c r="E743" s="550"/>
      <c r="F743" s="550"/>
      <c r="G743" s="550"/>
    </row>
    <row r="744" spans="1:7" x14ac:dyDescent="0.25">
      <c r="A744" s="550"/>
      <c r="B744" s="550"/>
      <c r="C744" s="550"/>
      <c r="D744" s="550"/>
      <c r="E744" s="550"/>
      <c r="F744" s="550"/>
      <c r="G744" s="550"/>
    </row>
    <row r="745" spans="1:7" x14ac:dyDescent="0.25">
      <c r="A745" s="550"/>
      <c r="B745" s="550"/>
      <c r="C745" s="550"/>
      <c r="D745" s="550"/>
      <c r="E745" s="550"/>
      <c r="F745" s="550"/>
      <c r="G745" s="550"/>
    </row>
    <row r="746" spans="1:7" x14ac:dyDescent="0.25">
      <c r="A746" s="550"/>
      <c r="B746" s="550"/>
      <c r="C746" s="550"/>
      <c r="D746" s="550"/>
      <c r="E746" s="550"/>
      <c r="F746" s="550"/>
      <c r="G746" s="550"/>
    </row>
    <row r="747" spans="1:7" x14ac:dyDescent="0.25">
      <c r="A747" s="550"/>
      <c r="B747" s="550"/>
      <c r="C747" s="550"/>
      <c r="D747" s="550"/>
      <c r="E747" s="550"/>
      <c r="F747" s="550"/>
      <c r="G747" s="550"/>
    </row>
    <row r="748" spans="1:7" x14ac:dyDescent="0.25">
      <c r="A748" s="550"/>
      <c r="B748" s="550"/>
      <c r="C748" s="550"/>
      <c r="D748" s="550"/>
      <c r="E748" s="550"/>
      <c r="F748" s="550"/>
      <c r="G748" s="550"/>
    </row>
    <row r="749" spans="1:7" x14ac:dyDescent="0.25">
      <c r="A749" s="550"/>
      <c r="B749" s="550"/>
      <c r="C749" s="550"/>
      <c r="D749" s="550"/>
      <c r="E749" s="550"/>
      <c r="F749" s="550"/>
      <c r="G749" s="550"/>
    </row>
    <row r="750" spans="1:7" x14ac:dyDescent="0.25">
      <c r="A750" s="550"/>
      <c r="B750" s="550"/>
      <c r="C750" s="550"/>
      <c r="D750" s="550"/>
      <c r="E750" s="550"/>
      <c r="F750" s="550"/>
      <c r="G750" s="550"/>
    </row>
    <row r="751" spans="1:7" x14ac:dyDescent="0.25">
      <c r="A751" s="550"/>
      <c r="B751" s="550"/>
      <c r="C751" s="550"/>
      <c r="D751" s="550"/>
      <c r="E751" s="550"/>
      <c r="F751" s="550"/>
      <c r="G751" s="550"/>
    </row>
    <row r="752" spans="1:7" x14ac:dyDescent="0.25">
      <c r="A752" s="550"/>
      <c r="B752" s="550"/>
      <c r="C752" s="550"/>
      <c r="D752" s="550"/>
      <c r="E752" s="550"/>
      <c r="F752" s="550"/>
      <c r="G752" s="550"/>
    </row>
    <row r="753" spans="1:7" x14ac:dyDescent="0.25">
      <c r="A753" s="550"/>
      <c r="B753" s="550"/>
      <c r="C753" s="550"/>
      <c r="D753" s="550"/>
      <c r="E753" s="550"/>
      <c r="F753" s="550"/>
      <c r="G753" s="550"/>
    </row>
    <row r="754" spans="1:7" x14ac:dyDescent="0.25">
      <c r="A754" s="550"/>
      <c r="B754" s="550"/>
      <c r="C754" s="550"/>
      <c r="D754" s="550"/>
      <c r="E754" s="550"/>
      <c r="F754" s="550"/>
      <c r="G754" s="550"/>
    </row>
    <row r="755" spans="1:7" x14ac:dyDescent="0.25">
      <c r="A755" s="550"/>
      <c r="B755" s="550"/>
      <c r="C755" s="550"/>
      <c r="D755" s="550"/>
      <c r="E755" s="550"/>
      <c r="F755" s="550"/>
      <c r="G755" s="550"/>
    </row>
    <row r="756" spans="1:7" x14ac:dyDescent="0.25">
      <c r="A756" s="550"/>
      <c r="B756" s="550"/>
      <c r="C756" s="550"/>
      <c r="D756" s="550"/>
      <c r="E756" s="550"/>
      <c r="F756" s="550"/>
      <c r="G756" s="550"/>
    </row>
    <row r="757" spans="1:7" x14ac:dyDescent="0.25">
      <c r="A757" s="550"/>
      <c r="B757" s="550"/>
      <c r="C757" s="550"/>
      <c r="D757" s="550"/>
      <c r="E757" s="550"/>
      <c r="F757" s="550"/>
      <c r="G757" s="550"/>
    </row>
    <row r="758" spans="1:7" x14ac:dyDescent="0.25">
      <c r="A758" s="550"/>
      <c r="B758" s="550"/>
      <c r="C758" s="550"/>
      <c r="D758" s="550"/>
      <c r="E758" s="550"/>
      <c r="F758" s="550"/>
      <c r="G758" s="550"/>
    </row>
    <row r="759" spans="1:7" x14ac:dyDescent="0.25">
      <c r="A759" s="550"/>
      <c r="B759" s="550"/>
      <c r="C759" s="550"/>
      <c r="D759" s="550"/>
      <c r="E759" s="550"/>
      <c r="F759" s="550"/>
      <c r="G759" s="550"/>
    </row>
    <row r="760" spans="1:7" x14ac:dyDescent="0.25">
      <c r="A760" s="550"/>
      <c r="B760" s="550"/>
      <c r="C760" s="550"/>
      <c r="D760" s="550"/>
      <c r="E760" s="550"/>
      <c r="F760" s="550"/>
      <c r="G760" s="550"/>
    </row>
    <row r="761" spans="1:7" x14ac:dyDescent="0.25">
      <c r="A761" s="550"/>
      <c r="B761" s="550"/>
      <c r="C761" s="550"/>
      <c r="D761" s="550"/>
      <c r="E761" s="550"/>
      <c r="F761" s="550"/>
      <c r="G761" s="550"/>
    </row>
    <row r="762" spans="1:7" x14ac:dyDescent="0.25">
      <c r="A762" s="550"/>
      <c r="B762" s="550"/>
      <c r="C762" s="550"/>
      <c r="D762" s="550"/>
      <c r="E762" s="550"/>
      <c r="F762" s="550"/>
      <c r="G762" s="550"/>
    </row>
    <row r="763" spans="1:7" x14ac:dyDescent="0.25">
      <c r="A763" s="550"/>
      <c r="B763" s="550"/>
      <c r="C763" s="550"/>
      <c r="D763" s="550"/>
      <c r="E763" s="550"/>
      <c r="F763" s="550"/>
      <c r="G763" s="550"/>
    </row>
    <row r="764" spans="1:7" x14ac:dyDescent="0.25">
      <c r="A764" s="550"/>
      <c r="B764" s="550"/>
      <c r="C764" s="550"/>
      <c r="D764" s="550"/>
      <c r="E764" s="550"/>
      <c r="F764" s="550"/>
      <c r="G764" s="550"/>
    </row>
    <row r="765" spans="1:7" x14ac:dyDescent="0.25">
      <c r="A765" s="550"/>
      <c r="B765" s="550"/>
      <c r="C765" s="550"/>
      <c r="D765" s="550"/>
      <c r="E765" s="550"/>
      <c r="F765" s="550"/>
      <c r="G765" s="550"/>
    </row>
    <row r="766" spans="1:7" x14ac:dyDescent="0.25">
      <c r="A766" s="550"/>
      <c r="B766" s="550"/>
      <c r="C766" s="550"/>
      <c r="D766" s="550"/>
      <c r="E766" s="550"/>
      <c r="F766" s="550"/>
      <c r="G766" s="550"/>
    </row>
    <row r="767" spans="1:7" x14ac:dyDescent="0.25">
      <c r="A767" s="550"/>
      <c r="B767" s="550"/>
      <c r="C767" s="550"/>
      <c r="D767" s="550"/>
      <c r="E767" s="550"/>
      <c r="F767" s="550"/>
      <c r="G767" s="550"/>
    </row>
    <row r="768" spans="1:7" x14ac:dyDescent="0.25">
      <c r="A768" s="550"/>
      <c r="B768" s="550"/>
      <c r="C768" s="550"/>
      <c r="D768" s="550"/>
      <c r="E768" s="550"/>
      <c r="F768" s="550"/>
      <c r="G768" s="550"/>
    </row>
    <row r="769" spans="1:7" x14ac:dyDescent="0.25">
      <c r="A769" s="550"/>
      <c r="B769" s="550"/>
      <c r="C769" s="550"/>
      <c r="D769" s="550"/>
      <c r="E769" s="550"/>
      <c r="F769" s="550"/>
      <c r="G769" s="550"/>
    </row>
    <row r="770" spans="1:7" x14ac:dyDescent="0.25">
      <c r="A770" s="550"/>
      <c r="B770" s="550"/>
      <c r="C770" s="550"/>
      <c r="D770" s="550"/>
      <c r="E770" s="550"/>
      <c r="F770" s="550"/>
      <c r="G770" s="550"/>
    </row>
    <row r="771" spans="1:7" x14ac:dyDescent="0.25">
      <c r="A771" s="550"/>
      <c r="B771" s="550"/>
      <c r="C771" s="550"/>
      <c r="D771" s="550"/>
      <c r="E771" s="550"/>
      <c r="F771" s="550"/>
      <c r="G771" s="550"/>
    </row>
    <row r="772" spans="1:7" x14ac:dyDescent="0.25">
      <c r="A772" s="550"/>
      <c r="B772" s="550"/>
      <c r="C772" s="550"/>
      <c r="D772" s="550"/>
      <c r="E772" s="550"/>
      <c r="F772" s="550"/>
      <c r="G772" s="550"/>
    </row>
    <row r="773" spans="1:7" x14ac:dyDescent="0.25">
      <c r="A773" s="550"/>
      <c r="B773" s="550"/>
      <c r="C773" s="550"/>
      <c r="D773" s="550"/>
      <c r="E773" s="550"/>
      <c r="F773" s="550"/>
      <c r="G773" s="550"/>
    </row>
    <row r="774" spans="1:7" x14ac:dyDescent="0.25">
      <c r="A774" s="550"/>
      <c r="B774" s="550"/>
      <c r="C774" s="550"/>
      <c r="D774" s="550"/>
      <c r="E774" s="550"/>
      <c r="F774" s="550"/>
      <c r="G774" s="550"/>
    </row>
    <row r="775" spans="1:7" x14ac:dyDescent="0.25">
      <c r="A775" s="550"/>
      <c r="B775" s="550"/>
      <c r="C775" s="550"/>
      <c r="D775" s="550"/>
      <c r="E775" s="550"/>
      <c r="F775" s="550"/>
      <c r="G775" s="550"/>
    </row>
    <row r="776" spans="1:7" x14ac:dyDescent="0.25">
      <c r="A776" s="550"/>
      <c r="B776" s="550"/>
      <c r="C776" s="550"/>
      <c r="D776" s="550"/>
      <c r="E776" s="550"/>
      <c r="F776" s="550"/>
      <c r="G776" s="550"/>
    </row>
    <row r="777" spans="1:7" x14ac:dyDescent="0.25">
      <c r="A777" s="550"/>
      <c r="B777" s="550"/>
      <c r="C777" s="550"/>
      <c r="D777" s="550"/>
      <c r="E777" s="550"/>
      <c r="F777" s="550"/>
      <c r="G777" s="550"/>
    </row>
    <row r="778" spans="1:7" x14ac:dyDescent="0.25">
      <c r="A778" s="550"/>
      <c r="B778" s="550"/>
      <c r="C778" s="550"/>
      <c r="D778" s="550"/>
      <c r="E778" s="550"/>
      <c r="F778" s="550"/>
      <c r="G778" s="550"/>
    </row>
    <row r="779" spans="1:7" x14ac:dyDescent="0.25">
      <c r="A779" s="550"/>
      <c r="B779" s="550"/>
      <c r="C779" s="550"/>
      <c r="D779" s="550"/>
      <c r="E779" s="550"/>
      <c r="F779" s="550"/>
      <c r="G779" s="550"/>
    </row>
    <row r="780" spans="1:7" x14ac:dyDescent="0.25">
      <c r="A780" s="550"/>
      <c r="B780" s="550"/>
      <c r="C780" s="550"/>
      <c r="D780" s="550"/>
      <c r="E780" s="550"/>
      <c r="F780" s="550"/>
      <c r="G780" s="550"/>
    </row>
    <row r="781" spans="1:7" x14ac:dyDescent="0.25">
      <c r="A781" s="550"/>
      <c r="B781" s="550"/>
      <c r="C781" s="550"/>
      <c r="D781" s="550"/>
      <c r="E781" s="550"/>
      <c r="F781" s="550"/>
      <c r="G781" s="550"/>
    </row>
    <row r="782" spans="1:7" x14ac:dyDescent="0.25">
      <c r="A782" s="550"/>
      <c r="B782" s="550"/>
      <c r="C782" s="550"/>
      <c r="D782" s="550"/>
      <c r="E782" s="550"/>
      <c r="F782" s="550"/>
      <c r="G782" s="550"/>
    </row>
    <row r="783" spans="1:7" x14ac:dyDescent="0.25">
      <c r="A783" s="550"/>
      <c r="B783" s="550"/>
      <c r="C783" s="550"/>
      <c r="D783" s="550"/>
      <c r="E783" s="550"/>
      <c r="F783" s="550"/>
      <c r="G783" s="550"/>
    </row>
    <row r="784" spans="1:7" x14ac:dyDescent="0.25">
      <c r="A784" s="550"/>
      <c r="B784" s="550"/>
      <c r="C784" s="550"/>
      <c r="D784" s="550"/>
      <c r="E784" s="550"/>
      <c r="F784" s="550"/>
      <c r="G784" s="550"/>
    </row>
    <row r="785" spans="1:7" x14ac:dyDescent="0.25">
      <c r="A785" s="550"/>
      <c r="B785" s="550"/>
      <c r="C785" s="550"/>
      <c r="D785" s="550"/>
      <c r="E785" s="550"/>
      <c r="F785" s="550"/>
      <c r="G785" s="550"/>
    </row>
    <row r="786" spans="1:7" x14ac:dyDescent="0.25">
      <c r="A786" s="550"/>
      <c r="B786" s="550"/>
      <c r="C786" s="550"/>
      <c r="D786" s="550"/>
      <c r="E786" s="550"/>
      <c r="F786" s="550"/>
      <c r="G786" s="550"/>
    </row>
    <row r="787" spans="1:7" x14ac:dyDescent="0.25">
      <c r="A787" s="550"/>
      <c r="B787" s="550"/>
      <c r="C787" s="550"/>
      <c r="D787" s="550"/>
      <c r="E787" s="550"/>
      <c r="F787" s="550"/>
      <c r="G787" s="550"/>
    </row>
    <row r="788" spans="1:7" x14ac:dyDescent="0.25">
      <c r="A788" s="550"/>
      <c r="B788" s="550"/>
      <c r="C788" s="550"/>
      <c r="D788" s="550"/>
      <c r="E788" s="550"/>
      <c r="F788" s="550"/>
      <c r="G788" s="550"/>
    </row>
    <row r="789" spans="1:7" x14ac:dyDescent="0.25">
      <c r="A789" s="550"/>
      <c r="B789" s="550"/>
      <c r="C789" s="550"/>
      <c r="D789" s="550"/>
      <c r="E789" s="550"/>
      <c r="F789" s="550"/>
      <c r="G789" s="550"/>
    </row>
    <row r="790" spans="1:7" x14ac:dyDescent="0.25">
      <c r="A790" s="550"/>
      <c r="B790" s="550"/>
      <c r="C790" s="550"/>
      <c r="D790" s="550"/>
      <c r="E790" s="550"/>
      <c r="F790" s="550"/>
      <c r="G790" s="550"/>
    </row>
    <row r="791" spans="1:7" x14ac:dyDescent="0.25">
      <c r="A791" s="550"/>
      <c r="B791" s="550"/>
      <c r="C791" s="550"/>
      <c r="D791" s="550"/>
      <c r="E791" s="550"/>
      <c r="F791" s="550"/>
      <c r="G791" s="550"/>
    </row>
    <row r="792" spans="1:7" x14ac:dyDescent="0.25">
      <c r="A792" s="550"/>
      <c r="B792" s="550"/>
      <c r="C792" s="550"/>
      <c r="D792" s="550"/>
      <c r="E792" s="550"/>
      <c r="F792" s="550"/>
      <c r="G792" s="550"/>
    </row>
    <row r="793" spans="1:7" x14ac:dyDescent="0.25">
      <c r="A793" s="550"/>
      <c r="B793" s="550"/>
      <c r="C793" s="550"/>
      <c r="D793" s="550"/>
      <c r="E793" s="550"/>
      <c r="F793" s="550"/>
      <c r="G793" s="550"/>
    </row>
    <row r="794" spans="1:7" x14ac:dyDescent="0.25">
      <c r="A794" s="550"/>
      <c r="B794" s="550"/>
      <c r="C794" s="550"/>
      <c r="D794" s="550"/>
      <c r="E794" s="550"/>
      <c r="F794" s="550"/>
      <c r="G794" s="550"/>
    </row>
    <row r="795" spans="1:7" x14ac:dyDescent="0.25">
      <c r="A795" s="550"/>
      <c r="B795" s="550"/>
      <c r="C795" s="550"/>
      <c r="D795" s="550"/>
      <c r="E795" s="550"/>
      <c r="F795" s="550"/>
      <c r="G795" s="550"/>
    </row>
    <row r="796" spans="1:7" x14ac:dyDescent="0.25">
      <c r="A796" s="550"/>
      <c r="B796" s="550"/>
      <c r="C796" s="550"/>
      <c r="D796" s="550"/>
      <c r="E796" s="550"/>
      <c r="F796" s="550"/>
      <c r="G796" s="550"/>
    </row>
    <row r="797" spans="1:7" x14ac:dyDescent="0.25">
      <c r="A797" s="550"/>
      <c r="B797" s="550"/>
      <c r="C797" s="550"/>
      <c r="D797" s="550"/>
      <c r="E797" s="550"/>
      <c r="F797" s="550"/>
      <c r="G797" s="550"/>
    </row>
    <row r="798" spans="1:7" x14ac:dyDescent="0.25">
      <c r="A798" s="550"/>
      <c r="B798" s="550"/>
      <c r="C798" s="550"/>
      <c r="D798" s="550"/>
      <c r="E798" s="550"/>
      <c r="F798" s="550"/>
      <c r="G798" s="550"/>
    </row>
    <row r="799" spans="1:7" x14ac:dyDescent="0.25">
      <c r="A799" s="550"/>
      <c r="B799" s="550"/>
      <c r="C799" s="550"/>
      <c r="D799" s="550"/>
      <c r="E799" s="550"/>
      <c r="F799" s="550"/>
      <c r="G799" s="550"/>
    </row>
    <row r="800" spans="1:7" x14ac:dyDescent="0.25">
      <c r="A800" s="550"/>
      <c r="B800" s="550"/>
      <c r="C800" s="550"/>
      <c r="D800" s="550"/>
      <c r="E800" s="550"/>
      <c r="F800" s="550"/>
      <c r="G800" s="550"/>
    </row>
    <row r="801" spans="1:7" x14ac:dyDescent="0.25">
      <c r="A801" s="550"/>
      <c r="B801" s="550"/>
      <c r="C801" s="550"/>
      <c r="D801" s="550"/>
      <c r="E801" s="550"/>
      <c r="F801" s="550"/>
      <c r="G801" s="550"/>
    </row>
    <row r="802" spans="1:7" x14ac:dyDescent="0.25">
      <c r="A802" s="550"/>
      <c r="B802" s="550"/>
      <c r="C802" s="550"/>
      <c r="D802" s="550"/>
      <c r="E802" s="550"/>
      <c r="F802" s="550"/>
      <c r="G802" s="550"/>
    </row>
    <row r="803" spans="1:7" x14ac:dyDescent="0.25">
      <c r="A803" s="550"/>
      <c r="B803" s="550"/>
      <c r="C803" s="550"/>
      <c r="D803" s="550"/>
      <c r="E803" s="550"/>
      <c r="F803" s="550"/>
      <c r="G803" s="550"/>
    </row>
    <row r="804" spans="1:7" x14ac:dyDescent="0.25">
      <c r="A804" s="550"/>
      <c r="B804" s="550"/>
      <c r="C804" s="550"/>
      <c r="D804" s="550"/>
      <c r="E804" s="550"/>
      <c r="F804" s="550"/>
      <c r="G804" s="550"/>
    </row>
    <row r="805" spans="1:7" x14ac:dyDescent="0.25">
      <c r="A805" s="550"/>
      <c r="B805" s="550"/>
      <c r="C805" s="550"/>
      <c r="D805" s="550"/>
      <c r="E805" s="550"/>
      <c r="F805" s="550"/>
      <c r="G805" s="550"/>
    </row>
    <row r="806" spans="1:7" x14ac:dyDescent="0.25">
      <c r="A806" s="550"/>
      <c r="B806" s="550"/>
      <c r="C806" s="550"/>
      <c r="D806" s="550"/>
      <c r="E806" s="550"/>
      <c r="F806" s="550"/>
      <c r="G806" s="550"/>
    </row>
    <row r="807" spans="1:7" x14ac:dyDescent="0.25">
      <c r="A807" s="550"/>
      <c r="B807" s="550"/>
      <c r="C807" s="550"/>
      <c r="D807" s="550"/>
      <c r="E807" s="550"/>
      <c r="F807" s="550"/>
      <c r="G807" s="550"/>
    </row>
    <row r="808" spans="1:7" x14ac:dyDescent="0.25">
      <c r="A808" s="550"/>
      <c r="B808" s="550"/>
      <c r="C808" s="550"/>
      <c r="D808" s="550"/>
      <c r="E808" s="550"/>
      <c r="F808" s="550"/>
      <c r="G808" s="550"/>
    </row>
    <row r="809" spans="1:7" x14ac:dyDescent="0.25">
      <c r="A809" s="550"/>
      <c r="B809" s="550"/>
      <c r="C809" s="550"/>
      <c r="D809" s="550"/>
      <c r="E809" s="550"/>
      <c r="F809" s="550"/>
      <c r="G809" s="550"/>
    </row>
    <row r="810" spans="1:7" x14ac:dyDescent="0.25">
      <c r="A810" s="550"/>
      <c r="B810" s="550"/>
      <c r="C810" s="550"/>
      <c r="D810" s="550"/>
      <c r="E810" s="550"/>
      <c r="F810" s="550"/>
      <c r="G810" s="550"/>
    </row>
    <row r="811" spans="1:7" x14ac:dyDescent="0.25">
      <c r="A811" s="550"/>
      <c r="B811" s="550"/>
      <c r="C811" s="550"/>
      <c r="D811" s="550"/>
      <c r="E811" s="550"/>
      <c r="F811" s="550"/>
      <c r="G811" s="550"/>
    </row>
    <row r="812" spans="1:7" x14ac:dyDescent="0.25">
      <c r="A812" s="550"/>
      <c r="B812" s="550"/>
      <c r="C812" s="550"/>
      <c r="D812" s="550"/>
      <c r="E812" s="550"/>
      <c r="F812" s="550"/>
      <c r="G812" s="550"/>
    </row>
    <row r="813" spans="1:7" x14ac:dyDescent="0.25">
      <c r="A813" s="550"/>
      <c r="B813" s="550"/>
      <c r="C813" s="550"/>
      <c r="D813" s="550"/>
      <c r="E813" s="550"/>
      <c r="F813" s="550"/>
      <c r="G813" s="550"/>
    </row>
    <row r="814" spans="1:7" x14ac:dyDescent="0.25">
      <c r="A814" s="550"/>
      <c r="B814" s="550"/>
      <c r="C814" s="550"/>
      <c r="D814" s="550"/>
      <c r="E814" s="550"/>
      <c r="F814" s="550"/>
      <c r="G814" s="550"/>
    </row>
    <row r="815" spans="1:7" x14ac:dyDescent="0.25">
      <c r="A815" s="550"/>
      <c r="B815" s="550"/>
      <c r="C815" s="550"/>
      <c r="D815" s="550"/>
      <c r="E815" s="550"/>
      <c r="F815" s="550"/>
      <c r="G815" s="550"/>
    </row>
    <row r="816" spans="1:7" x14ac:dyDescent="0.25">
      <c r="A816" s="550"/>
      <c r="B816" s="550"/>
      <c r="C816" s="550"/>
      <c r="D816" s="550"/>
      <c r="E816" s="550"/>
      <c r="F816" s="550"/>
      <c r="G816" s="550"/>
    </row>
    <row r="817" spans="1:7" x14ac:dyDescent="0.25">
      <c r="A817" s="550"/>
      <c r="B817" s="550"/>
      <c r="C817" s="550"/>
      <c r="D817" s="550"/>
      <c r="E817" s="550"/>
      <c r="F817" s="550"/>
      <c r="G817" s="550"/>
    </row>
    <row r="818" spans="1:7" x14ac:dyDescent="0.25">
      <c r="A818" s="550"/>
      <c r="B818" s="550"/>
      <c r="C818" s="550"/>
      <c r="D818" s="550"/>
      <c r="E818" s="550"/>
      <c r="F818" s="550"/>
      <c r="G818" s="550"/>
    </row>
    <row r="819" spans="1:7" x14ac:dyDescent="0.25">
      <c r="A819" s="550"/>
      <c r="B819" s="550"/>
      <c r="C819" s="550"/>
      <c r="D819" s="550"/>
      <c r="E819" s="550"/>
      <c r="F819" s="550"/>
      <c r="G819" s="550"/>
    </row>
    <row r="820" spans="1:7" x14ac:dyDescent="0.25">
      <c r="A820" s="550"/>
      <c r="B820" s="550"/>
      <c r="C820" s="550"/>
      <c r="D820" s="550"/>
      <c r="E820" s="550"/>
      <c r="F820" s="550"/>
      <c r="G820" s="550"/>
    </row>
    <row r="821" spans="1:7" x14ac:dyDescent="0.25">
      <c r="A821" s="550"/>
      <c r="B821" s="550"/>
      <c r="C821" s="550"/>
      <c r="D821" s="550"/>
      <c r="E821" s="550"/>
      <c r="F821" s="550"/>
      <c r="G821" s="550"/>
    </row>
    <row r="822" spans="1:7" x14ac:dyDescent="0.25">
      <c r="A822" s="550"/>
      <c r="B822" s="550"/>
      <c r="C822" s="550"/>
      <c r="D822" s="550"/>
      <c r="E822" s="550"/>
      <c r="F822" s="550"/>
      <c r="G822" s="550"/>
    </row>
    <row r="823" spans="1:7" x14ac:dyDescent="0.25">
      <c r="A823" s="550"/>
      <c r="B823" s="550"/>
      <c r="C823" s="550"/>
      <c r="D823" s="550"/>
      <c r="E823" s="550"/>
      <c r="F823" s="550"/>
      <c r="G823" s="550"/>
    </row>
    <row r="824" spans="1:7" x14ac:dyDescent="0.25">
      <c r="A824" s="550"/>
      <c r="B824" s="550"/>
      <c r="C824" s="550"/>
      <c r="D824" s="550"/>
      <c r="E824" s="550"/>
      <c r="F824" s="550"/>
      <c r="G824" s="550"/>
    </row>
    <row r="825" spans="1:7" x14ac:dyDescent="0.25">
      <c r="A825" s="550"/>
      <c r="B825" s="550"/>
      <c r="C825" s="550"/>
      <c r="D825" s="550"/>
      <c r="E825" s="550"/>
      <c r="F825" s="550"/>
      <c r="G825" s="550"/>
    </row>
    <row r="826" spans="1:7" x14ac:dyDescent="0.25">
      <c r="A826" s="550"/>
      <c r="B826" s="550"/>
      <c r="C826" s="550"/>
      <c r="D826" s="550"/>
      <c r="E826" s="550"/>
      <c r="F826" s="550"/>
      <c r="G826" s="550"/>
    </row>
    <row r="827" spans="1:7" x14ac:dyDescent="0.25">
      <c r="A827" s="550"/>
      <c r="B827" s="550"/>
      <c r="C827" s="550"/>
      <c r="D827" s="550"/>
      <c r="E827" s="550"/>
      <c r="F827" s="550"/>
      <c r="G827" s="550"/>
    </row>
    <row r="828" spans="1:7" x14ac:dyDescent="0.25">
      <c r="A828" s="550"/>
      <c r="B828" s="550"/>
      <c r="C828" s="550"/>
      <c r="D828" s="550"/>
      <c r="E828" s="550"/>
      <c r="F828" s="550"/>
      <c r="G828" s="550"/>
    </row>
    <row r="829" spans="1:7" x14ac:dyDescent="0.25">
      <c r="A829" s="550"/>
      <c r="B829" s="550"/>
      <c r="C829" s="550"/>
      <c r="D829" s="550"/>
      <c r="E829" s="550"/>
      <c r="F829" s="550"/>
      <c r="G829" s="550"/>
    </row>
    <row r="830" spans="1:7" x14ac:dyDescent="0.25">
      <c r="A830" s="550"/>
      <c r="B830" s="550"/>
      <c r="C830" s="550"/>
      <c r="D830" s="550"/>
      <c r="E830" s="550"/>
      <c r="F830" s="550"/>
      <c r="G830" s="550"/>
    </row>
    <row r="831" spans="1:7" x14ac:dyDescent="0.25">
      <c r="A831" s="550"/>
      <c r="B831" s="550"/>
      <c r="C831" s="550"/>
      <c r="D831" s="550"/>
      <c r="E831" s="550"/>
      <c r="F831" s="550"/>
      <c r="G831" s="550"/>
    </row>
    <row r="832" spans="1:7" x14ac:dyDescent="0.25">
      <c r="A832" s="550"/>
      <c r="B832" s="550"/>
      <c r="C832" s="550"/>
      <c r="D832" s="550"/>
      <c r="E832" s="550"/>
      <c r="F832" s="550"/>
      <c r="G832" s="550"/>
    </row>
    <row r="833" spans="1:7" x14ac:dyDescent="0.25">
      <c r="A833" s="550"/>
      <c r="B833" s="550"/>
      <c r="C833" s="550"/>
      <c r="D833" s="550"/>
      <c r="E833" s="550"/>
      <c r="F833" s="550"/>
      <c r="G833" s="550"/>
    </row>
    <row r="834" spans="1:7" x14ac:dyDescent="0.25">
      <c r="A834" s="550"/>
      <c r="B834" s="550"/>
      <c r="C834" s="550"/>
      <c r="D834" s="550"/>
      <c r="E834" s="550"/>
      <c r="F834" s="550"/>
      <c r="G834" s="550"/>
    </row>
    <row r="835" spans="1:7" x14ac:dyDescent="0.25">
      <c r="A835" s="550"/>
      <c r="B835" s="550"/>
      <c r="C835" s="550"/>
      <c r="D835" s="550"/>
      <c r="E835" s="550"/>
      <c r="F835" s="550"/>
      <c r="G835" s="550"/>
    </row>
    <row r="836" spans="1:7" x14ac:dyDescent="0.25">
      <c r="A836" s="550"/>
      <c r="B836" s="550"/>
      <c r="C836" s="550"/>
      <c r="D836" s="550"/>
      <c r="E836" s="550"/>
      <c r="F836" s="550"/>
      <c r="G836" s="550"/>
    </row>
    <row r="837" spans="1:7" x14ac:dyDescent="0.25">
      <c r="A837" s="550"/>
      <c r="B837" s="550"/>
      <c r="C837" s="550"/>
      <c r="D837" s="550"/>
      <c r="E837" s="550"/>
      <c r="F837" s="550"/>
      <c r="G837" s="550"/>
    </row>
    <row r="838" spans="1:7" x14ac:dyDescent="0.25">
      <c r="A838" s="550"/>
      <c r="B838" s="550"/>
      <c r="C838" s="550"/>
      <c r="D838" s="550"/>
      <c r="E838" s="550"/>
      <c r="F838" s="550"/>
      <c r="G838" s="550"/>
    </row>
    <row r="839" spans="1:7" x14ac:dyDescent="0.25">
      <c r="A839" s="550"/>
      <c r="B839" s="550"/>
      <c r="C839" s="550"/>
      <c r="D839" s="550"/>
      <c r="E839" s="550"/>
      <c r="F839" s="550"/>
      <c r="G839" s="550"/>
    </row>
    <row r="840" spans="1:7" x14ac:dyDescent="0.25">
      <c r="A840" s="550"/>
      <c r="B840" s="550"/>
      <c r="C840" s="550"/>
      <c r="D840" s="550"/>
      <c r="E840" s="550"/>
      <c r="F840" s="550"/>
      <c r="G840" s="550"/>
    </row>
    <row r="841" spans="1:7" x14ac:dyDescent="0.25">
      <c r="A841" s="550"/>
      <c r="B841" s="550"/>
      <c r="C841" s="550"/>
      <c r="D841" s="550"/>
      <c r="E841" s="550"/>
      <c r="F841" s="550"/>
      <c r="G841" s="550"/>
    </row>
    <row r="842" spans="1:7" x14ac:dyDescent="0.25">
      <c r="A842" s="550"/>
      <c r="B842" s="550"/>
      <c r="C842" s="550"/>
      <c r="D842" s="550"/>
      <c r="E842" s="550"/>
      <c r="F842" s="550"/>
      <c r="G842" s="550"/>
    </row>
    <row r="843" spans="1:7" x14ac:dyDescent="0.25">
      <c r="A843" s="550"/>
      <c r="B843" s="550"/>
      <c r="C843" s="550"/>
      <c r="D843" s="550"/>
      <c r="E843" s="550"/>
      <c r="F843" s="550"/>
      <c r="G843" s="550"/>
    </row>
    <row r="844" spans="1:7" x14ac:dyDescent="0.25">
      <c r="A844" s="550"/>
      <c r="B844" s="550"/>
      <c r="C844" s="550"/>
      <c r="D844" s="550"/>
      <c r="E844" s="550"/>
      <c r="F844" s="550"/>
      <c r="G844" s="550"/>
    </row>
    <row r="845" spans="1:7" x14ac:dyDescent="0.25">
      <c r="A845" s="550"/>
      <c r="B845" s="550"/>
      <c r="C845" s="550"/>
      <c r="D845" s="550"/>
      <c r="E845" s="550"/>
      <c r="F845" s="550"/>
      <c r="G845" s="550"/>
    </row>
    <row r="846" spans="1:7" x14ac:dyDescent="0.25">
      <c r="A846" s="550"/>
      <c r="B846" s="550"/>
      <c r="C846" s="550"/>
      <c r="D846" s="550"/>
      <c r="E846" s="550"/>
      <c r="F846" s="550"/>
      <c r="G846" s="550"/>
    </row>
    <row r="847" spans="1:7" x14ac:dyDescent="0.25">
      <c r="A847" s="550"/>
      <c r="B847" s="550"/>
      <c r="C847" s="550"/>
      <c r="D847" s="550"/>
      <c r="E847" s="550"/>
      <c r="F847" s="550"/>
      <c r="G847" s="550"/>
    </row>
    <row r="848" spans="1:7" x14ac:dyDescent="0.25">
      <c r="A848" s="550"/>
      <c r="B848" s="550"/>
      <c r="C848" s="550"/>
      <c r="D848" s="550"/>
      <c r="E848" s="550"/>
      <c r="F848" s="550"/>
      <c r="G848" s="550"/>
    </row>
    <row r="849" spans="1:7" x14ac:dyDescent="0.25">
      <c r="A849" s="550"/>
      <c r="B849" s="550"/>
      <c r="C849" s="550"/>
      <c r="D849" s="550"/>
      <c r="E849" s="550"/>
      <c r="F849" s="550"/>
      <c r="G849" s="550"/>
    </row>
    <row r="850" spans="1:7" x14ac:dyDescent="0.25">
      <c r="A850" s="550"/>
      <c r="B850" s="550"/>
      <c r="C850" s="550"/>
      <c r="D850" s="550"/>
      <c r="E850" s="550"/>
      <c r="F850" s="550"/>
      <c r="G850" s="550"/>
    </row>
    <row r="851" spans="1:7" x14ac:dyDescent="0.25">
      <c r="A851" s="550"/>
      <c r="B851" s="550"/>
      <c r="C851" s="550"/>
      <c r="D851" s="550"/>
      <c r="E851" s="550"/>
      <c r="F851" s="550"/>
      <c r="G851" s="550"/>
    </row>
    <row r="852" spans="1:7" x14ac:dyDescent="0.25">
      <c r="A852" s="550"/>
      <c r="B852" s="550"/>
      <c r="C852" s="550"/>
      <c r="D852" s="550"/>
      <c r="E852" s="550"/>
      <c r="F852" s="550"/>
      <c r="G852" s="550"/>
    </row>
    <row r="853" spans="1:7" x14ac:dyDescent="0.25">
      <c r="A853" s="550"/>
      <c r="B853" s="550"/>
      <c r="C853" s="550"/>
      <c r="D853" s="550"/>
      <c r="E853" s="550"/>
      <c r="F853" s="550"/>
      <c r="G853" s="550"/>
    </row>
    <row r="854" spans="1:7" x14ac:dyDescent="0.25">
      <c r="A854" s="550"/>
      <c r="B854" s="550"/>
      <c r="C854" s="550"/>
      <c r="D854" s="550"/>
      <c r="E854" s="550"/>
      <c r="F854" s="550"/>
      <c r="G854" s="550"/>
    </row>
    <row r="855" spans="1:7" x14ac:dyDescent="0.25">
      <c r="A855" s="550"/>
      <c r="B855" s="550"/>
      <c r="C855" s="550"/>
      <c r="D855" s="550"/>
      <c r="E855" s="550"/>
      <c r="F855" s="550"/>
      <c r="G855" s="550"/>
    </row>
    <row r="856" spans="1:7" x14ac:dyDescent="0.25">
      <c r="A856" s="550"/>
      <c r="B856" s="550"/>
      <c r="C856" s="550"/>
      <c r="D856" s="550"/>
      <c r="E856" s="550"/>
      <c r="F856" s="550"/>
      <c r="G856" s="550"/>
    </row>
    <row r="857" spans="1:7" x14ac:dyDescent="0.25">
      <c r="A857" s="550"/>
      <c r="B857" s="550"/>
      <c r="C857" s="550"/>
      <c r="D857" s="550"/>
      <c r="E857" s="550"/>
      <c r="F857" s="550"/>
      <c r="G857" s="550"/>
    </row>
    <row r="858" spans="1:7" x14ac:dyDescent="0.25">
      <c r="A858" s="550"/>
      <c r="B858" s="550"/>
      <c r="C858" s="550"/>
      <c r="D858" s="550"/>
      <c r="E858" s="550"/>
      <c r="F858" s="550"/>
      <c r="G858" s="550"/>
    </row>
    <row r="859" spans="1:7" x14ac:dyDescent="0.25">
      <c r="A859" s="550"/>
      <c r="B859" s="550"/>
      <c r="C859" s="550"/>
      <c r="D859" s="550"/>
      <c r="E859" s="550"/>
      <c r="F859" s="550"/>
      <c r="G859" s="550"/>
    </row>
    <row r="860" spans="1:7" x14ac:dyDescent="0.25">
      <c r="A860" s="550"/>
      <c r="B860" s="550"/>
      <c r="C860" s="550"/>
      <c r="D860" s="550"/>
      <c r="E860" s="550"/>
      <c r="F860" s="550"/>
      <c r="G860" s="550"/>
    </row>
    <row r="861" spans="1:7" x14ac:dyDescent="0.25">
      <c r="A861" s="550"/>
      <c r="B861" s="550"/>
      <c r="C861" s="550"/>
      <c r="D861" s="550"/>
      <c r="E861" s="550"/>
      <c r="F861" s="550"/>
      <c r="G861" s="550"/>
    </row>
    <row r="862" spans="1:7" x14ac:dyDescent="0.25">
      <c r="A862" s="550"/>
      <c r="B862" s="550"/>
      <c r="C862" s="550"/>
      <c r="D862" s="550"/>
      <c r="E862" s="550"/>
      <c r="F862" s="550"/>
      <c r="G862" s="550"/>
    </row>
    <row r="863" spans="1:7" x14ac:dyDescent="0.25">
      <c r="A863" s="550"/>
      <c r="B863" s="550"/>
      <c r="C863" s="550"/>
      <c r="D863" s="550"/>
      <c r="E863" s="550"/>
      <c r="F863" s="550"/>
      <c r="G863" s="550"/>
    </row>
    <row r="864" spans="1:7" x14ac:dyDescent="0.25">
      <c r="A864" s="550"/>
      <c r="B864" s="550"/>
      <c r="C864" s="550"/>
      <c r="D864" s="550"/>
      <c r="E864" s="550"/>
      <c r="F864" s="550"/>
      <c r="G864" s="550"/>
    </row>
    <row r="865" spans="1:7" x14ac:dyDescent="0.25">
      <c r="A865" s="550"/>
      <c r="B865" s="550"/>
      <c r="C865" s="550"/>
      <c r="D865" s="550"/>
      <c r="E865" s="550"/>
      <c r="F865" s="550"/>
      <c r="G865" s="550"/>
    </row>
    <row r="866" spans="1:7" x14ac:dyDescent="0.25">
      <c r="A866" s="550"/>
      <c r="B866" s="550"/>
      <c r="C866" s="550"/>
      <c r="D866" s="550"/>
      <c r="E866" s="550"/>
      <c r="F866" s="550"/>
      <c r="G866" s="550"/>
    </row>
    <row r="867" spans="1:7" x14ac:dyDescent="0.25">
      <c r="A867" s="550"/>
      <c r="B867" s="550"/>
      <c r="C867" s="550"/>
      <c r="D867" s="550"/>
      <c r="E867" s="550"/>
      <c r="F867" s="550"/>
      <c r="G867" s="550"/>
    </row>
    <row r="868" spans="1:7" x14ac:dyDescent="0.25">
      <c r="A868" s="550"/>
      <c r="B868" s="550"/>
      <c r="C868" s="550"/>
      <c r="D868" s="550"/>
      <c r="E868" s="550"/>
      <c r="F868" s="550"/>
      <c r="G868" s="550"/>
    </row>
    <row r="869" spans="1:7" x14ac:dyDescent="0.25">
      <c r="A869" s="550"/>
      <c r="B869" s="550"/>
      <c r="C869" s="550"/>
      <c r="D869" s="550"/>
      <c r="E869" s="550"/>
      <c r="F869" s="550"/>
      <c r="G869" s="550"/>
    </row>
    <row r="870" spans="1:7" x14ac:dyDescent="0.25">
      <c r="A870" s="550"/>
      <c r="B870" s="550"/>
      <c r="C870" s="550"/>
      <c r="D870" s="550"/>
      <c r="E870" s="550"/>
      <c r="F870" s="550"/>
      <c r="G870" s="550"/>
    </row>
    <row r="871" spans="1:7" x14ac:dyDescent="0.25">
      <c r="A871" s="550"/>
      <c r="B871" s="550"/>
      <c r="C871" s="550"/>
      <c r="D871" s="550"/>
      <c r="E871" s="550"/>
      <c r="F871" s="550"/>
      <c r="G871" s="550"/>
    </row>
    <row r="872" spans="1:7" x14ac:dyDescent="0.25">
      <c r="A872" s="550"/>
      <c r="B872" s="550"/>
      <c r="C872" s="550"/>
      <c r="D872" s="550"/>
      <c r="E872" s="550"/>
      <c r="F872" s="550"/>
      <c r="G872" s="550"/>
    </row>
    <row r="873" spans="1:7" x14ac:dyDescent="0.25">
      <c r="A873" s="550"/>
      <c r="B873" s="550"/>
      <c r="C873" s="550"/>
      <c r="D873" s="550"/>
      <c r="E873" s="550"/>
      <c r="F873" s="550"/>
      <c r="G873" s="550"/>
    </row>
    <row r="874" spans="1:7" x14ac:dyDescent="0.25">
      <c r="A874" s="550"/>
      <c r="B874" s="550"/>
      <c r="C874" s="550"/>
      <c r="D874" s="550"/>
      <c r="E874" s="550"/>
      <c r="F874" s="550"/>
      <c r="G874" s="550"/>
    </row>
    <row r="875" spans="1:7" x14ac:dyDescent="0.25">
      <c r="A875" s="550"/>
      <c r="B875" s="550"/>
      <c r="C875" s="550"/>
      <c r="D875" s="550"/>
      <c r="E875" s="550"/>
      <c r="F875" s="550"/>
      <c r="G875" s="550"/>
    </row>
    <row r="876" spans="1:7" x14ac:dyDescent="0.25">
      <c r="A876" s="550"/>
      <c r="B876" s="550"/>
      <c r="C876" s="550"/>
      <c r="D876" s="550"/>
      <c r="E876" s="550"/>
      <c r="F876" s="550"/>
      <c r="G876" s="550"/>
    </row>
    <row r="877" spans="1:7" x14ac:dyDescent="0.25">
      <c r="A877" s="550"/>
      <c r="B877" s="550"/>
      <c r="C877" s="550"/>
      <c r="D877" s="550"/>
      <c r="E877" s="550"/>
      <c r="F877" s="550"/>
      <c r="G877" s="550"/>
    </row>
    <row r="878" spans="1:7" x14ac:dyDescent="0.25">
      <c r="A878" s="550"/>
      <c r="B878" s="550"/>
      <c r="C878" s="550"/>
      <c r="D878" s="550"/>
      <c r="E878" s="550"/>
      <c r="F878" s="550"/>
      <c r="G878" s="550"/>
    </row>
    <row r="879" spans="1:7" x14ac:dyDescent="0.25">
      <c r="A879" s="550"/>
      <c r="B879" s="550"/>
      <c r="C879" s="550"/>
      <c r="D879" s="550"/>
      <c r="E879" s="550"/>
      <c r="F879" s="550"/>
      <c r="G879" s="550"/>
    </row>
    <row r="880" spans="1:7" x14ac:dyDescent="0.25">
      <c r="A880" s="550"/>
      <c r="B880" s="550"/>
      <c r="C880" s="550"/>
      <c r="D880" s="550"/>
      <c r="E880" s="550"/>
      <c r="F880" s="550"/>
      <c r="G880" s="550"/>
    </row>
    <row r="881" spans="1:7" x14ac:dyDescent="0.25">
      <c r="A881" s="550"/>
      <c r="B881" s="550"/>
      <c r="C881" s="550"/>
      <c r="D881" s="550"/>
      <c r="E881" s="550"/>
      <c r="F881" s="550"/>
      <c r="G881" s="550"/>
    </row>
    <row r="882" spans="1:7" x14ac:dyDescent="0.25">
      <c r="A882" s="550"/>
      <c r="B882" s="550"/>
      <c r="C882" s="550"/>
      <c r="D882" s="550"/>
      <c r="E882" s="550"/>
      <c r="F882" s="550"/>
      <c r="G882" s="550"/>
    </row>
    <row r="883" spans="1:7" x14ac:dyDescent="0.25">
      <c r="A883" s="550"/>
      <c r="B883" s="550"/>
      <c r="C883" s="550"/>
      <c r="D883" s="550"/>
      <c r="E883" s="550"/>
      <c r="F883" s="550"/>
      <c r="G883" s="550"/>
    </row>
    <row r="884" spans="1:7" x14ac:dyDescent="0.25">
      <c r="A884" s="550"/>
      <c r="B884" s="550"/>
      <c r="C884" s="550"/>
      <c r="D884" s="550"/>
      <c r="E884" s="550"/>
      <c r="F884" s="550"/>
      <c r="G884" s="550"/>
    </row>
    <row r="885" spans="1:7" x14ac:dyDescent="0.25">
      <c r="A885" s="550"/>
      <c r="B885" s="550"/>
      <c r="C885" s="550"/>
      <c r="D885" s="550"/>
      <c r="E885" s="550"/>
      <c r="F885" s="550"/>
      <c r="G885" s="550"/>
    </row>
    <row r="886" spans="1:7" x14ac:dyDescent="0.25">
      <c r="A886" s="550"/>
      <c r="B886" s="550"/>
      <c r="C886" s="550"/>
      <c r="D886" s="550"/>
      <c r="E886" s="550"/>
      <c r="F886" s="550"/>
      <c r="G886" s="550"/>
    </row>
    <row r="887" spans="1:7" x14ac:dyDescent="0.25">
      <c r="A887" s="550"/>
      <c r="B887" s="550"/>
      <c r="C887" s="550"/>
      <c r="D887" s="550"/>
      <c r="E887" s="550"/>
      <c r="F887" s="550"/>
      <c r="G887" s="550"/>
    </row>
    <row r="888" spans="1:7" x14ac:dyDescent="0.25">
      <c r="A888" s="550"/>
      <c r="B888" s="550"/>
      <c r="C888" s="550"/>
      <c r="D888" s="550"/>
      <c r="E888" s="550"/>
      <c r="F888" s="550"/>
      <c r="G888" s="550"/>
    </row>
    <row r="889" spans="1:7" x14ac:dyDescent="0.25">
      <c r="A889" s="550"/>
      <c r="B889" s="550"/>
      <c r="C889" s="550"/>
      <c r="D889" s="550"/>
      <c r="E889" s="550"/>
      <c r="F889" s="550"/>
      <c r="G889" s="550"/>
    </row>
    <row r="890" spans="1:7" x14ac:dyDescent="0.25">
      <c r="A890" s="550"/>
      <c r="B890" s="550"/>
      <c r="C890" s="550"/>
      <c r="D890" s="550"/>
      <c r="E890" s="550"/>
      <c r="F890" s="550"/>
      <c r="G890" s="550"/>
    </row>
    <row r="891" spans="1:7" x14ac:dyDescent="0.25">
      <c r="A891" s="550"/>
      <c r="B891" s="550"/>
      <c r="C891" s="550"/>
      <c r="D891" s="550"/>
      <c r="E891" s="550"/>
      <c r="F891" s="550"/>
      <c r="G891" s="550"/>
    </row>
    <row r="892" spans="1:7" x14ac:dyDescent="0.25">
      <c r="A892" s="550"/>
      <c r="B892" s="550"/>
      <c r="C892" s="550"/>
      <c r="D892" s="550"/>
      <c r="E892" s="550"/>
      <c r="F892" s="550"/>
      <c r="G892" s="550"/>
    </row>
    <row r="893" spans="1:7" x14ac:dyDescent="0.25">
      <c r="A893" s="550"/>
      <c r="B893" s="550"/>
      <c r="C893" s="550"/>
      <c r="D893" s="550"/>
      <c r="E893" s="550"/>
      <c r="F893" s="550"/>
      <c r="G893" s="550"/>
    </row>
    <row r="894" spans="1:7" x14ac:dyDescent="0.25">
      <c r="A894" s="550"/>
      <c r="B894" s="550"/>
      <c r="C894" s="550"/>
      <c r="D894" s="550"/>
      <c r="E894" s="550"/>
      <c r="F894" s="550"/>
      <c r="G894" s="550"/>
    </row>
    <row r="895" spans="1:7" x14ac:dyDescent="0.25">
      <c r="A895" s="550"/>
      <c r="B895" s="550"/>
      <c r="C895" s="550"/>
      <c r="D895" s="550"/>
      <c r="E895" s="550"/>
      <c r="F895" s="550"/>
      <c r="G895" s="550"/>
    </row>
    <row r="896" spans="1:7" x14ac:dyDescent="0.25">
      <c r="A896" s="550"/>
      <c r="B896" s="550"/>
      <c r="C896" s="550"/>
      <c r="D896" s="550"/>
      <c r="E896" s="550"/>
      <c r="F896" s="550"/>
      <c r="G896" s="550"/>
    </row>
    <row r="897" spans="1:7" x14ac:dyDescent="0.25">
      <c r="A897" s="550"/>
      <c r="B897" s="550"/>
      <c r="C897" s="550"/>
      <c r="D897" s="550"/>
      <c r="E897" s="550"/>
      <c r="F897" s="550"/>
      <c r="G897" s="550"/>
    </row>
    <row r="898" spans="1:7" x14ac:dyDescent="0.25">
      <c r="A898" s="550"/>
      <c r="B898" s="550"/>
      <c r="C898" s="550"/>
      <c r="D898" s="550"/>
      <c r="E898" s="550"/>
      <c r="F898" s="550"/>
      <c r="G898" s="550"/>
    </row>
    <row r="899" spans="1:7" x14ac:dyDescent="0.25">
      <c r="A899" s="550"/>
      <c r="B899" s="550"/>
      <c r="C899" s="550"/>
      <c r="D899" s="550"/>
      <c r="E899" s="550"/>
      <c r="F899" s="550"/>
      <c r="G899" s="550"/>
    </row>
    <row r="900" spans="1:7" x14ac:dyDescent="0.25">
      <c r="A900" s="550"/>
      <c r="B900" s="550"/>
      <c r="C900" s="550"/>
      <c r="D900" s="550"/>
      <c r="E900" s="550"/>
      <c r="F900" s="550"/>
      <c r="G900" s="550"/>
    </row>
    <row r="901" spans="1:7" x14ac:dyDescent="0.25">
      <c r="A901" s="550"/>
      <c r="B901" s="550"/>
      <c r="C901" s="550"/>
      <c r="D901" s="550"/>
      <c r="E901" s="550"/>
      <c r="F901" s="550"/>
      <c r="G901" s="550"/>
    </row>
    <row r="902" spans="1:7" x14ac:dyDescent="0.25">
      <c r="A902" s="550"/>
      <c r="B902" s="550"/>
      <c r="C902" s="550"/>
      <c r="D902" s="550"/>
      <c r="E902" s="550"/>
      <c r="F902" s="550"/>
      <c r="G902" s="550"/>
    </row>
    <row r="903" spans="1:7" x14ac:dyDescent="0.25">
      <c r="A903" s="550"/>
      <c r="B903" s="550"/>
      <c r="C903" s="550"/>
      <c r="D903" s="550"/>
      <c r="E903" s="550"/>
      <c r="F903" s="550"/>
      <c r="G903" s="550"/>
    </row>
    <row r="904" spans="1:7" x14ac:dyDescent="0.25">
      <c r="A904" s="550"/>
      <c r="B904" s="550"/>
      <c r="C904" s="550"/>
      <c r="D904" s="550"/>
      <c r="E904" s="550"/>
      <c r="F904" s="550"/>
      <c r="G904" s="550"/>
    </row>
    <row r="905" spans="1:7" x14ac:dyDescent="0.25">
      <c r="A905" s="550"/>
      <c r="B905" s="550"/>
      <c r="C905" s="550"/>
      <c r="D905" s="550"/>
      <c r="E905" s="550"/>
      <c r="F905" s="550"/>
      <c r="G905" s="550"/>
    </row>
    <row r="906" spans="1:7" x14ac:dyDescent="0.25">
      <c r="A906" s="550"/>
      <c r="B906" s="550"/>
      <c r="C906" s="550"/>
      <c r="D906" s="550"/>
      <c r="E906" s="550"/>
      <c r="F906" s="550"/>
      <c r="G906" s="550"/>
    </row>
    <row r="907" spans="1:7" x14ac:dyDescent="0.25">
      <c r="A907" s="550"/>
      <c r="B907" s="550"/>
      <c r="C907" s="550"/>
      <c r="D907" s="550"/>
      <c r="E907" s="550"/>
      <c r="F907" s="550"/>
      <c r="G907" s="550"/>
    </row>
    <row r="908" spans="1:7" x14ac:dyDescent="0.25">
      <c r="A908" s="550"/>
      <c r="B908" s="550"/>
      <c r="C908" s="550"/>
      <c r="D908" s="550"/>
      <c r="E908" s="550"/>
      <c r="F908" s="550"/>
      <c r="G908" s="550"/>
    </row>
    <row r="909" spans="1:7" x14ac:dyDescent="0.25">
      <c r="A909" s="550"/>
      <c r="B909" s="550"/>
      <c r="C909" s="550"/>
      <c r="D909" s="550"/>
      <c r="E909" s="550"/>
      <c r="F909" s="550"/>
      <c r="G909" s="550"/>
    </row>
    <row r="910" spans="1:7" x14ac:dyDescent="0.25">
      <c r="A910" s="550"/>
      <c r="B910" s="550"/>
      <c r="C910" s="550"/>
      <c r="D910" s="550"/>
      <c r="E910" s="550"/>
      <c r="F910" s="550"/>
      <c r="G910" s="550"/>
    </row>
    <row r="911" spans="1:7" x14ac:dyDescent="0.25">
      <c r="A911" s="550"/>
      <c r="B911" s="550"/>
      <c r="C911" s="550"/>
      <c r="D911" s="550"/>
      <c r="E911" s="550"/>
      <c r="F911" s="550"/>
      <c r="G911" s="550"/>
    </row>
    <row r="912" spans="1:7" x14ac:dyDescent="0.25">
      <c r="A912" s="550"/>
      <c r="B912" s="550"/>
      <c r="C912" s="550"/>
      <c r="D912" s="550"/>
      <c r="E912" s="550"/>
      <c r="F912" s="550"/>
      <c r="G912" s="550"/>
    </row>
    <row r="913" spans="1:7" x14ac:dyDescent="0.25">
      <c r="A913" s="550"/>
      <c r="B913" s="550"/>
      <c r="C913" s="550"/>
      <c r="D913" s="550"/>
      <c r="E913" s="550"/>
      <c r="F913" s="550"/>
      <c r="G913" s="550"/>
    </row>
    <row r="914" spans="1:7" x14ac:dyDescent="0.25">
      <c r="A914" s="550"/>
      <c r="B914" s="550"/>
      <c r="C914" s="550"/>
      <c r="D914" s="550"/>
      <c r="E914" s="550"/>
      <c r="F914" s="550"/>
      <c r="G914" s="550"/>
    </row>
    <row r="915" spans="1:7" x14ac:dyDescent="0.25">
      <c r="A915" s="550"/>
      <c r="B915" s="550"/>
      <c r="C915" s="550"/>
      <c r="D915" s="550"/>
      <c r="E915" s="550"/>
      <c r="F915" s="550"/>
      <c r="G915" s="550"/>
    </row>
    <row r="916" spans="1:7" x14ac:dyDescent="0.25">
      <c r="A916" s="550"/>
      <c r="B916" s="550"/>
      <c r="C916" s="550"/>
      <c r="D916" s="550"/>
      <c r="E916" s="550"/>
      <c r="F916" s="550"/>
      <c r="G916" s="550"/>
    </row>
    <row r="917" spans="1:7" x14ac:dyDescent="0.25">
      <c r="A917" s="550"/>
      <c r="B917" s="550"/>
      <c r="C917" s="550"/>
      <c r="D917" s="550"/>
      <c r="E917" s="550"/>
      <c r="F917" s="550"/>
      <c r="G917" s="550"/>
    </row>
    <row r="918" spans="1:7" x14ac:dyDescent="0.25">
      <c r="A918" s="550"/>
      <c r="B918" s="550"/>
      <c r="C918" s="550"/>
      <c r="D918" s="550"/>
      <c r="E918" s="550"/>
      <c r="F918" s="550"/>
      <c r="G918" s="550"/>
    </row>
    <row r="919" spans="1:7" x14ac:dyDescent="0.25">
      <c r="A919" s="550"/>
      <c r="B919" s="550"/>
      <c r="C919" s="550"/>
      <c r="D919" s="550"/>
      <c r="E919" s="550"/>
      <c r="F919" s="550"/>
      <c r="G919" s="550"/>
    </row>
    <row r="920" spans="1:7" x14ac:dyDescent="0.25">
      <c r="A920" s="550"/>
      <c r="B920" s="550"/>
      <c r="C920" s="550"/>
      <c r="D920" s="550"/>
      <c r="E920" s="550"/>
      <c r="F920" s="550"/>
      <c r="G920" s="550"/>
    </row>
    <row r="921" spans="1:7" x14ac:dyDescent="0.25">
      <c r="A921" s="550"/>
      <c r="B921" s="550"/>
      <c r="C921" s="550"/>
      <c r="D921" s="550"/>
      <c r="E921" s="550"/>
      <c r="F921" s="550"/>
      <c r="G921" s="550"/>
    </row>
    <row r="922" spans="1:7" x14ac:dyDescent="0.25">
      <c r="A922" s="550"/>
      <c r="B922" s="550"/>
      <c r="C922" s="550"/>
      <c r="D922" s="550"/>
      <c r="E922" s="550"/>
      <c r="F922" s="550"/>
      <c r="G922" s="550"/>
    </row>
    <row r="923" spans="1:7" x14ac:dyDescent="0.25">
      <c r="A923" s="550"/>
      <c r="B923" s="550"/>
      <c r="C923" s="550"/>
      <c r="D923" s="550"/>
      <c r="E923" s="550"/>
      <c r="F923" s="550"/>
      <c r="G923" s="550"/>
    </row>
    <row r="924" spans="1:7" x14ac:dyDescent="0.25">
      <c r="A924" s="550"/>
      <c r="B924" s="550"/>
      <c r="C924" s="550"/>
      <c r="D924" s="550"/>
      <c r="E924" s="550"/>
      <c r="F924" s="550"/>
      <c r="G924" s="550"/>
    </row>
    <row r="925" spans="1:7" x14ac:dyDescent="0.25">
      <c r="A925" s="550"/>
      <c r="B925" s="550"/>
      <c r="C925" s="550"/>
      <c r="D925" s="550"/>
      <c r="E925" s="550"/>
      <c r="F925" s="550"/>
      <c r="G925" s="550"/>
    </row>
    <row r="926" spans="1:7" x14ac:dyDescent="0.25">
      <c r="A926" s="550"/>
      <c r="B926" s="550"/>
      <c r="C926" s="550"/>
      <c r="D926" s="550"/>
      <c r="E926" s="550"/>
      <c r="F926" s="550"/>
      <c r="G926" s="550"/>
    </row>
    <row r="927" spans="1:7" x14ac:dyDescent="0.25">
      <c r="A927" s="550"/>
      <c r="B927" s="550"/>
      <c r="C927" s="550"/>
      <c r="D927" s="550"/>
      <c r="E927" s="550"/>
      <c r="F927" s="550"/>
      <c r="G927" s="550"/>
    </row>
    <row r="928" spans="1:7" x14ac:dyDescent="0.25">
      <c r="A928" s="550"/>
      <c r="B928" s="550"/>
      <c r="C928" s="550"/>
      <c r="D928" s="550"/>
      <c r="E928" s="550"/>
      <c r="F928" s="550"/>
      <c r="G928" s="550"/>
    </row>
    <row r="929" spans="1:7" x14ac:dyDescent="0.25">
      <c r="A929" s="550"/>
      <c r="B929" s="550"/>
      <c r="C929" s="550"/>
      <c r="D929" s="550"/>
      <c r="E929" s="550"/>
      <c r="F929" s="550"/>
      <c r="G929" s="550"/>
    </row>
    <row r="930" spans="1:7" x14ac:dyDescent="0.25">
      <c r="A930" s="550"/>
      <c r="B930" s="550"/>
      <c r="C930" s="550"/>
      <c r="D930" s="550"/>
      <c r="E930" s="550"/>
      <c r="F930" s="550"/>
      <c r="G930" s="550"/>
    </row>
    <row r="931" spans="1:7" x14ac:dyDescent="0.25">
      <c r="A931" s="550"/>
      <c r="B931" s="550"/>
      <c r="C931" s="550"/>
      <c r="D931" s="550"/>
      <c r="E931" s="550"/>
      <c r="F931" s="550"/>
      <c r="G931" s="550"/>
    </row>
    <row r="932" spans="1:7" x14ac:dyDescent="0.25">
      <c r="A932" s="550"/>
      <c r="B932" s="550"/>
      <c r="C932" s="550"/>
      <c r="D932" s="550"/>
      <c r="E932" s="550"/>
      <c r="F932" s="550"/>
      <c r="G932" s="550"/>
    </row>
    <row r="933" spans="1:7" x14ac:dyDescent="0.25">
      <c r="A933" s="550"/>
      <c r="B933" s="550"/>
      <c r="C933" s="550"/>
      <c r="D933" s="550"/>
      <c r="E933" s="550"/>
      <c r="F933" s="550"/>
      <c r="G933" s="550"/>
    </row>
    <row r="934" spans="1:7" x14ac:dyDescent="0.25">
      <c r="A934" s="550"/>
      <c r="B934" s="550"/>
      <c r="C934" s="550"/>
      <c r="D934" s="550"/>
      <c r="E934" s="550"/>
      <c r="F934" s="550"/>
      <c r="G934" s="550"/>
    </row>
    <row r="935" spans="1:7" x14ac:dyDescent="0.25">
      <c r="A935" s="550"/>
      <c r="B935" s="550"/>
      <c r="C935" s="550"/>
      <c r="D935" s="550"/>
      <c r="E935" s="550"/>
      <c r="F935" s="550"/>
      <c r="G935" s="550"/>
    </row>
    <row r="936" spans="1:7" x14ac:dyDescent="0.25">
      <c r="A936" s="550"/>
      <c r="B936" s="550"/>
      <c r="C936" s="550"/>
      <c r="D936" s="550"/>
      <c r="E936" s="550"/>
      <c r="F936" s="550"/>
      <c r="G936" s="550"/>
    </row>
    <row r="937" spans="1:7" x14ac:dyDescent="0.25">
      <c r="A937" s="550"/>
      <c r="B937" s="550"/>
      <c r="C937" s="550"/>
      <c r="D937" s="550"/>
      <c r="E937" s="550"/>
      <c r="F937" s="550"/>
      <c r="G937" s="550"/>
    </row>
    <row r="938" spans="1:7" x14ac:dyDescent="0.25">
      <c r="A938" s="550"/>
      <c r="B938" s="550"/>
      <c r="C938" s="550"/>
      <c r="D938" s="550"/>
      <c r="E938" s="550"/>
      <c r="F938" s="550"/>
      <c r="G938" s="550"/>
    </row>
    <row r="939" spans="1:7" x14ac:dyDescent="0.25">
      <c r="A939" s="550"/>
      <c r="B939" s="550"/>
      <c r="C939" s="550"/>
      <c r="D939" s="550"/>
      <c r="E939" s="550"/>
      <c r="F939" s="550"/>
      <c r="G939" s="550"/>
    </row>
    <row r="940" spans="1:7" x14ac:dyDescent="0.25">
      <c r="A940" s="550"/>
      <c r="B940" s="550"/>
      <c r="C940" s="550"/>
      <c r="D940" s="550"/>
      <c r="E940" s="550"/>
      <c r="F940" s="550"/>
      <c r="G940" s="550"/>
    </row>
    <row r="941" spans="1:7" x14ac:dyDescent="0.25">
      <c r="A941" s="550"/>
      <c r="B941" s="550"/>
      <c r="C941" s="550"/>
      <c r="D941" s="550"/>
      <c r="E941" s="550"/>
      <c r="F941" s="550"/>
      <c r="G941" s="550"/>
    </row>
    <row r="942" spans="1:7" x14ac:dyDescent="0.25">
      <c r="A942" s="550"/>
      <c r="B942" s="550"/>
      <c r="C942" s="550"/>
      <c r="D942" s="550"/>
      <c r="E942" s="550"/>
      <c r="F942" s="550"/>
      <c r="G942" s="550"/>
    </row>
    <row r="943" spans="1:7" x14ac:dyDescent="0.25">
      <c r="A943" s="550"/>
      <c r="B943" s="550"/>
      <c r="C943" s="550"/>
      <c r="D943" s="550"/>
      <c r="E943" s="550"/>
      <c r="F943" s="550"/>
      <c r="G943" s="550"/>
    </row>
    <row r="944" spans="1:7" x14ac:dyDescent="0.25">
      <c r="A944" s="550"/>
      <c r="B944" s="550"/>
      <c r="C944" s="550"/>
      <c r="D944" s="550"/>
      <c r="E944" s="550"/>
      <c r="F944" s="550"/>
      <c r="G944" s="550"/>
    </row>
    <row r="945" spans="1:7" x14ac:dyDescent="0.25">
      <c r="A945" s="550"/>
      <c r="B945" s="550"/>
      <c r="C945" s="550"/>
      <c r="D945" s="550"/>
      <c r="E945" s="550"/>
      <c r="F945" s="550"/>
      <c r="G945" s="550"/>
    </row>
    <row r="946" spans="1:7" x14ac:dyDescent="0.25">
      <c r="A946" s="550"/>
      <c r="B946" s="550"/>
      <c r="C946" s="550"/>
      <c r="D946" s="550"/>
      <c r="E946" s="550"/>
      <c r="F946" s="550"/>
      <c r="G946" s="550"/>
    </row>
    <row r="947" spans="1:7" x14ac:dyDescent="0.25">
      <c r="A947" s="550"/>
      <c r="B947" s="550"/>
      <c r="C947" s="550"/>
      <c r="D947" s="550"/>
      <c r="E947" s="550"/>
      <c r="F947" s="550"/>
      <c r="G947" s="550"/>
    </row>
    <row r="948" spans="1:7" x14ac:dyDescent="0.25">
      <c r="A948" s="550"/>
      <c r="B948" s="550"/>
      <c r="C948" s="550"/>
      <c r="D948" s="550"/>
      <c r="E948" s="550"/>
      <c r="F948" s="550"/>
      <c r="G948" s="550"/>
    </row>
    <row r="949" spans="1:7" x14ac:dyDescent="0.25">
      <c r="A949" s="550"/>
      <c r="B949" s="550"/>
      <c r="C949" s="550"/>
      <c r="D949" s="550"/>
      <c r="E949" s="550"/>
      <c r="F949" s="550"/>
      <c r="G949" s="550"/>
    </row>
    <row r="950" spans="1:7" x14ac:dyDescent="0.25">
      <c r="A950" s="550"/>
      <c r="B950" s="550"/>
      <c r="C950" s="550"/>
      <c r="D950" s="550"/>
      <c r="E950" s="550"/>
      <c r="F950" s="550"/>
      <c r="G950" s="550"/>
    </row>
    <row r="951" spans="1:7" x14ac:dyDescent="0.25">
      <c r="A951" s="550"/>
      <c r="B951" s="550"/>
      <c r="C951" s="550"/>
      <c r="D951" s="550"/>
      <c r="E951" s="550"/>
      <c r="F951" s="550"/>
      <c r="G951" s="550"/>
    </row>
    <row r="952" spans="1:7" x14ac:dyDescent="0.25">
      <c r="A952" s="550"/>
      <c r="B952" s="550"/>
      <c r="C952" s="550"/>
      <c r="D952" s="550"/>
      <c r="E952" s="550"/>
      <c r="F952" s="550"/>
      <c r="G952" s="550"/>
    </row>
    <row r="953" spans="1:7" x14ac:dyDescent="0.25">
      <c r="A953" s="550"/>
      <c r="B953" s="550"/>
      <c r="C953" s="550"/>
      <c r="D953" s="550"/>
      <c r="E953" s="550"/>
      <c r="F953" s="550"/>
      <c r="G953" s="550"/>
    </row>
    <row r="954" spans="1:7" x14ac:dyDescent="0.25">
      <c r="A954" s="550"/>
      <c r="B954" s="550"/>
      <c r="C954" s="550"/>
      <c r="D954" s="550"/>
      <c r="E954" s="550"/>
      <c r="F954" s="550"/>
      <c r="G954" s="550"/>
    </row>
    <row r="955" spans="1:7" x14ac:dyDescent="0.25">
      <c r="A955" s="550"/>
      <c r="B955" s="550"/>
      <c r="C955" s="550"/>
      <c r="D955" s="550"/>
      <c r="E955" s="550"/>
      <c r="F955" s="550"/>
      <c r="G955" s="550"/>
    </row>
    <row r="956" spans="1:7" x14ac:dyDescent="0.25">
      <c r="A956" s="550"/>
      <c r="B956" s="550"/>
      <c r="C956" s="550"/>
      <c r="D956" s="550"/>
      <c r="E956" s="550"/>
      <c r="F956" s="550"/>
      <c r="G956" s="550"/>
    </row>
    <row r="957" spans="1:7" x14ac:dyDescent="0.25">
      <c r="A957" s="550"/>
      <c r="B957" s="550"/>
      <c r="C957" s="550"/>
      <c r="D957" s="550"/>
      <c r="E957" s="550"/>
      <c r="F957" s="550"/>
      <c r="G957" s="550"/>
    </row>
    <row r="958" spans="1:7" x14ac:dyDescent="0.25">
      <c r="A958" s="550"/>
      <c r="B958" s="550"/>
      <c r="C958" s="550"/>
      <c r="D958" s="550"/>
      <c r="E958" s="550"/>
      <c r="F958" s="550"/>
      <c r="G958" s="550"/>
    </row>
    <row r="959" spans="1:7" x14ac:dyDescent="0.25">
      <c r="A959" s="550"/>
      <c r="B959" s="550"/>
      <c r="C959" s="550"/>
      <c r="D959" s="550"/>
      <c r="E959" s="550"/>
      <c r="F959" s="550"/>
      <c r="G959" s="550"/>
    </row>
    <row r="960" spans="1:7" x14ac:dyDescent="0.25">
      <c r="A960" s="550"/>
      <c r="B960" s="550"/>
      <c r="C960" s="550"/>
      <c r="D960" s="550"/>
      <c r="E960" s="550"/>
      <c r="F960" s="550"/>
      <c r="G960" s="550"/>
    </row>
    <row r="961" spans="1:7" x14ac:dyDescent="0.25">
      <c r="A961" s="550"/>
      <c r="B961" s="550"/>
      <c r="C961" s="550"/>
      <c r="D961" s="550"/>
      <c r="E961" s="550"/>
      <c r="F961" s="550"/>
      <c r="G961" s="550"/>
    </row>
    <row r="962" spans="1:7" x14ac:dyDescent="0.25">
      <c r="A962" s="550"/>
      <c r="B962" s="550"/>
      <c r="C962" s="550"/>
      <c r="D962" s="550"/>
      <c r="E962" s="550"/>
      <c r="F962" s="550"/>
      <c r="G962" s="550"/>
    </row>
    <row r="963" spans="1:7" x14ac:dyDescent="0.25">
      <c r="A963" s="550"/>
      <c r="B963" s="550"/>
      <c r="C963" s="550"/>
      <c r="D963" s="550"/>
      <c r="E963" s="550"/>
      <c r="F963" s="550"/>
      <c r="G963" s="550"/>
    </row>
    <row r="964" spans="1:7" x14ac:dyDescent="0.25">
      <c r="A964" s="550"/>
      <c r="B964" s="550"/>
      <c r="C964" s="550"/>
      <c r="D964" s="550"/>
      <c r="E964" s="550"/>
      <c r="F964" s="550"/>
      <c r="G964" s="550"/>
    </row>
    <row r="965" spans="1:7" x14ac:dyDescent="0.25">
      <c r="A965" s="550"/>
      <c r="B965" s="550"/>
      <c r="C965" s="550"/>
      <c r="D965" s="550"/>
      <c r="E965" s="550"/>
      <c r="F965" s="550"/>
      <c r="G965" s="550"/>
    </row>
    <row r="966" spans="1:7" x14ac:dyDescent="0.25">
      <c r="A966" s="550"/>
      <c r="B966" s="550"/>
      <c r="C966" s="550"/>
      <c r="D966" s="550"/>
      <c r="E966" s="550"/>
      <c r="F966" s="550"/>
      <c r="G966" s="550"/>
    </row>
    <row r="967" spans="1:7" x14ac:dyDescent="0.25">
      <c r="A967" s="550"/>
      <c r="B967" s="550"/>
      <c r="C967" s="550"/>
      <c r="D967" s="550"/>
      <c r="E967" s="550"/>
      <c r="F967" s="550"/>
      <c r="G967" s="550"/>
    </row>
    <row r="968" spans="1:7" x14ac:dyDescent="0.25">
      <c r="A968" s="550"/>
      <c r="B968" s="550"/>
      <c r="C968" s="550"/>
      <c r="D968" s="550"/>
      <c r="E968" s="550"/>
      <c r="F968" s="550"/>
      <c r="G968" s="550"/>
    </row>
    <row r="969" spans="1:7" x14ac:dyDescent="0.25">
      <c r="A969" s="550"/>
      <c r="B969" s="550"/>
      <c r="C969" s="550"/>
      <c r="D969" s="550"/>
      <c r="E969" s="550"/>
      <c r="F969" s="550"/>
      <c r="G969" s="550"/>
    </row>
    <row r="970" spans="1:7" x14ac:dyDescent="0.25">
      <c r="A970" s="550"/>
      <c r="B970" s="550"/>
      <c r="C970" s="550"/>
      <c r="D970" s="550"/>
      <c r="E970" s="550"/>
      <c r="F970" s="550"/>
      <c r="G970" s="550"/>
    </row>
    <row r="971" spans="1:7" x14ac:dyDescent="0.25">
      <c r="A971" s="550"/>
      <c r="B971" s="550"/>
      <c r="C971" s="550"/>
      <c r="D971" s="550"/>
      <c r="E971" s="550"/>
      <c r="F971" s="550"/>
      <c r="G971" s="550"/>
    </row>
    <row r="972" spans="1:7" x14ac:dyDescent="0.25">
      <c r="A972" s="550"/>
      <c r="B972" s="550"/>
      <c r="C972" s="550"/>
      <c r="D972" s="550"/>
      <c r="E972" s="550"/>
      <c r="F972" s="550"/>
      <c r="G972" s="550"/>
    </row>
    <row r="973" spans="1:7" x14ac:dyDescent="0.25">
      <c r="A973" s="550"/>
      <c r="B973" s="550"/>
      <c r="C973" s="550"/>
      <c r="D973" s="550"/>
      <c r="E973" s="550"/>
      <c r="F973" s="550"/>
      <c r="G973" s="550"/>
    </row>
    <row r="974" spans="1:7" x14ac:dyDescent="0.25">
      <c r="A974" s="550"/>
      <c r="B974" s="550"/>
      <c r="C974" s="550"/>
      <c r="D974" s="550"/>
      <c r="E974" s="550"/>
      <c r="F974" s="550"/>
      <c r="G974" s="550"/>
    </row>
    <row r="975" spans="1:7" x14ac:dyDescent="0.25">
      <c r="A975" s="550"/>
      <c r="B975" s="550"/>
      <c r="C975" s="550"/>
      <c r="D975" s="550"/>
      <c r="E975" s="550"/>
      <c r="F975" s="550"/>
      <c r="G975" s="550"/>
    </row>
    <row r="976" spans="1:7" x14ac:dyDescent="0.25">
      <c r="A976" s="550"/>
      <c r="B976" s="550"/>
      <c r="C976" s="550"/>
      <c r="D976" s="550"/>
      <c r="E976" s="550"/>
      <c r="F976" s="550"/>
      <c r="G976" s="550"/>
    </row>
    <row r="977" spans="1:7" x14ac:dyDescent="0.25">
      <c r="A977" s="550"/>
      <c r="B977" s="550"/>
      <c r="C977" s="550"/>
      <c r="D977" s="550"/>
      <c r="E977" s="550"/>
      <c r="F977" s="550"/>
      <c r="G977" s="550"/>
    </row>
    <row r="978" spans="1:7" x14ac:dyDescent="0.25">
      <c r="A978" s="550"/>
      <c r="B978" s="550"/>
      <c r="C978" s="550"/>
      <c r="D978" s="550"/>
      <c r="E978" s="550"/>
      <c r="F978" s="550"/>
      <c r="G978" s="550"/>
    </row>
    <row r="979" spans="1:7" x14ac:dyDescent="0.25">
      <c r="A979" s="550"/>
      <c r="B979" s="550"/>
      <c r="C979" s="550"/>
      <c r="D979" s="550"/>
      <c r="E979" s="550"/>
      <c r="F979" s="550"/>
      <c r="G979" s="550"/>
    </row>
    <row r="980" spans="1:7" x14ac:dyDescent="0.25">
      <c r="A980" s="550"/>
      <c r="B980" s="550"/>
      <c r="C980" s="550"/>
      <c r="D980" s="550"/>
      <c r="E980" s="550"/>
      <c r="F980" s="550"/>
      <c r="G980" s="550"/>
    </row>
    <row r="981" spans="1:7" x14ac:dyDescent="0.25">
      <c r="A981" s="550"/>
      <c r="B981" s="550"/>
      <c r="C981" s="550"/>
      <c r="D981" s="550"/>
      <c r="E981" s="550"/>
      <c r="F981" s="550"/>
      <c r="G981" s="550"/>
    </row>
    <row r="982" spans="1:7" x14ac:dyDescent="0.25">
      <c r="A982" s="550"/>
      <c r="B982" s="550"/>
      <c r="C982" s="550"/>
      <c r="D982" s="550"/>
      <c r="E982" s="550"/>
      <c r="F982" s="550"/>
      <c r="G982" s="550"/>
    </row>
    <row r="983" spans="1:7" x14ac:dyDescent="0.25">
      <c r="A983" s="550"/>
      <c r="B983" s="550"/>
      <c r="C983" s="550"/>
      <c r="D983" s="550"/>
      <c r="E983" s="550"/>
      <c r="F983" s="550"/>
      <c r="G983" s="550"/>
    </row>
    <row r="984" spans="1:7" x14ac:dyDescent="0.25">
      <c r="A984" s="550"/>
      <c r="B984" s="550"/>
      <c r="C984" s="550"/>
      <c r="D984" s="550"/>
      <c r="E984" s="550"/>
      <c r="F984" s="550"/>
      <c r="G984" s="550"/>
    </row>
    <row r="985" spans="1:7" x14ac:dyDescent="0.25">
      <c r="A985" s="550"/>
      <c r="B985" s="550"/>
      <c r="C985" s="550"/>
      <c r="D985" s="550"/>
      <c r="E985" s="550"/>
      <c r="F985" s="550"/>
      <c r="G985" s="550"/>
    </row>
    <row r="986" spans="1:7" x14ac:dyDescent="0.25">
      <c r="A986" s="550"/>
      <c r="B986" s="550"/>
      <c r="C986" s="550"/>
      <c r="D986" s="550"/>
      <c r="E986" s="550"/>
      <c r="F986" s="550"/>
      <c r="G986" s="550"/>
    </row>
    <row r="987" spans="1:7" x14ac:dyDescent="0.25">
      <c r="A987" s="550"/>
      <c r="B987" s="550"/>
      <c r="C987" s="550"/>
      <c r="D987" s="550"/>
      <c r="E987" s="550"/>
      <c r="F987" s="550"/>
      <c r="G987" s="550"/>
    </row>
    <row r="988" spans="1:7" x14ac:dyDescent="0.25">
      <c r="A988" s="550"/>
      <c r="B988" s="550"/>
      <c r="C988" s="550"/>
      <c r="D988" s="550"/>
      <c r="E988" s="550"/>
      <c r="F988" s="550"/>
      <c r="G988" s="550"/>
    </row>
    <row r="989" spans="1:7" x14ac:dyDescent="0.25">
      <c r="A989" s="550"/>
      <c r="B989" s="550"/>
      <c r="C989" s="550"/>
      <c r="D989" s="550"/>
      <c r="E989" s="550"/>
      <c r="F989" s="550"/>
      <c r="G989" s="550"/>
    </row>
    <row r="990" spans="1:7" x14ac:dyDescent="0.25">
      <c r="A990" s="550"/>
      <c r="B990" s="550"/>
      <c r="C990" s="550"/>
      <c r="D990" s="550"/>
      <c r="E990" s="550"/>
      <c r="F990" s="550"/>
      <c r="G990" s="550"/>
    </row>
    <row r="991" spans="1:7" x14ac:dyDescent="0.25">
      <c r="A991" s="550"/>
      <c r="B991" s="550"/>
      <c r="C991" s="550"/>
      <c r="D991" s="550"/>
      <c r="E991" s="550"/>
      <c r="F991" s="550"/>
      <c r="G991" s="550"/>
    </row>
    <row r="992" spans="1:7" x14ac:dyDescent="0.25">
      <c r="A992" s="550"/>
      <c r="B992" s="550"/>
      <c r="C992" s="550"/>
      <c r="D992" s="550"/>
      <c r="E992" s="550"/>
      <c r="F992" s="550"/>
      <c r="G992" s="550"/>
    </row>
    <row r="993" spans="1:7" x14ac:dyDescent="0.25">
      <c r="A993" s="550"/>
      <c r="B993" s="550"/>
      <c r="C993" s="550"/>
      <c r="D993" s="550"/>
      <c r="E993" s="550"/>
      <c r="F993" s="550"/>
      <c r="G993" s="550"/>
    </row>
    <row r="994" spans="1:7" x14ac:dyDescent="0.25">
      <c r="A994" s="550"/>
      <c r="B994" s="550"/>
      <c r="C994" s="550"/>
      <c r="D994" s="550"/>
      <c r="E994" s="550"/>
      <c r="F994" s="550"/>
      <c r="G994" s="550"/>
    </row>
    <row r="995" spans="1:7" x14ac:dyDescent="0.25">
      <c r="A995" s="550"/>
      <c r="B995" s="550"/>
      <c r="C995" s="550"/>
      <c r="D995" s="550"/>
      <c r="E995" s="550"/>
      <c r="F995" s="550"/>
      <c r="G995" s="550"/>
    </row>
    <row r="996" spans="1:7" x14ac:dyDescent="0.25">
      <c r="A996" s="550"/>
      <c r="B996" s="550"/>
      <c r="C996" s="550"/>
      <c r="D996" s="550"/>
      <c r="E996" s="550"/>
      <c r="F996" s="550"/>
      <c r="G996" s="550"/>
    </row>
    <row r="997" spans="1:7" x14ac:dyDescent="0.25">
      <c r="A997" s="550"/>
      <c r="B997" s="550"/>
      <c r="C997" s="550"/>
      <c r="D997" s="550"/>
      <c r="E997" s="550"/>
      <c r="F997" s="550"/>
      <c r="G997" s="550"/>
    </row>
    <row r="998" spans="1:7" x14ac:dyDescent="0.25">
      <c r="A998" s="550"/>
      <c r="B998" s="550"/>
      <c r="C998" s="550"/>
      <c r="D998" s="550"/>
      <c r="E998" s="550"/>
      <c r="F998" s="550"/>
      <c r="G998" s="550"/>
    </row>
    <row r="999" spans="1:7" x14ac:dyDescent="0.25">
      <c r="A999" s="550"/>
      <c r="B999" s="550"/>
      <c r="C999" s="550"/>
      <c r="D999" s="550"/>
      <c r="E999" s="550"/>
      <c r="F999" s="550"/>
      <c r="G999" s="550"/>
    </row>
    <row r="1000" spans="1:7" x14ac:dyDescent="0.25">
      <c r="A1000" s="550"/>
      <c r="B1000" s="550"/>
      <c r="C1000" s="550"/>
      <c r="D1000" s="550"/>
      <c r="E1000" s="550"/>
      <c r="F1000" s="550"/>
      <c r="G1000" s="550"/>
    </row>
    <row r="1001" spans="1:7" x14ac:dyDescent="0.25">
      <c r="A1001" s="550"/>
      <c r="B1001" s="550"/>
      <c r="C1001" s="550"/>
      <c r="D1001" s="550"/>
      <c r="E1001" s="550"/>
      <c r="F1001" s="550"/>
      <c r="G1001" s="550"/>
    </row>
    <row r="1002" spans="1:7" x14ac:dyDescent="0.25">
      <c r="A1002" s="550"/>
      <c r="B1002" s="550"/>
      <c r="C1002" s="550"/>
      <c r="D1002" s="550"/>
      <c r="E1002" s="550"/>
      <c r="F1002" s="550"/>
      <c r="G1002" s="550"/>
    </row>
    <row r="1003" spans="1:7" x14ac:dyDescent="0.25">
      <c r="A1003" s="550"/>
      <c r="B1003" s="550"/>
      <c r="C1003" s="550"/>
      <c r="D1003" s="550"/>
      <c r="E1003" s="550"/>
      <c r="F1003" s="550"/>
      <c r="G1003" s="550"/>
    </row>
    <row r="1004" spans="1:7" x14ac:dyDescent="0.25">
      <c r="A1004" s="550"/>
      <c r="B1004" s="550"/>
      <c r="C1004" s="550"/>
      <c r="D1004" s="550"/>
      <c r="E1004" s="550"/>
      <c r="F1004" s="550"/>
      <c r="G1004" s="550"/>
    </row>
    <row r="1005" spans="1:7" x14ac:dyDescent="0.25">
      <c r="A1005" s="550"/>
      <c r="B1005" s="550"/>
      <c r="C1005" s="550"/>
      <c r="D1005" s="550"/>
      <c r="E1005" s="550"/>
      <c r="F1005" s="550"/>
      <c r="G1005" s="550"/>
    </row>
    <row r="1006" spans="1:7" x14ac:dyDescent="0.25">
      <c r="A1006" s="550"/>
      <c r="B1006" s="550"/>
      <c r="C1006" s="550"/>
      <c r="D1006" s="550"/>
      <c r="E1006" s="550"/>
      <c r="F1006" s="550"/>
      <c r="G1006" s="550"/>
    </row>
    <row r="1007" spans="1:7" x14ac:dyDescent="0.25">
      <c r="A1007" s="550"/>
      <c r="B1007" s="550"/>
      <c r="C1007" s="550"/>
      <c r="D1007" s="550"/>
      <c r="E1007" s="550"/>
      <c r="F1007" s="550"/>
      <c r="G1007" s="550"/>
    </row>
    <row r="1008" spans="1:7" x14ac:dyDescent="0.25">
      <c r="A1008" s="550"/>
      <c r="B1008" s="550"/>
      <c r="C1008" s="550"/>
      <c r="D1008" s="550"/>
      <c r="E1008" s="550"/>
      <c r="F1008" s="550"/>
      <c r="G1008" s="550"/>
    </row>
    <row r="1009" spans="1:7" x14ac:dyDescent="0.25">
      <c r="A1009" s="550"/>
      <c r="B1009" s="550"/>
      <c r="C1009" s="550"/>
      <c r="D1009" s="550"/>
      <c r="E1009" s="550"/>
      <c r="F1009" s="550"/>
      <c r="G1009" s="550"/>
    </row>
    <row r="1010" spans="1:7" x14ac:dyDescent="0.25">
      <c r="A1010" s="550"/>
      <c r="B1010" s="550"/>
      <c r="C1010" s="550"/>
      <c r="D1010" s="550"/>
      <c r="E1010" s="550"/>
      <c r="F1010" s="550"/>
      <c r="G1010" s="550"/>
    </row>
    <row r="1011" spans="1:7" x14ac:dyDescent="0.25">
      <c r="A1011" s="550"/>
      <c r="B1011" s="550"/>
      <c r="C1011" s="550"/>
      <c r="D1011" s="550"/>
      <c r="E1011" s="550"/>
      <c r="F1011" s="550"/>
      <c r="G1011" s="550"/>
    </row>
    <row r="1012" spans="1:7" x14ac:dyDescent="0.25">
      <c r="A1012" s="550"/>
      <c r="B1012" s="550"/>
      <c r="C1012" s="550"/>
      <c r="D1012" s="550"/>
      <c r="E1012" s="550"/>
      <c r="F1012" s="550"/>
      <c r="G1012" s="550"/>
    </row>
    <row r="1013" spans="1:7" x14ac:dyDescent="0.25">
      <c r="A1013" s="550"/>
      <c r="B1013" s="550"/>
      <c r="C1013" s="550"/>
      <c r="D1013" s="550"/>
      <c r="E1013" s="550"/>
      <c r="F1013" s="550"/>
      <c r="G1013" s="550"/>
    </row>
    <row r="1014" spans="1:7" x14ac:dyDescent="0.25">
      <c r="A1014" s="550"/>
      <c r="B1014" s="550"/>
      <c r="C1014" s="550"/>
      <c r="D1014" s="550"/>
      <c r="E1014" s="550"/>
      <c r="F1014" s="550"/>
      <c r="G1014" s="550"/>
    </row>
    <row r="1015" spans="1:7" x14ac:dyDescent="0.25">
      <c r="A1015" s="550"/>
      <c r="B1015" s="550"/>
      <c r="C1015" s="550"/>
      <c r="D1015" s="550"/>
      <c r="E1015" s="550"/>
      <c r="F1015" s="550"/>
      <c r="G1015" s="550"/>
    </row>
    <row r="1016" spans="1:7" x14ac:dyDescent="0.25">
      <c r="A1016" s="550"/>
      <c r="B1016" s="550"/>
      <c r="C1016" s="550"/>
      <c r="D1016" s="550"/>
      <c r="E1016" s="550"/>
      <c r="F1016" s="550"/>
      <c r="G1016" s="550"/>
    </row>
    <row r="1017" spans="1:7" x14ac:dyDescent="0.25">
      <c r="A1017" s="550"/>
      <c r="B1017" s="550"/>
      <c r="C1017" s="550"/>
      <c r="D1017" s="550"/>
      <c r="E1017" s="550"/>
      <c r="F1017" s="550"/>
      <c r="G1017" s="550"/>
    </row>
    <row r="1018" spans="1:7" x14ac:dyDescent="0.25">
      <c r="A1018" s="550"/>
      <c r="B1018" s="550"/>
      <c r="C1018" s="550"/>
      <c r="D1018" s="550"/>
      <c r="E1018" s="550"/>
      <c r="F1018" s="550"/>
      <c r="G1018" s="550"/>
    </row>
    <row r="1019" spans="1:7" x14ac:dyDescent="0.25">
      <c r="A1019" s="550"/>
      <c r="B1019" s="550"/>
      <c r="C1019" s="550"/>
      <c r="D1019" s="550"/>
      <c r="E1019" s="550"/>
      <c r="F1019" s="550"/>
      <c r="G1019" s="550"/>
    </row>
    <row r="1020" spans="1:7" x14ac:dyDescent="0.25">
      <c r="A1020" s="550"/>
      <c r="B1020" s="550"/>
      <c r="C1020" s="550"/>
      <c r="D1020" s="550"/>
      <c r="E1020" s="550"/>
      <c r="F1020" s="550"/>
      <c r="G1020" s="550"/>
    </row>
    <row r="1021" spans="1:7" x14ac:dyDescent="0.25">
      <c r="A1021" s="550"/>
      <c r="B1021" s="550"/>
      <c r="C1021" s="550"/>
      <c r="D1021" s="550"/>
      <c r="E1021" s="550"/>
      <c r="F1021" s="550"/>
      <c r="G1021" s="550"/>
    </row>
    <row r="1022" spans="1:7" x14ac:dyDescent="0.25">
      <c r="A1022" s="550"/>
      <c r="B1022" s="550"/>
      <c r="C1022" s="550"/>
      <c r="D1022" s="550"/>
      <c r="E1022" s="550"/>
      <c r="F1022" s="550"/>
      <c r="G1022" s="550"/>
    </row>
    <row r="1023" spans="1:7" x14ac:dyDescent="0.25">
      <c r="A1023" s="550"/>
      <c r="B1023" s="550"/>
      <c r="C1023" s="550"/>
      <c r="D1023" s="550"/>
      <c r="E1023" s="550"/>
      <c r="F1023" s="550"/>
      <c r="G1023" s="550"/>
    </row>
    <row r="1024" spans="1:7" x14ac:dyDescent="0.25">
      <c r="A1024" s="550"/>
      <c r="B1024" s="550"/>
      <c r="C1024" s="550"/>
      <c r="D1024" s="550"/>
      <c r="E1024" s="550"/>
      <c r="F1024" s="550"/>
      <c r="G1024" s="550"/>
    </row>
    <row r="1025" spans="1:7" x14ac:dyDescent="0.25">
      <c r="A1025" s="550"/>
      <c r="B1025" s="550"/>
      <c r="C1025" s="550"/>
      <c r="D1025" s="550"/>
      <c r="E1025" s="550"/>
      <c r="F1025" s="550"/>
      <c r="G1025" s="550"/>
    </row>
    <row r="1026" spans="1:7" x14ac:dyDescent="0.25">
      <c r="A1026" s="550"/>
      <c r="B1026" s="550"/>
      <c r="C1026" s="550"/>
      <c r="D1026" s="550"/>
      <c r="E1026" s="550"/>
      <c r="F1026" s="550"/>
      <c r="G1026" s="550"/>
    </row>
    <row r="1027" spans="1:7" x14ac:dyDescent="0.25">
      <c r="A1027" s="550"/>
      <c r="B1027" s="550"/>
      <c r="C1027" s="550"/>
      <c r="D1027" s="550"/>
      <c r="E1027" s="550"/>
      <c r="F1027" s="550"/>
      <c r="G1027" s="550"/>
    </row>
    <row r="1028" spans="1:7" x14ac:dyDescent="0.25">
      <c r="A1028" s="550"/>
      <c r="B1028" s="550"/>
      <c r="C1028" s="550"/>
      <c r="D1028" s="550"/>
      <c r="E1028" s="550"/>
      <c r="F1028" s="550"/>
      <c r="G1028" s="550"/>
    </row>
    <row r="1029" spans="1:7" x14ac:dyDescent="0.25">
      <c r="A1029" s="550"/>
      <c r="B1029" s="550"/>
      <c r="C1029" s="550"/>
      <c r="D1029" s="550"/>
      <c r="E1029" s="550"/>
      <c r="F1029" s="550"/>
      <c r="G1029" s="550"/>
    </row>
    <row r="1030" spans="1:7" x14ac:dyDescent="0.25">
      <c r="A1030" s="550"/>
      <c r="B1030" s="550"/>
      <c r="C1030" s="550"/>
      <c r="D1030" s="550"/>
      <c r="E1030" s="550"/>
      <c r="F1030" s="550"/>
      <c r="G1030" s="550"/>
    </row>
    <row r="1031" spans="1:7" x14ac:dyDescent="0.25">
      <c r="A1031" s="550"/>
      <c r="B1031" s="550"/>
      <c r="C1031" s="550"/>
      <c r="D1031" s="550"/>
      <c r="E1031" s="550"/>
      <c r="F1031" s="550"/>
      <c r="G1031" s="550"/>
    </row>
    <row r="1032" spans="1:7" x14ac:dyDescent="0.25">
      <c r="A1032" s="550"/>
      <c r="B1032" s="550"/>
      <c r="C1032" s="550"/>
      <c r="D1032" s="550"/>
      <c r="E1032" s="550"/>
      <c r="F1032" s="550"/>
      <c r="G1032" s="550"/>
    </row>
    <row r="1033" spans="1:7" x14ac:dyDescent="0.25">
      <c r="A1033" s="550"/>
      <c r="B1033" s="550"/>
      <c r="C1033" s="550"/>
      <c r="D1033" s="550"/>
      <c r="E1033" s="550"/>
      <c r="F1033" s="550"/>
      <c r="G1033" s="550"/>
    </row>
    <row r="1034" spans="1:7" x14ac:dyDescent="0.25">
      <c r="A1034" s="550"/>
      <c r="B1034" s="550"/>
      <c r="C1034" s="550"/>
      <c r="D1034" s="550"/>
      <c r="E1034" s="550"/>
      <c r="F1034" s="550"/>
      <c r="G1034" s="550"/>
    </row>
    <row r="1035" spans="1:7" x14ac:dyDescent="0.25">
      <c r="A1035" s="550"/>
      <c r="B1035" s="550"/>
      <c r="C1035" s="550"/>
      <c r="D1035" s="550"/>
      <c r="E1035" s="550"/>
      <c r="F1035" s="550"/>
      <c r="G1035" s="550"/>
    </row>
    <row r="1036" spans="1:7" x14ac:dyDescent="0.25">
      <c r="A1036" s="550"/>
      <c r="B1036" s="550"/>
      <c r="C1036" s="550"/>
      <c r="D1036" s="550"/>
      <c r="E1036" s="550"/>
      <c r="F1036" s="550"/>
      <c r="G1036" s="550"/>
    </row>
    <row r="1037" spans="1:7" x14ac:dyDescent="0.25">
      <c r="A1037" s="550"/>
      <c r="B1037" s="550"/>
      <c r="C1037" s="550"/>
      <c r="D1037" s="550"/>
      <c r="E1037" s="550"/>
      <c r="F1037" s="550"/>
      <c r="G1037" s="550"/>
    </row>
    <row r="1038" spans="1:7" x14ac:dyDescent="0.25">
      <c r="A1038" s="550"/>
      <c r="B1038" s="550"/>
      <c r="C1038" s="550"/>
      <c r="D1038" s="550"/>
      <c r="E1038" s="550"/>
      <c r="F1038" s="550"/>
      <c r="G1038" s="550"/>
    </row>
    <row r="1039" spans="1:7" x14ac:dyDescent="0.25">
      <c r="A1039" s="550"/>
      <c r="B1039" s="550"/>
      <c r="C1039" s="550"/>
      <c r="D1039" s="550"/>
      <c r="E1039" s="550"/>
      <c r="F1039" s="550"/>
      <c r="G1039" s="550"/>
    </row>
    <row r="1040" spans="1:7" x14ac:dyDescent="0.25">
      <c r="A1040" s="550"/>
      <c r="B1040" s="550"/>
      <c r="C1040" s="550"/>
      <c r="D1040" s="550"/>
      <c r="E1040" s="550"/>
      <c r="F1040" s="550"/>
      <c r="G1040" s="550"/>
    </row>
    <row r="1041" spans="1:7" x14ac:dyDescent="0.25">
      <c r="A1041" s="550"/>
      <c r="B1041" s="550"/>
      <c r="C1041" s="550"/>
      <c r="D1041" s="550"/>
      <c r="E1041" s="550"/>
      <c r="F1041" s="550"/>
      <c r="G1041" s="550"/>
    </row>
    <row r="1042" spans="1:7" x14ac:dyDescent="0.25">
      <c r="A1042" s="550"/>
      <c r="B1042" s="550"/>
      <c r="C1042" s="550"/>
      <c r="D1042" s="550"/>
      <c r="E1042" s="550"/>
      <c r="F1042" s="550"/>
      <c r="G1042" s="550"/>
    </row>
    <row r="1043" spans="1:7" x14ac:dyDescent="0.25">
      <c r="A1043" s="550"/>
      <c r="B1043" s="550"/>
      <c r="C1043" s="550"/>
      <c r="D1043" s="550"/>
      <c r="E1043" s="550"/>
      <c r="F1043" s="550"/>
      <c r="G1043" s="550"/>
    </row>
    <row r="1044" spans="1:7" x14ac:dyDescent="0.25">
      <c r="A1044" s="550"/>
      <c r="B1044" s="550"/>
      <c r="C1044" s="550"/>
      <c r="D1044" s="550"/>
      <c r="E1044" s="550"/>
      <c r="F1044" s="550"/>
      <c r="G1044" s="550"/>
    </row>
    <row r="1045" spans="1:7" x14ac:dyDescent="0.25">
      <c r="A1045" s="550"/>
      <c r="B1045" s="550"/>
      <c r="C1045" s="550"/>
      <c r="D1045" s="550"/>
      <c r="E1045" s="550"/>
      <c r="F1045" s="550"/>
      <c r="G1045" s="550"/>
    </row>
    <row r="1046" spans="1:7" x14ac:dyDescent="0.25">
      <c r="A1046" s="550"/>
      <c r="B1046" s="550"/>
      <c r="C1046" s="550"/>
      <c r="D1046" s="550"/>
      <c r="E1046" s="550"/>
      <c r="F1046" s="550"/>
      <c r="G1046" s="550"/>
    </row>
    <row r="1047" spans="1:7" x14ac:dyDescent="0.25">
      <c r="A1047" s="550"/>
      <c r="B1047" s="550"/>
      <c r="C1047" s="550"/>
      <c r="D1047" s="550"/>
      <c r="E1047" s="550"/>
      <c r="F1047" s="550"/>
      <c r="G1047" s="550"/>
    </row>
    <row r="1048" spans="1:7" x14ac:dyDescent="0.25">
      <c r="A1048" s="550"/>
      <c r="B1048" s="550"/>
      <c r="C1048" s="550"/>
      <c r="D1048" s="550"/>
      <c r="E1048" s="550"/>
      <c r="F1048" s="550"/>
      <c r="G1048" s="550"/>
    </row>
    <row r="1049" spans="1:7" x14ac:dyDescent="0.25">
      <c r="A1049" s="550"/>
      <c r="B1049" s="550"/>
      <c r="C1049" s="550"/>
      <c r="D1049" s="550"/>
      <c r="E1049" s="550"/>
      <c r="F1049" s="550"/>
      <c r="G1049" s="550"/>
    </row>
    <row r="1050" spans="1:7" x14ac:dyDescent="0.25">
      <c r="A1050" s="550"/>
      <c r="B1050" s="550"/>
      <c r="C1050" s="550"/>
      <c r="D1050" s="550"/>
      <c r="E1050" s="550"/>
      <c r="F1050" s="550"/>
      <c r="G1050" s="550"/>
    </row>
    <row r="1051" spans="1:7" x14ac:dyDescent="0.25">
      <c r="A1051" s="550"/>
      <c r="B1051" s="550"/>
      <c r="C1051" s="550"/>
      <c r="D1051" s="550"/>
      <c r="E1051" s="550"/>
      <c r="F1051" s="550"/>
      <c r="G1051" s="550"/>
    </row>
    <row r="1052" spans="1:7" x14ac:dyDescent="0.25">
      <c r="A1052" s="550"/>
      <c r="B1052" s="550"/>
      <c r="C1052" s="550"/>
      <c r="D1052" s="550"/>
      <c r="E1052" s="550"/>
      <c r="F1052" s="550"/>
      <c r="G1052" s="550"/>
    </row>
    <row r="1053" spans="1:7" x14ac:dyDescent="0.25">
      <c r="A1053" s="550"/>
      <c r="B1053" s="550"/>
      <c r="C1053" s="550"/>
      <c r="D1053" s="550"/>
      <c r="E1053" s="550"/>
      <c r="F1053" s="550"/>
      <c r="G1053" s="550"/>
    </row>
    <row r="1054" spans="1:7" x14ac:dyDescent="0.25">
      <c r="A1054" s="550"/>
      <c r="B1054" s="550"/>
      <c r="C1054" s="550"/>
      <c r="D1054" s="550"/>
      <c r="E1054" s="550"/>
      <c r="F1054" s="550"/>
      <c r="G1054" s="550"/>
    </row>
    <row r="1055" spans="1:7" x14ac:dyDescent="0.25">
      <c r="A1055" s="550"/>
      <c r="B1055" s="550"/>
      <c r="C1055" s="550"/>
      <c r="D1055" s="550"/>
      <c r="E1055" s="550"/>
      <c r="F1055" s="550"/>
      <c r="G1055" s="550"/>
    </row>
    <row r="1056" spans="1:7" x14ac:dyDescent="0.25">
      <c r="A1056" s="550"/>
      <c r="B1056" s="550"/>
      <c r="C1056" s="550"/>
      <c r="D1056" s="550"/>
      <c r="E1056" s="550"/>
      <c r="F1056" s="550"/>
      <c r="G1056" s="550"/>
    </row>
    <row r="1057" spans="1:7" x14ac:dyDescent="0.25">
      <c r="A1057" s="550"/>
      <c r="B1057" s="550"/>
      <c r="C1057" s="550"/>
      <c r="D1057" s="550"/>
      <c r="E1057" s="550"/>
      <c r="F1057" s="550"/>
      <c r="G1057" s="550"/>
    </row>
    <row r="1058" spans="1:7" x14ac:dyDescent="0.25">
      <c r="A1058" s="550"/>
      <c r="B1058" s="550"/>
      <c r="C1058" s="550"/>
      <c r="D1058" s="550"/>
      <c r="E1058" s="550"/>
      <c r="F1058" s="550"/>
      <c r="G1058" s="550"/>
    </row>
    <row r="1059" spans="1:7" x14ac:dyDescent="0.25">
      <c r="A1059" s="550"/>
      <c r="B1059" s="550"/>
      <c r="C1059" s="550"/>
      <c r="D1059" s="550"/>
      <c r="E1059" s="550"/>
      <c r="F1059" s="550"/>
      <c r="G1059" s="550"/>
    </row>
    <row r="1060" spans="1:7" x14ac:dyDescent="0.25">
      <c r="A1060" s="550"/>
      <c r="B1060" s="550"/>
      <c r="C1060" s="550"/>
      <c r="D1060" s="550"/>
      <c r="E1060" s="550"/>
      <c r="F1060" s="550"/>
      <c r="G1060" s="550"/>
    </row>
    <row r="1061" spans="1:7" x14ac:dyDescent="0.25">
      <c r="A1061" s="550"/>
      <c r="B1061" s="550"/>
      <c r="C1061" s="550"/>
      <c r="D1061" s="550"/>
      <c r="E1061" s="550"/>
      <c r="F1061" s="550"/>
      <c r="G1061" s="550"/>
    </row>
    <row r="1062" spans="1:7" x14ac:dyDescent="0.25">
      <c r="A1062" s="550"/>
      <c r="B1062" s="550"/>
      <c r="C1062" s="550"/>
      <c r="D1062" s="550"/>
      <c r="E1062" s="550"/>
      <c r="F1062" s="550"/>
      <c r="G1062" s="550"/>
    </row>
    <row r="1063" spans="1:7" x14ac:dyDescent="0.25">
      <c r="A1063" s="550"/>
      <c r="B1063" s="550"/>
      <c r="C1063" s="550"/>
      <c r="D1063" s="550"/>
      <c r="E1063" s="550"/>
      <c r="F1063" s="550"/>
      <c r="G1063" s="550"/>
    </row>
    <row r="1064" spans="1:7" x14ac:dyDescent="0.25">
      <c r="A1064" s="550"/>
      <c r="B1064" s="550"/>
      <c r="C1064" s="550"/>
      <c r="D1064" s="550"/>
      <c r="E1064" s="550"/>
      <c r="F1064" s="550"/>
      <c r="G1064" s="550"/>
    </row>
    <row r="1065" spans="1:7" x14ac:dyDescent="0.25">
      <c r="A1065" s="550"/>
      <c r="B1065" s="550"/>
      <c r="C1065" s="550"/>
      <c r="D1065" s="550"/>
      <c r="E1065" s="550"/>
      <c r="F1065" s="550"/>
      <c r="G1065" s="550"/>
    </row>
    <row r="1066" spans="1:7" x14ac:dyDescent="0.25">
      <c r="A1066" s="550"/>
      <c r="B1066" s="550"/>
      <c r="C1066" s="550"/>
      <c r="D1066" s="550"/>
      <c r="E1066" s="550"/>
      <c r="F1066" s="550"/>
      <c r="G1066" s="550"/>
    </row>
    <row r="1067" spans="1:7" x14ac:dyDescent="0.25">
      <c r="A1067" s="550"/>
      <c r="B1067" s="550"/>
      <c r="C1067" s="550"/>
      <c r="D1067" s="550"/>
      <c r="E1067" s="550"/>
      <c r="F1067" s="550"/>
      <c r="G1067" s="550"/>
    </row>
    <row r="1068" spans="1:7" x14ac:dyDescent="0.25">
      <c r="A1068" s="550"/>
      <c r="B1068" s="550"/>
      <c r="C1068" s="550"/>
      <c r="D1068" s="550"/>
      <c r="E1068" s="550"/>
      <c r="F1068" s="550"/>
      <c r="G1068" s="550"/>
    </row>
    <row r="1069" spans="1:7" x14ac:dyDescent="0.25">
      <c r="A1069" s="550"/>
      <c r="B1069" s="550"/>
      <c r="C1069" s="550"/>
      <c r="D1069" s="550"/>
      <c r="E1069" s="550"/>
      <c r="F1069" s="550"/>
      <c r="G1069" s="550"/>
    </row>
    <row r="1070" spans="1:7" x14ac:dyDescent="0.25">
      <c r="A1070" s="550"/>
      <c r="B1070" s="550"/>
      <c r="C1070" s="550"/>
      <c r="D1070" s="550"/>
      <c r="E1070" s="550"/>
      <c r="F1070" s="550"/>
      <c r="G1070" s="550"/>
    </row>
    <row r="1071" spans="1:7" x14ac:dyDescent="0.25">
      <c r="A1071" s="550"/>
      <c r="B1071" s="550"/>
      <c r="C1071" s="550"/>
      <c r="D1071" s="550"/>
      <c r="E1071" s="550"/>
      <c r="F1071" s="550"/>
      <c r="G1071" s="550"/>
    </row>
    <row r="1072" spans="1:7" x14ac:dyDescent="0.25">
      <c r="A1072" s="550"/>
      <c r="B1072" s="550"/>
      <c r="C1072" s="550"/>
      <c r="D1072" s="550"/>
      <c r="E1072" s="550"/>
      <c r="F1072" s="550"/>
      <c r="G1072" s="550"/>
    </row>
    <row r="1073" spans="1:7" x14ac:dyDescent="0.25">
      <c r="A1073" s="550"/>
      <c r="B1073" s="550"/>
      <c r="C1073" s="550"/>
      <c r="D1073" s="550"/>
      <c r="E1073" s="550"/>
      <c r="F1073" s="550"/>
      <c r="G1073" s="550"/>
    </row>
    <row r="1074" spans="1:7" x14ac:dyDescent="0.25">
      <c r="A1074" s="550"/>
      <c r="B1074" s="550"/>
      <c r="C1074" s="550"/>
      <c r="D1074" s="550"/>
      <c r="E1074" s="550"/>
      <c r="F1074" s="550"/>
      <c r="G1074" s="550"/>
    </row>
    <row r="1075" spans="1:7" x14ac:dyDescent="0.25">
      <c r="A1075" s="550"/>
      <c r="B1075" s="550"/>
      <c r="C1075" s="550"/>
      <c r="D1075" s="550"/>
      <c r="E1075" s="550"/>
      <c r="F1075" s="550"/>
      <c r="G1075" s="550"/>
    </row>
    <row r="1076" spans="1:7" x14ac:dyDescent="0.25">
      <c r="A1076" s="550"/>
      <c r="B1076" s="550"/>
      <c r="C1076" s="550"/>
      <c r="D1076" s="550"/>
      <c r="E1076" s="550"/>
      <c r="F1076" s="550"/>
      <c r="G1076" s="550"/>
    </row>
    <row r="1077" spans="1:7" x14ac:dyDescent="0.25">
      <c r="A1077" s="550"/>
      <c r="B1077" s="550"/>
      <c r="C1077" s="550"/>
      <c r="D1077" s="550"/>
      <c r="E1077" s="550"/>
      <c r="F1077" s="550"/>
      <c r="G1077" s="550"/>
    </row>
    <row r="1078" spans="1:7" x14ac:dyDescent="0.25">
      <c r="A1078" s="550"/>
      <c r="B1078" s="550"/>
      <c r="C1078" s="550"/>
      <c r="D1078" s="550"/>
      <c r="E1078" s="550"/>
      <c r="F1078" s="550"/>
      <c r="G1078" s="550"/>
    </row>
    <row r="1079" spans="1:7" x14ac:dyDescent="0.25">
      <c r="A1079" s="550"/>
      <c r="B1079" s="550"/>
      <c r="C1079" s="550"/>
      <c r="D1079" s="550"/>
      <c r="E1079" s="550"/>
      <c r="F1079" s="550"/>
      <c r="G1079" s="550"/>
    </row>
    <row r="1080" spans="1:7" x14ac:dyDescent="0.25">
      <c r="A1080" s="550"/>
      <c r="B1080" s="550"/>
      <c r="C1080" s="550"/>
      <c r="D1080" s="550"/>
      <c r="E1080" s="550"/>
      <c r="F1080" s="550"/>
      <c r="G1080" s="550"/>
    </row>
    <row r="1081" spans="1:7" x14ac:dyDescent="0.25">
      <c r="A1081" s="550"/>
      <c r="B1081" s="550"/>
      <c r="C1081" s="550"/>
      <c r="D1081" s="550"/>
      <c r="E1081" s="550"/>
      <c r="F1081" s="550"/>
      <c r="G1081" s="550"/>
    </row>
    <row r="1082" spans="1:7" x14ac:dyDescent="0.25">
      <c r="A1082" s="550"/>
      <c r="B1082" s="550"/>
      <c r="C1082" s="550"/>
      <c r="D1082" s="550"/>
      <c r="E1082" s="550"/>
      <c r="F1082" s="550"/>
      <c r="G1082" s="550"/>
    </row>
    <row r="1083" spans="1:7" x14ac:dyDescent="0.25">
      <c r="A1083" s="550"/>
      <c r="B1083" s="550"/>
      <c r="C1083" s="550"/>
      <c r="D1083" s="550"/>
      <c r="E1083" s="550"/>
      <c r="F1083" s="550"/>
      <c r="G1083" s="550"/>
    </row>
    <row r="1084" spans="1:7" x14ac:dyDescent="0.25">
      <c r="A1084" s="550"/>
      <c r="B1084" s="550"/>
      <c r="C1084" s="550"/>
      <c r="D1084" s="550"/>
      <c r="E1084" s="550"/>
      <c r="F1084" s="550"/>
      <c r="G1084" s="550"/>
    </row>
    <row r="1085" spans="1:7" x14ac:dyDescent="0.25">
      <c r="A1085" s="550"/>
      <c r="B1085" s="550"/>
      <c r="C1085" s="550"/>
      <c r="D1085" s="550"/>
      <c r="E1085" s="550"/>
      <c r="F1085" s="550"/>
      <c r="G1085" s="550"/>
    </row>
    <row r="1086" spans="1:7" x14ac:dyDescent="0.25">
      <c r="A1086" s="550"/>
      <c r="B1086" s="550"/>
      <c r="C1086" s="550"/>
      <c r="D1086" s="550"/>
      <c r="E1086" s="550"/>
      <c r="F1086" s="550"/>
      <c r="G1086" s="550"/>
    </row>
    <row r="1087" spans="1:7" x14ac:dyDescent="0.25">
      <c r="A1087" s="550"/>
      <c r="B1087" s="550"/>
      <c r="C1087" s="550"/>
      <c r="D1087" s="550"/>
      <c r="E1087" s="550"/>
      <c r="F1087" s="550"/>
      <c r="G1087" s="550"/>
    </row>
    <row r="1088" spans="1:7" x14ac:dyDescent="0.25">
      <c r="A1088" s="550"/>
      <c r="B1088" s="550"/>
      <c r="C1088" s="550"/>
      <c r="D1088" s="550"/>
      <c r="E1088" s="550"/>
      <c r="F1088" s="550"/>
      <c r="G1088" s="550"/>
    </row>
    <row r="1089" spans="1:7" x14ac:dyDescent="0.25">
      <c r="A1089" s="550"/>
      <c r="B1089" s="550"/>
      <c r="C1089" s="550"/>
      <c r="D1089" s="550"/>
      <c r="E1089" s="550"/>
      <c r="F1089" s="550"/>
      <c r="G1089" s="550"/>
    </row>
    <row r="1090" spans="1:7" x14ac:dyDescent="0.25">
      <c r="A1090" s="550"/>
      <c r="B1090" s="550"/>
      <c r="C1090" s="550"/>
      <c r="D1090" s="550"/>
      <c r="E1090" s="550"/>
      <c r="F1090" s="550"/>
      <c r="G1090" s="550"/>
    </row>
    <row r="1091" spans="1:7" x14ac:dyDescent="0.25">
      <c r="A1091" s="550"/>
      <c r="B1091" s="550"/>
      <c r="C1091" s="550"/>
      <c r="D1091" s="550"/>
      <c r="E1091" s="550"/>
      <c r="F1091" s="550"/>
      <c r="G1091" s="550"/>
    </row>
    <row r="1092" spans="1:7" x14ac:dyDescent="0.25">
      <c r="A1092" s="550"/>
      <c r="B1092" s="550"/>
      <c r="C1092" s="550"/>
      <c r="D1092" s="550"/>
      <c r="E1092" s="550"/>
      <c r="F1092" s="550"/>
      <c r="G1092" s="550"/>
    </row>
    <row r="1093" spans="1:7" x14ac:dyDescent="0.25">
      <c r="A1093" s="550"/>
      <c r="B1093" s="550"/>
      <c r="C1093" s="550"/>
      <c r="D1093" s="550"/>
      <c r="E1093" s="550"/>
      <c r="F1093" s="550"/>
      <c r="G1093" s="550"/>
    </row>
    <row r="1094" spans="1:7" x14ac:dyDescent="0.25">
      <c r="A1094" s="550"/>
      <c r="B1094" s="550"/>
      <c r="C1094" s="550"/>
      <c r="D1094" s="550"/>
      <c r="E1094" s="550"/>
      <c r="F1094" s="550"/>
      <c r="G1094" s="550"/>
    </row>
    <row r="1095" spans="1:7" x14ac:dyDescent="0.25">
      <c r="A1095" s="550"/>
      <c r="B1095" s="550"/>
      <c r="C1095" s="550"/>
      <c r="D1095" s="550"/>
      <c r="E1095" s="550"/>
      <c r="F1095" s="550"/>
      <c r="G1095" s="550"/>
    </row>
    <row r="1096" spans="1:7" x14ac:dyDescent="0.25">
      <c r="A1096" s="550"/>
      <c r="B1096" s="550"/>
      <c r="C1096" s="550"/>
      <c r="D1096" s="550"/>
      <c r="E1096" s="550"/>
      <c r="F1096" s="550"/>
      <c r="G1096" s="550"/>
    </row>
    <row r="1097" spans="1:7" x14ac:dyDescent="0.25">
      <c r="A1097" s="550"/>
      <c r="B1097" s="550"/>
      <c r="C1097" s="550"/>
      <c r="D1097" s="550"/>
      <c r="E1097" s="550"/>
      <c r="F1097" s="550"/>
      <c r="G1097" s="550"/>
    </row>
    <row r="1098" spans="1:7" x14ac:dyDescent="0.25">
      <c r="A1098" s="550"/>
      <c r="B1098" s="550"/>
      <c r="C1098" s="550"/>
      <c r="D1098" s="550"/>
      <c r="E1098" s="550"/>
      <c r="F1098" s="550"/>
      <c r="G1098" s="550"/>
    </row>
    <row r="1099" spans="1:7" x14ac:dyDescent="0.25">
      <c r="A1099" s="550"/>
      <c r="B1099" s="550"/>
      <c r="C1099" s="550"/>
      <c r="D1099" s="550"/>
      <c r="E1099" s="550"/>
      <c r="F1099" s="550"/>
      <c r="G1099" s="550"/>
    </row>
    <row r="1100" spans="1:7" x14ac:dyDescent="0.25">
      <c r="A1100" s="550"/>
      <c r="B1100" s="550"/>
      <c r="C1100" s="550"/>
      <c r="D1100" s="550"/>
      <c r="E1100" s="550"/>
      <c r="F1100" s="550"/>
      <c r="G1100" s="550"/>
    </row>
    <row r="1101" spans="1:7" x14ac:dyDescent="0.25">
      <c r="A1101" s="550"/>
      <c r="B1101" s="550"/>
      <c r="C1101" s="550"/>
      <c r="D1101" s="550"/>
      <c r="E1101" s="550"/>
      <c r="F1101" s="550"/>
      <c r="G1101" s="550"/>
    </row>
    <row r="1102" spans="1:7" x14ac:dyDescent="0.25">
      <c r="A1102" s="550"/>
      <c r="B1102" s="550"/>
      <c r="C1102" s="550"/>
      <c r="D1102" s="550"/>
      <c r="E1102" s="550"/>
      <c r="F1102" s="550"/>
      <c r="G1102" s="550"/>
    </row>
    <row r="1103" spans="1:7" x14ac:dyDescent="0.25">
      <c r="A1103" s="550"/>
      <c r="B1103" s="550"/>
      <c r="C1103" s="550"/>
      <c r="D1103" s="550"/>
      <c r="E1103" s="550"/>
      <c r="F1103" s="550"/>
      <c r="G1103" s="550"/>
    </row>
    <row r="1104" spans="1:7" x14ac:dyDescent="0.25">
      <c r="A1104" s="550"/>
      <c r="B1104" s="550"/>
      <c r="C1104" s="550"/>
      <c r="D1104" s="550"/>
      <c r="E1104" s="550"/>
      <c r="F1104" s="550"/>
      <c r="G1104" s="550"/>
    </row>
    <row r="1105" spans="1:7" x14ac:dyDescent="0.25">
      <c r="A1105" s="550"/>
      <c r="B1105" s="550"/>
      <c r="C1105" s="550"/>
      <c r="D1105" s="550"/>
      <c r="E1105" s="550"/>
      <c r="F1105" s="550"/>
      <c r="G1105" s="550"/>
    </row>
    <row r="1106" spans="1:7" x14ac:dyDescent="0.25">
      <c r="A1106" s="550"/>
      <c r="B1106" s="550"/>
      <c r="C1106" s="550"/>
      <c r="D1106" s="550"/>
      <c r="E1106" s="550"/>
      <c r="F1106" s="550"/>
      <c r="G1106" s="550"/>
    </row>
    <row r="1107" spans="1:7" x14ac:dyDescent="0.25">
      <c r="A1107" s="550"/>
      <c r="B1107" s="550"/>
      <c r="C1107" s="550"/>
      <c r="D1107" s="550"/>
      <c r="E1107" s="550"/>
      <c r="F1107" s="550"/>
      <c r="G1107" s="550"/>
    </row>
    <row r="1108" spans="1:7" x14ac:dyDescent="0.25">
      <c r="A1108" s="550"/>
      <c r="B1108" s="550"/>
      <c r="C1108" s="550"/>
      <c r="D1108" s="550"/>
      <c r="E1108" s="550"/>
      <c r="F1108" s="550"/>
      <c r="G1108" s="550"/>
    </row>
    <row r="1109" spans="1:7" x14ac:dyDescent="0.25">
      <c r="A1109" s="550"/>
      <c r="B1109" s="550"/>
      <c r="C1109" s="550"/>
      <c r="D1109" s="550"/>
      <c r="E1109" s="550"/>
      <c r="F1109" s="550"/>
      <c r="G1109" s="550"/>
    </row>
    <row r="1110" spans="1:7" x14ac:dyDescent="0.25">
      <c r="A1110" s="550"/>
      <c r="B1110" s="550"/>
      <c r="C1110" s="550"/>
      <c r="D1110" s="550"/>
      <c r="E1110" s="550"/>
      <c r="F1110" s="550"/>
      <c r="G1110" s="550"/>
    </row>
    <row r="1111" spans="1:7" x14ac:dyDescent="0.25">
      <c r="A1111" s="550"/>
      <c r="B1111" s="550"/>
      <c r="C1111" s="550"/>
      <c r="D1111" s="550"/>
      <c r="E1111" s="550"/>
      <c r="F1111" s="550"/>
      <c r="G1111" s="550"/>
    </row>
    <row r="1112" spans="1:7" x14ac:dyDescent="0.25">
      <c r="A1112" s="550"/>
      <c r="B1112" s="550"/>
      <c r="C1112" s="550"/>
      <c r="D1112" s="550"/>
      <c r="E1112" s="550"/>
      <c r="F1112" s="550"/>
      <c r="G1112" s="550"/>
    </row>
    <row r="1113" spans="1:7" x14ac:dyDescent="0.25">
      <c r="A1113" s="550"/>
      <c r="B1113" s="550"/>
      <c r="C1113" s="550"/>
      <c r="D1113" s="550"/>
      <c r="E1113" s="550"/>
      <c r="F1113" s="550"/>
      <c r="G1113" s="550"/>
    </row>
    <row r="1114" spans="1:7" x14ac:dyDescent="0.25">
      <c r="A1114" s="550"/>
      <c r="B1114" s="550"/>
      <c r="C1114" s="550"/>
      <c r="D1114" s="550"/>
      <c r="E1114" s="550"/>
      <c r="F1114" s="550"/>
      <c r="G1114" s="550"/>
    </row>
    <row r="1115" spans="1:7" x14ac:dyDescent="0.25">
      <c r="A1115" s="550"/>
      <c r="B1115" s="550"/>
      <c r="C1115" s="550"/>
      <c r="D1115" s="550"/>
      <c r="E1115" s="550"/>
      <c r="F1115" s="550"/>
      <c r="G1115" s="550"/>
    </row>
    <row r="1116" spans="1:7" x14ac:dyDescent="0.25">
      <c r="A1116" s="550"/>
      <c r="B1116" s="550"/>
      <c r="C1116" s="550"/>
      <c r="D1116" s="550"/>
      <c r="E1116" s="550"/>
      <c r="F1116" s="550"/>
      <c r="G1116" s="550"/>
    </row>
    <row r="1117" spans="1:7" x14ac:dyDescent="0.25">
      <c r="A1117" s="550"/>
      <c r="B1117" s="550"/>
      <c r="C1117" s="550"/>
      <c r="D1117" s="550"/>
      <c r="E1117" s="550"/>
      <c r="F1117" s="550"/>
      <c r="G1117" s="550"/>
    </row>
    <row r="1118" spans="1:7" x14ac:dyDescent="0.25">
      <c r="A1118" s="550"/>
      <c r="B1118" s="550"/>
      <c r="C1118" s="550"/>
      <c r="D1118" s="550"/>
      <c r="E1118" s="550"/>
      <c r="F1118" s="550"/>
      <c r="G1118" s="550"/>
    </row>
    <row r="1119" spans="1:7" x14ac:dyDescent="0.25">
      <c r="A1119" s="550"/>
      <c r="B1119" s="550"/>
      <c r="C1119" s="550"/>
      <c r="D1119" s="550"/>
      <c r="E1119" s="550"/>
      <c r="F1119" s="550"/>
      <c r="G1119" s="550"/>
    </row>
    <row r="1120" spans="1:7" x14ac:dyDescent="0.25">
      <c r="A1120" s="550"/>
      <c r="B1120" s="550"/>
      <c r="C1120" s="550"/>
      <c r="D1120" s="550"/>
      <c r="E1120" s="550"/>
      <c r="F1120" s="550"/>
      <c r="G1120" s="550"/>
    </row>
    <row r="1121" spans="1:7" x14ac:dyDescent="0.25">
      <c r="A1121" s="550"/>
      <c r="B1121" s="550"/>
      <c r="C1121" s="550"/>
      <c r="D1121" s="550"/>
      <c r="E1121" s="550"/>
      <c r="F1121" s="550"/>
      <c r="G1121" s="550"/>
    </row>
    <row r="1122" spans="1:7" x14ac:dyDescent="0.25">
      <c r="A1122" s="550"/>
      <c r="B1122" s="550"/>
      <c r="C1122" s="550"/>
      <c r="D1122" s="550"/>
      <c r="E1122" s="550"/>
      <c r="F1122" s="550"/>
      <c r="G1122" s="550"/>
    </row>
    <row r="1123" spans="1:7" x14ac:dyDescent="0.25">
      <c r="A1123" s="550"/>
      <c r="B1123" s="550"/>
      <c r="C1123" s="550"/>
      <c r="D1123" s="550"/>
      <c r="E1123" s="550"/>
      <c r="F1123" s="550"/>
      <c r="G1123" s="550"/>
    </row>
    <row r="1124" spans="1:7" x14ac:dyDescent="0.25">
      <c r="A1124" s="550"/>
      <c r="B1124" s="550"/>
      <c r="C1124" s="550"/>
      <c r="D1124" s="550"/>
      <c r="E1124" s="550"/>
      <c r="F1124" s="550"/>
      <c r="G1124" s="550"/>
    </row>
    <row r="1125" spans="1:7" x14ac:dyDescent="0.25">
      <c r="A1125" s="550"/>
      <c r="B1125" s="550"/>
      <c r="C1125" s="550"/>
      <c r="D1125" s="550"/>
      <c r="E1125" s="550"/>
      <c r="F1125" s="550"/>
      <c r="G1125" s="550"/>
    </row>
    <row r="1126" spans="1:7" x14ac:dyDescent="0.25">
      <c r="A1126" s="550"/>
      <c r="B1126" s="550"/>
      <c r="C1126" s="550"/>
      <c r="D1126" s="550"/>
      <c r="E1126" s="550"/>
      <c r="F1126" s="550"/>
      <c r="G1126" s="550"/>
    </row>
    <row r="1127" spans="1:7" x14ac:dyDescent="0.25">
      <c r="A1127" s="550"/>
      <c r="B1127" s="550"/>
      <c r="C1127" s="550"/>
      <c r="D1127" s="550"/>
      <c r="E1127" s="550"/>
      <c r="F1127" s="550"/>
      <c r="G1127" s="550"/>
    </row>
    <row r="1128" spans="1:7" x14ac:dyDescent="0.25">
      <c r="A1128" s="550"/>
      <c r="B1128" s="550"/>
      <c r="C1128" s="550"/>
      <c r="D1128" s="550"/>
      <c r="E1128" s="550"/>
      <c r="F1128" s="550"/>
      <c r="G1128" s="550"/>
    </row>
    <row r="1129" spans="1:7" x14ac:dyDescent="0.25">
      <c r="A1129" s="550"/>
      <c r="B1129" s="550"/>
      <c r="C1129" s="550"/>
      <c r="D1129" s="550"/>
      <c r="E1129" s="550"/>
      <c r="F1129" s="550"/>
      <c r="G1129" s="550"/>
    </row>
    <row r="1130" spans="1:7" x14ac:dyDescent="0.25">
      <c r="A1130" s="550"/>
      <c r="B1130" s="550"/>
      <c r="C1130" s="550"/>
      <c r="D1130" s="550"/>
      <c r="E1130" s="550"/>
      <c r="F1130" s="550"/>
      <c r="G1130" s="550"/>
    </row>
    <row r="1131" spans="1:7" x14ac:dyDescent="0.25">
      <c r="A1131" s="550"/>
      <c r="B1131" s="550"/>
      <c r="C1131" s="550"/>
      <c r="D1131" s="550"/>
      <c r="E1131" s="550"/>
      <c r="F1131" s="550"/>
      <c r="G1131" s="550"/>
    </row>
    <row r="1132" spans="1:7" x14ac:dyDescent="0.25">
      <c r="A1132" s="550"/>
      <c r="B1132" s="550"/>
      <c r="C1132" s="550"/>
      <c r="D1132" s="550"/>
      <c r="E1132" s="550"/>
      <c r="F1132" s="550"/>
      <c r="G1132" s="550"/>
    </row>
    <row r="1133" spans="1:7" x14ac:dyDescent="0.25">
      <c r="A1133" s="550"/>
      <c r="B1133" s="550"/>
      <c r="C1133" s="550"/>
      <c r="D1133" s="550"/>
      <c r="E1133" s="550"/>
      <c r="F1133" s="550"/>
      <c r="G1133" s="550"/>
    </row>
    <row r="1134" spans="1:7" x14ac:dyDescent="0.25">
      <c r="A1134" s="550"/>
      <c r="B1134" s="550"/>
      <c r="C1134" s="550"/>
      <c r="D1134" s="550"/>
      <c r="E1134" s="550"/>
      <c r="F1134" s="550"/>
      <c r="G1134" s="550"/>
    </row>
    <row r="1135" spans="1:7" x14ac:dyDescent="0.25">
      <c r="A1135" s="550"/>
      <c r="B1135" s="550"/>
      <c r="C1135" s="550"/>
      <c r="D1135" s="550"/>
      <c r="E1135" s="550"/>
      <c r="F1135" s="550"/>
      <c r="G1135" s="550"/>
    </row>
    <row r="1136" spans="1:7" x14ac:dyDescent="0.25">
      <c r="A1136" s="550"/>
      <c r="B1136" s="550"/>
      <c r="C1136" s="550"/>
      <c r="D1136" s="550"/>
      <c r="E1136" s="550"/>
      <c r="F1136" s="550"/>
      <c r="G1136" s="550"/>
    </row>
    <row r="1137" spans="1:7" x14ac:dyDescent="0.25">
      <c r="A1137" s="550"/>
      <c r="B1137" s="550"/>
      <c r="C1137" s="550"/>
      <c r="D1137" s="550"/>
      <c r="E1137" s="550"/>
      <c r="F1137" s="550"/>
      <c r="G1137" s="550"/>
    </row>
    <row r="1138" spans="1:7" x14ac:dyDescent="0.25">
      <c r="A1138" s="550"/>
      <c r="B1138" s="550"/>
      <c r="C1138" s="550"/>
      <c r="D1138" s="550"/>
      <c r="E1138" s="550"/>
      <c r="F1138" s="550"/>
      <c r="G1138" s="550"/>
    </row>
    <row r="1139" spans="1:7" x14ac:dyDescent="0.25">
      <c r="A1139" s="550"/>
      <c r="B1139" s="550"/>
      <c r="C1139" s="550"/>
      <c r="D1139" s="550"/>
      <c r="E1139" s="550"/>
      <c r="F1139" s="550"/>
      <c r="G1139" s="550"/>
    </row>
    <row r="1140" spans="1:7" x14ac:dyDescent="0.25">
      <c r="A1140" s="550"/>
      <c r="B1140" s="550"/>
      <c r="C1140" s="550"/>
      <c r="D1140" s="550"/>
      <c r="E1140" s="550"/>
      <c r="F1140" s="550"/>
      <c r="G1140" s="550"/>
    </row>
    <row r="1141" spans="1:7" x14ac:dyDescent="0.25">
      <c r="A1141" s="550"/>
      <c r="B1141" s="550"/>
      <c r="C1141" s="550"/>
      <c r="D1141" s="550"/>
      <c r="E1141" s="550"/>
      <c r="F1141" s="550"/>
      <c r="G1141" s="550"/>
    </row>
    <row r="1142" spans="1:7" x14ac:dyDescent="0.25">
      <c r="A1142" s="550"/>
      <c r="B1142" s="550"/>
      <c r="C1142" s="550"/>
      <c r="D1142" s="550"/>
      <c r="E1142" s="550"/>
      <c r="F1142" s="550"/>
      <c r="G1142" s="550"/>
    </row>
    <row r="1143" spans="1:7" x14ac:dyDescent="0.25">
      <c r="A1143" s="550"/>
      <c r="B1143" s="550"/>
      <c r="C1143" s="550"/>
      <c r="D1143" s="550"/>
      <c r="E1143" s="550"/>
      <c r="F1143" s="550"/>
      <c r="G1143" s="550"/>
    </row>
    <row r="1144" spans="1:7" x14ac:dyDescent="0.25">
      <c r="A1144" s="550"/>
      <c r="B1144" s="550"/>
      <c r="C1144" s="550"/>
      <c r="D1144" s="550"/>
      <c r="E1144" s="550"/>
      <c r="F1144" s="550"/>
      <c r="G1144" s="550"/>
    </row>
    <row r="1145" spans="1:7" x14ac:dyDescent="0.25">
      <c r="A1145" s="550"/>
      <c r="B1145" s="550"/>
      <c r="C1145" s="550"/>
      <c r="D1145" s="550"/>
      <c r="E1145" s="550"/>
      <c r="F1145" s="550"/>
      <c r="G1145" s="550"/>
    </row>
    <row r="1146" spans="1:7" x14ac:dyDescent="0.25">
      <c r="A1146" s="550"/>
      <c r="B1146" s="550"/>
      <c r="C1146" s="550"/>
      <c r="D1146" s="550"/>
      <c r="E1146" s="550"/>
      <c r="F1146" s="550"/>
      <c r="G1146" s="550"/>
    </row>
    <row r="1147" spans="1:7" x14ac:dyDescent="0.25">
      <c r="A1147" s="550"/>
      <c r="B1147" s="550"/>
      <c r="C1147" s="550"/>
      <c r="D1147" s="550"/>
      <c r="E1147" s="550"/>
      <c r="F1147" s="550"/>
      <c r="G1147" s="550"/>
    </row>
    <row r="1148" spans="1:7" x14ac:dyDescent="0.25">
      <c r="A1148" s="550"/>
      <c r="B1148" s="550"/>
      <c r="C1148" s="550"/>
      <c r="D1148" s="550"/>
      <c r="E1148" s="550"/>
      <c r="F1148" s="550"/>
      <c r="G1148" s="550"/>
    </row>
    <row r="1149" spans="1:7" x14ac:dyDescent="0.25">
      <c r="A1149" s="550"/>
      <c r="B1149" s="550"/>
      <c r="C1149" s="550"/>
      <c r="D1149" s="550"/>
      <c r="E1149" s="550"/>
      <c r="F1149" s="550"/>
      <c r="G1149" s="550"/>
    </row>
    <row r="1150" spans="1:7" x14ac:dyDescent="0.25">
      <c r="A1150" s="550"/>
      <c r="B1150" s="550"/>
      <c r="C1150" s="550"/>
      <c r="D1150" s="550"/>
      <c r="E1150" s="550"/>
      <c r="F1150" s="550"/>
      <c r="G1150" s="550"/>
    </row>
    <row r="1151" spans="1:7" x14ac:dyDescent="0.25">
      <c r="A1151" s="550"/>
      <c r="B1151" s="550"/>
      <c r="C1151" s="550"/>
      <c r="D1151" s="550"/>
      <c r="E1151" s="550"/>
      <c r="F1151" s="550"/>
      <c r="G1151" s="550"/>
    </row>
    <row r="1152" spans="1:7" x14ac:dyDescent="0.25">
      <c r="A1152" s="550"/>
      <c r="B1152" s="550"/>
      <c r="C1152" s="550"/>
      <c r="D1152" s="550"/>
      <c r="E1152" s="550"/>
      <c r="F1152" s="550"/>
      <c r="G1152" s="550"/>
    </row>
    <row r="1153" spans="1:7" x14ac:dyDescent="0.25">
      <c r="A1153" s="550"/>
      <c r="B1153" s="550"/>
      <c r="C1153" s="550"/>
      <c r="D1153" s="550"/>
      <c r="E1153" s="550"/>
      <c r="F1153" s="550"/>
      <c r="G1153" s="550"/>
    </row>
    <row r="1154" spans="1:7" x14ac:dyDescent="0.25">
      <c r="A1154" s="550"/>
      <c r="B1154" s="550"/>
      <c r="C1154" s="550"/>
      <c r="D1154" s="550"/>
      <c r="E1154" s="550"/>
      <c r="F1154" s="550"/>
      <c r="G1154" s="550"/>
    </row>
    <row r="1155" spans="1:7" x14ac:dyDescent="0.25">
      <c r="A1155" s="550"/>
      <c r="B1155" s="550"/>
      <c r="C1155" s="550"/>
      <c r="D1155" s="550"/>
      <c r="E1155" s="550"/>
      <c r="F1155" s="550"/>
      <c r="G1155" s="550"/>
    </row>
    <row r="1156" spans="1:7" x14ac:dyDescent="0.25">
      <c r="A1156" s="550"/>
      <c r="B1156" s="550"/>
      <c r="C1156" s="550"/>
      <c r="D1156" s="550"/>
      <c r="E1156" s="550"/>
      <c r="F1156" s="550"/>
      <c r="G1156" s="550"/>
    </row>
    <row r="1157" spans="1:7" x14ac:dyDescent="0.25">
      <c r="A1157" s="550"/>
      <c r="B1157" s="550"/>
      <c r="C1157" s="550"/>
      <c r="D1157" s="550"/>
      <c r="E1157" s="550"/>
      <c r="F1157" s="550"/>
      <c r="G1157" s="550"/>
    </row>
    <row r="1158" spans="1:7" x14ac:dyDescent="0.25">
      <c r="A1158" s="550"/>
      <c r="B1158" s="550"/>
      <c r="C1158" s="550"/>
      <c r="D1158" s="550"/>
      <c r="E1158" s="550"/>
      <c r="F1158" s="550"/>
      <c r="G1158" s="550"/>
    </row>
    <row r="1159" spans="1:7" x14ac:dyDescent="0.25">
      <c r="A1159" s="550"/>
      <c r="B1159" s="550"/>
      <c r="C1159" s="550"/>
      <c r="D1159" s="550"/>
      <c r="E1159" s="550"/>
      <c r="F1159" s="550"/>
      <c r="G1159" s="550"/>
    </row>
    <row r="1160" spans="1:7" x14ac:dyDescent="0.25">
      <c r="A1160" s="550"/>
      <c r="B1160" s="550"/>
      <c r="C1160" s="550"/>
      <c r="D1160" s="550"/>
      <c r="E1160" s="550"/>
      <c r="F1160" s="550"/>
      <c r="G1160" s="550"/>
    </row>
    <row r="1161" spans="1:7" x14ac:dyDescent="0.25">
      <c r="A1161" s="550"/>
      <c r="B1161" s="550"/>
      <c r="C1161" s="550"/>
      <c r="D1161" s="550"/>
      <c r="E1161" s="550"/>
      <c r="F1161" s="550"/>
      <c r="G1161" s="550"/>
    </row>
    <row r="1162" spans="1:7" x14ac:dyDescent="0.25">
      <c r="A1162" s="550"/>
      <c r="B1162" s="550"/>
      <c r="C1162" s="550"/>
      <c r="D1162" s="550"/>
      <c r="E1162" s="550"/>
      <c r="F1162" s="550"/>
      <c r="G1162" s="550"/>
    </row>
    <row r="1163" spans="1:7" x14ac:dyDescent="0.25">
      <c r="A1163" s="550"/>
      <c r="B1163" s="550"/>
      <c r="C1163" s="550"/>
      <c r="D1163" s="550"/>
      <c r="E1163" s="550"/>
      <c r="F1163" s="550"/>
      <c r="G1163" s="550"/>
    </row>
    <row r="1164" spans="1:7" x14ac:dyDescent="0.25">
      <c r="A1164" s="550"/>
      <c r="B1164" s="550"/>
      <c r="C1164" s="550"/>
      <c r="D1164" s="550"/>
      <c r="E1164" s="550"/>
      <c r="F1164" s="550"/>
      <c r="G1164" s="550"/>
    </row>
    <row r="1165" spans="1:7" x14ac:dyDescent="0.25">
      <c r="A1165" s="550"/>
      <c r="B1165" s="550"/>
      <c r="C1165" s="550"/>
      <c r="D1165" s="550"/>
      <c r="E1165" s="550"/>
      <c r="F1165" s="550"/>
      <c r="G1165" s="550"/>
    </row>
    <row r="1166" spans="1:7" x14ac:dyDescent="0.25">
      <c r="A1166" s="550"/>
      <c r="B1166" s="550"/>
      <c r="C1166" s="550"/>
      <c r="D1166" s="550"/>
      <c r="E1166" s="550"/>
      <c r="F1166" s="550"/>
      <c r="G1166" s="550"/>
    </row>
    <row r="1167" spans="1:7" x14ac:dyDescent="0.25">
      <c r="A1167" s="550"/>
      <c r="B1167" s="550"/>
      <c r="C1167" s="550"/>
      <c r="D1167" s="550"/>
      <c r="E1167" s="550"/>
      <c r="F1167" s="550"/>
      <c r="G1167" s="550"/>
    </row>
    <row r="1168" spans="1:7" x14ac:dyDescent="0.25">
      <c r="A1168" s="550"/>
      <c r="B1168" s="550"/>
      <c r="C1168" s="550"/>
      <c r="D1168" s="550"/>
      <c r="E1168" s="550"/>
      <c r="F1168" s="550"/>
      <c r="G1168" s="550"/>
    </row>
    <row r="1169" spans="1:7" x14ac:dyDescent="0.25">
      <c r="A1169" s="550"/>
      <c r="B1169" s="550"/>
      <c r="C1169" s="550"/>
      <c r="D1169" s="550"/>
      <c r="E1169" s="550"/>
      <c r="F1169" s="550"/>
      <c r="G1169" s="550"/>
    </row>
    <row r="1170" spans="1:7" x14ac:dyDescent="0.25">
      <c r="A1170" s="550"/>
      <c r="B1170" s="550"/>
      <c r="C1170" s="550"/>
      <c r="D1170" s="550"/>
      <c r="E1170" s="550"/>
      <c r="F1170" s="550"/>
      <c r="G1170" s="550"/>
    </row>
    <row r="1171" spans="1:7" x14ac:dyDescent="0.25">
      <c r="A1171" s="550"/>
      <c r="B1171" s="550"/>
      <c r="C1171" s="550"/>
      <c r="D1171" s="550"/>
      <c r="E1171" s="550"/>
      <c r="F1171" s="550"/>
      <c r="G1171" s="550"/>
    </row>
    <row r="1172" spans="1:7" x14ac:dyDescent="0.25">
      <c r="A1172" s="550"/>
      <c r="B1172" s="550"/>
      <c r="C1172" s="550"/>
      <c r="D1172" s="550"/>
      <c r="E1172" s="550"/>
      <c r="F1172" s="550"/>
      <c r="G1172" s="550"/>
    </row>
    <row r="1173" spans="1:7" x14ac:dyDescent="0.25">
      <c r="A1173" s="550"/>
      <c r="B1173" s="550"/>
      <c r="C1173" s="550"/>
      <c r="D1173" s="550"/>
      <c r="E1173" s="550"/>
      <c r="F1173" s="550"/>
      <c r="G1173" s="550"/>
    </row>
    <row r="1174" spans="1:7" x14ac:dyDescent="0.25">
      <c r="A1174" s="550"/>
      <c r="B1174" s="550"/>
      <c r="C1174" s="550"/>
      <c r="D1174" s="550"/>
      <c r="E1174" s="550"/>
      <c r="F1174" s="550"/>
      <c r="G1174" s="550"/>
    </row>
    <row r="1175" spans="1:7" x14ac:dyDescent="0.25">
      <c r="A1175" s="550"/>
      <c r="B1175" s="550"/>
      <c r="C1175" s="550"/>
      <c r="D1175" s="550"/>
      <c r="E1175" s="550"/>
      <c r="F1175" s="550"/>
      <c r="G1175" s="550"/>
    </row>
    <row r="1176" spans="1:7" x14ac:dyDescent="0.25">
      <c r="A1176" s="550"/>
      <c r="B1176" s="550"/>
      <c r="C1176" s="550"/>
      <c r="D1176" s="550"/>
      <c r="E1176" s="550"/>
      <c r="F1176" s="550"/>
      <c r="G1176" s="550"/>
    </row>
    <row r="1177" spans="1:7" x14ac:dyDescent="0.25">
      <c r="A1177" s="550"/>
      <c r="B1177" s="550"/>
      <c r="C1177" s="550"/>
      <c r="D1177" s="550"/>
      <c r="E1177" s="550"/>
      <c r="F1177" s="550"/>
      <c r="G1177" s="550"/>
    </row>
    <row r="1178" spans="1:7" x14ac:dyDescent="0.25">
      <c r="A1178" s="550"/>
      <c r="B1178" s="550"/>
      <c r="C1178" s="550"/>
      <c r="D1178" s="550"/>
      <c r="E1178" s="550"/>
      <c r="F1178" s="550"/>
      <c r="G1178" s="550"/>
    </row>
    <row r="1179" spans="1:7" x14ac:dyDescent="0.25">
      <c r="A1179" s="550"/>
      <c r="B1179" s="550"/>
      <c r="C1179" s="550"/>
      <c r="D1179" s="550"/>
      <c r="E1179" s="550"/>
      <c r="F1179" s="550"/>
      <c r="G1179" s="550"/>
    </row>
    <row r="1180" spans="1:7" x14ac:dyDescent="0.25">
      <c r="A1180" s="550"/>
      <c r="B1180" s="550"/>
      <c r="C1180" s="550"/>
      <c r="D1180" s="550"/>
      <c r="E1180" s="550"/>
      <c r="F1180" s="550"/>
      <c r="G1180" s="550"/>
    </row>
    <row r="1181" spans="1:7" x14ac:dyDescent="0.25">
      <c r="A1181" s="550"/>
      <c r="B1181" s="550"/>
      <c r="C1181" s="550"/>
      <c r="D1181" s="550"/>
      <c r="E1181" s="550"/>
      <c r="F1181" s="550"/>
      <c r="G1181" s="550"/>
    </row>
    <row r="1182" spans="1:7" x14ac:dyDescent="0.25">
      <c r="A1182" s="550"/>
      <c r="B1182" s="550"/>
      <c r="C1182" s="550"/>
      <c r="D1182" s="550"/>
      <c r="E1182" s="550"/>
      <c r="F1182" s="550"/>
      <c r="G1182" s="550"/>
    </row>
    <row r="1183" spans="1:7" x14ac:dyDescent="0.25">
      <c r="A1183" s="550"/>
      <c r="B1183" s="550"/>
      <c r="C1183" s="550"/>
      <c r="D1183" s="550"/>
      <c r="E1183" s="550"/>
      <c r="F1183" s="550"/>
      <c r="G1183" s="550"/>
    </row>
    <row r="1184" spans="1:7" x14ac:dyDescent="0.25">
      <c r="A1184" s="550"/>
      <c r="B1184" s="550"/>
      <c r="C1184" s="550"/>
      <c r="D1184" s="550"/>
      <c r="E1184" s="550"/>
      <c r="F1184" s="550"/>
      <c r="G1184" s="550"/>
    </row>
    <row r="1185" spans="1:7" x14ac:dyDescent="0.25">
      <c r="A1185" s="550"/>
      <c r="B1185" s="550"/>
      <c r="C1185" s="550"/>
      <c r="D1185" s="550"/>
      <c r="E1185" s="550"/>
      <c r="F1185" s="550"/>
      <c r="G1185" s="550"/>
    </row>
    <row r="1186" spans="1:7" x14ac:dyDescent="0.25">
      <c r="A1186" s="550"/>
      <c r="B1186" s="550"/>
      <c r="C1186" s="550"/>
      <c r="D1186" s="550"/>
      <c r="E1186" s="550"/>
      <c r="F1186" s="550"/>
      <c r="G1186" s="550"/>
    </row>
    <row r="1187" spans="1:7" x14ac:dyDescent="0.25">
      <c r="A1187" s="550"/>
      <c r="B1187" s="550"/>
      <c r="C1187" s="550"/>
      <c r="D1187" s="550"/>
      <c r="E1187" s="550"/>
      <c r="F1187" s="550"/>
      <c r="G1187" s="550"/>
    </row>
    <row r="1188" spans="1:7" x14ac:dyDescent="0.25">
      <c r="A1188" s="550"/>
      <c r="B1188" s="550"/>
      <c r="C1188" s="550"/>
      <c r="D1188" s="550"/>
      <c r="E1188" s="550"/>
      <c r="F1188" s="550"/>
      <c r="G1188" s="550"/>
    </row>
    <row r="1189" spans="1:7" x14ac:dyDescent="0.25">
      <c r="A1189" s="550"/>
      <c r="B1189" s="550"/>
      <c r="C1189" s="550"/>
      <c r="D1189" s="550"/>
      <c r="E1189" s="550"/>
      <c r="F1189" s="550"/>
      <c r="G1189" s="550"/>
    </row>
    <row r="1190" spans="1:7" x14ac:dyDescent="0.25">
      <c r="A1190" s="550"/>
      <c r="B1190" s="550"/>
      <c r="C1190" s="550"/>
      <c r="D1190" s="550"/>
      <c r="E1190" s="550"/>
      <c r="F1190" s="550"/>
      <c r="G1190" s="550"/>
    </row>
    <row r="1191" spans="1:7" x14ac:dyDescent="0.25">
      <c r="A1191" s="550"/>
      <c r="B1191" s="550"/>
      <c r="C1191" s="550"/>
      <c r="D1191" s="550"/>
      <c r="E1191" s="550"/>
      <c r="F1191" s="550"/>
      <c r="G1191" s="550"/>
    </row>
    <row r="1192" spans="1:7" x14ac:dyDescent="0.25">
      <c r="A1192" s="550"/>
      <c r="B1192" s="550"/>
      <c r="C1192" s="550"/>
      <c r="D1192" s="550"/>
      <c r="E1192" s="550"/>
      <c r="F1192" s="550"/>
      <c r="G1192" s="550"/>
    </row>
    <row r="1193" spans="1:7" x14ac:dyDescent="0.25">
      <c r="A1193" s="550"/>
      <c r="B1193" s="550"/>
      <c r="C1193" s="550"/>
      <c r="D1193" s="550"/>
      <c r="E1193" s="550"/>
      <c r="F1193" s="550"/>
      <c r="G1193" s="550"/>
    </row>
    <row r="1194" spans="1:7" x14ac:dyDescent="0.25">
      <c r="A1194" s="550"/>
      <c r="B1194" s="550"/>
      <c r="C1194" s="550"/>
      <c r="D1194" s="550"/>
      <c r="E1194" s="550"/>
      <c r="F1194" s="550"/>
      <c r="G1194" s="550"/>
    </row>
    <row r="1195" spans="1:7" x14ac:dyDescent="0.25">
      <c r="A1195" s="550"/>
      <c r="B1195" s="550"/>
      <c r="C1195" s="550"/>
      <c r="D1195" s="550"/>
      <c r="E1195" s="550"/>
      <c r="F1195" s="550"/>
      <c r="G1195" s="550"/>
    </row>
    <row r="1196" spans="1:7" x14ac:dyDescent="0.25">
      <c r="A1196" s="550"/>
      <c r="B1196" s="550"/>
      <c r="C1196" s="550"/>
      <c r="D1196" s="550"/>
      <c r="E1196" s="550"/>
      <c r="F1196" s="550"/>
      <c r="G1196" s="550"/>
    </row>
    <row r="1197" spans="1:7" x14ac:dyDescent="0.25">
      <c r="A1197" s="550"/>
      <c r="B1197" s="550"/>
      <c r="C1197" s="550"/>
      <c r="D1197" s="550"/>
      <c r="E1197" s="550"/>
      <c r="F1197" s="550"/>
      <c r="G1197" s="550"/>
    </row>
    <row r="1198" spans="1:7" x14ac:dyDescent="0.25">
      <c r="A1198" s="550"/>
      <c r="B1198" s="550"/>
      <c r="C1198" s="550"/>
      <c r="D1198" s="550"/>
      <c r="E1198" s="550"/>
      <c r="F1198" s="550"/>
      <c r="G1198" s="550"/>
    </row>
    <row r="1199" spans="1:7" x14ac:dyDescent="0.25">
      <c r="A1199" s="550"/>
      <c r="B1199" s="550"/>
      <c r="C1199" s="550"/>
      <c r="D1199" s="550"/>
      <c r="E1199" s="550"/>
      <c r="F1199" s="550"/>
      <c r="G1199" s="550"/>
    </row>
    <row r="1200" spans="1:7" x14ac:dyDescent="0.25">
      <c r="A1200" s="550"/>
      <c r="B1200" s="550"/>
      <c r="C1200" s="550"/>
      <c r="D1200" s="550"/>
      <c r="E1200" s="550"/>
      <c r="F1200" s="550"/>
      <c r="G1200" s="550"/>
    </row>
    <row r="1201" spans="1:7" x14ac:dyDescent="0.25">
      <c r="A1201" s="550"/>
      <c r="B1201" s="550"/>
      <c r="C1201" s="550"/>
      <c r="D1201" s="550"/>
      <c r="E1201" s="550"/>
      <c r="F1201" s="550"/>
      <c r="G1201" s="550"/>
    </row>
    <row r="1202" spans="1:7" x14ac:dyDescent="0.25">
      <c r="A1202" s="550"/>
      <c r="B1202" s="550"/>
      <c r="C1202" s="550"/>
      <c r="D1202" s="550"/>
      <c r="E1202" s="550"/>
      <c r="F1202" s="550"/>
      <c r="G1202" s="550"/>
    </row>
    <row r="1203" spans="1:7" x14ac:dyDescent="0.25">
      <c r="A1203" s="550"/>
      <c r="B1203" s="550"/>
      <c r="C1203" s="550"/>
      <c r="D1203" s="550"/>
      <c r="E1203" s="550"/>
      <c r="F1203" s="550"/>
      <c r="G1203" s="550"/>
    </row>
    <row r="1204" spans="1:7" x14ac:dyDescent="0.25">
      <c r="A1204" s="550"/>
      <c r="B1204" s="550"/>
      <c r="C1204" s="550"/>
      <c r="D1204" s="550"/>
      <c r="E1204" s="550"/>
      <c r="F1204" s="550"/>
      <c r="G1204" s="550"/>
    </row>
    <row r="1205" spans="1:7" x14ac:dyDescent="0.25">
      <c r="A1205" s="550"/>
      <c r="B1205" s="550"/>
      <c r="C1205" s="550"/>
      <c r="D1205" s="550"/>
      <c r="E1205" s="550"/>
      <c r="F1205" s="550"/>
      <c r="G1205" s="550"/>
    </row>
    <row r="1206" spans="1:7" x14ac:dyDescent="0.25">
      <c r="A1206" s="550"/>
      <c r="B1206" s="550"/>
      <c r="C1206" s="550"/>
      <c r="D1206" s="550"/>
      <c r="E1206" s="550"/>
      <c r="F1206" s="550"/>
      <c r="G1206" s="550"/>
    </row>
    <row r="1207" spans="1:7" x14ac:dyDescent="0.25">
      <c r="A1207" s="550"/>
      <c r="B1207" s="550"/>
      <c r="C1207" s="550"/>
      <c r="D1207" s="550"/>
      <c r="E1207" s="550"/>
      <c r="F1207" s="550"/>
      <c r="G1207" s="550"/>
    </row>
    <row r="1208" spans="1:7" x14ac:dyDescent="0.25">
      <c r="A1208" s="550"/>
      <c r="B1208" s="550"/>
      <c r="C1208" s="550"/>
      <c r="D1208" s="550"/>
      <c r="E1208" s="550"/>
      <c r="F1208" s="550"/>
      <c r="G1208" s="550"/>
    </row>
    <row r="1209" spans="1:7" x14ac:dyDescent="0.25">
      <c r="A1209" s="550"/>
      <c r="B1209" s="550"/>
      <c r="C1209" s="550"/>
      <c r="D1209" s="550"/>
      <c r="E1209" s="550"/>
      <c r="F1209" s="550"/>
      <c r="G1209" s="550"/>
    </row>
    <row r="1210" spans="1:7" x14ac:dyDescent="0.25">
      <c r="A1210" s="550"/>
      <c r="B1210" s="550"/>
      <c r="C1210" s="550"/>
      <c r="D1210" s="550"/>
      <c r="E1210" s="550"/>
      <c r="F1210" s="550"/>
      <c r="G1210" s="550"/>
    </row>
    <row r="1211" spans="1:7" x14ac:dyDescent="0.25">
      <c r="A1211" s="550"/>
      <c r="B1211" s="550"/>
      <c r="C1211" s="550"/>
      <c r="D1211" s="550"/>
      <c r="E1211" s="550"/>
      <c r="F1211" s="550"/>
      <c r="G1211" s="550"/>
    </row>
    <row r="1212" spans="1:7" x14ac:dyDescent="0.25">
      <c r="A1212" s="550"/>
      <c r="B1212" s="550"/>
      <c r="C1212" s="550"/>
      <c r="D1212" s="550"/>
      <c r="E1212" s="550"/>
      <c r="F1212" s="550"/>
      <c r="G1212" s="550"/>
    </row>
    <row r="1213" spans="1:7" x14ac:dyDescent="0.25">
      <c r="A1213" s="550"/>
      <c r="B1213" s="550"/>
      <c r="C1213" s="550"/>
      <c r="D1213" s="550"/>
      <c r="E1213" s="550"/>
      <c r="F1213" s="550"/>
      <c r="G1213" s="550"/>
    </row>
    <row r="1214" spans="1:7" x14ac:dyDescent="0.25">
      <c r="A1214" s="550"/>
      <c r="B1214" s="550"/>
      <c r="C1214" s="550"/>
      <c r="D1214" s="550"/>
      <c r="E1214" s="550"/>
      <c r="F1214" s="550"/>
      <c r="G1214" s="550"/>
    </row>
    <row r="1215" spans="1:7" x14ac:dyDescent="0.25">
      <c r="A1215" s="550"/>
      <c r="B1215" s="550"/>
      <c r="C1215" s="550"/>
      <c r="D1215" s="550"/>
      <c r="E1215" s="550"/>
      <c r="F1215" s="550"/>
      <c r="G1215" s="550"/>
    </row>
    <row r="1216" spans="1:7" x14ac:dyDescent="0.25">
      <c r="A1216" s="550"/>
      <c r="B1216" s="550"/>
      <c r="C1216" s="550"/>
      <c r="D1216" s="550"/>
      <c r="E1216" s="550"/>
      <c r="F1216" s="550"/>
      <c r="G1216" s="550"/>
    </row>
    <row r="1217" spans="1:7" x14ac:dyDescent="0.25">
      <c r="A1217" s="550"/>
      <c r="B1217" s="550"/>
      <c r="C1217" s="550"/>
      <c r="D1217" s="550"/>
      <c r="E1217" s="550"/>
      <c r="F1217" s="550"/>
      <c r="G1217" s="550"/>
    </row>
    <row r="1218" spans="1:7" x14ac:dyDescent="0.25">
      <c r="A1218" s="550"/>
      <c r="B1218" s="550"/>
      <c r="C1218" s="550"/>
      <c r="D1218" s="550"/>
      <c r="E1218" s="550"/>
      <c r="F1218" s="550"/>
      <c r="G1218" s="550"/>
    </row>
    <row r="1219" spans="1:7" x14ac:dyDescent="0.25">
      <c r="A1219" s="550"/>
      <c r="B1219" s="550"/>
      <c r="C1219" s="550"/>
      <c r="D1219" s="550"/>
      <c r="E1219" s="550"/>
      <c r="F1219" s="550"/>
      <c r="G1219" s="550"/>
    </row>
    <row r="1220" spans="1:7" x14ac:dyDescent="0.25">
      <c r="A1220" s="550"/>
      <c r="B1220" s="550"/>
      <c r="C1220" s="550"/>
      <c r="D1220" s="550"/>
      <c r="E1220" s="550"/>
      <c r="F1220" s="550"/>
      <c r="G1220" s="550"/>
    </row>
    <row r="1221" spans="1:7" x14ac:dyDescent="0.25">
      <c r="A1221" s="550"/>
      <c r="B1221" s="550"/>
      <c r="C1221" s="550"/>
      <c r="D1221" s="550"/>
      <c r="E1221" s="550"/>
      <c r="F1221" s="550"/>
      <c r="G1221" s="550"/>
    </row>
    <row r="1222" spans="1:7" x14ac:dyDescent="0.25">
      <c r="A1222" s="550"/>
      <c r="B1222" s="550"/>
      <c r="C1222" s="550"/>
      <c r="D1222" s="550"/>
      <c r="E1222" s="550"/>
      <c r="F1222" s="550"/>
      <c r="G1222" s="550"/>
    </row>
    <row r="1223" spans="1:7" x14ac:dyDescent="0.25">
      <c r="A1223" s="550"/>
      <c r="B1223" s="550"/>
      <c r="C1223" s="550"/>
      <c r="D1223" s="550"/>
      <c r="E1223" s="550"/>
      <c r="F1223" s="550"/>
      <c r="G1223" s="550"/>
    </row>
    <row r="1224" spans="1:7" x14ac:dyDescent="0.25">
      <c r="A1224" s="550"/>
      <c r="B1224" s="550"/>
      <c r="C1224" s="550"/>
      <c r="D1224" s="550"/>
      <c r="E1224" s="550"/>
      <c r="F1224" s="550"/>
      <c r="G1224" s="550"/>
    </row>
    <row r="1225" spans="1:7" x14ac:dyDescent="0.25">
      <c r="A1225" s="550"/>
      <c r="B1225" s="550"/>
      <c r="C1225" s="550"/>
      <c r="D1225" s="550"/>
      <c r="E1225" s="550"/>
      <c r="F1225" s="550"/>
      <c r="G1225" s="550"/>
    </row>
    <row r="1226" spans="1:7" x14ac:dyDescent="0.25">
      <c r="A1226" s="550"/>
      <c r="B1226" s="550"/>
      <c r="C1226" s="550"/>
      <c r="D1226" s="550"/>
      <c r="E1226" s="550"/>
      <c r="F1226" s="550"/>
      <c r="G1226" s="550"/>
    </row>
    <row r="1227" spans="1:7" x14ac:dyDescent="0.25">
      <c r="A1227" s="550"/>
      <c r="B1227" s="550"/>
      <c r="C1227" s="550"/>
      <c r="D1227" s="550"/>
      <c r="E1227" s="550"/>
      <c r="F1227" s="550"/>
      <c r="G1227" s="550"/>
    </row>
    <row r="1228" spans="1:7" x14ac:dyDescent="0.25">
      <c r="A1228" s="550"/>
      <c r="B1228" s="550"/>
      <c r="C1228" s="550"/>
      <c r="D1228" s="550"/>
      <c r="E1228" s="550"/>
      <c r="F1228" s="550"/>
      <c r="G1228" s="550"/>
    </row>
    <row r="1229" spans="1:7" x14ac:dyDescent="0.25">
      <c r="A1229" s="550"/>
      <c r="B1229" s="550"/>
      <c r="C1229" s="550"/>
      <c r="D1229" s="550"/>
      <c r="E1229" s="550"/>
      <c r="F1229" s="550"/>
      <c r="G1229" s="550"/>
    </row>
    <row r="1230" spans="1:7" x14ac:dyDescent="0.25">
      <c r="A1230" s="550"/>
      <c r="B1230" s="550"/>
      <c r="C1230" s="550"/>
      <c r="D1230" s="550"/>
      <c r="E1230" s="550"/>
      <c r="F1230" s="550"/>
      <c r="G1230" s="550"/>
    </row>
    <row r="1231" spans="1:7" x14ac:dyDescent="0.25">
      <c r="A1231" s="550"/>
      <c r="B1231" s="550"/>
      <c r="C1231" s="550"/>
      <c r="D1231" s="550"/>
      <c r="E1231" s="550"/>
      <c r="F1231" s="550"/>
      <c r="G1231" s="550"/>
    </row>
    <row r="1232" spans="1:7" x14ac:dyDescent="0.25">
      <c r="A1232" s="550"/>
      <c r="B1232" s="550"/>
      <c r="C1232" s="550"/>
      <c r="D1232" s="550"/>
      <c r="E1232" s="550"/>
      <c r="F1232" s="550"/>
      <c r="G1232" s="550"/>
    </row>
    <row r="1233" spans="1:7" x14ac:dyDescent="0.25">
      <c r="A1233" s="550"/>
      <c r="B1233" s="550"/>
      <c r="C1233" s="550"/>
      <c r="D1233" s="550"/>
      <c r="E1233" s="550"/>
      <c r="F1233" s="550"/>
      <c r="G1233" s="550"/>
    </row>
    <row r="1234" spans="1:7" x14ac:dyDescent="0.25">
      <c r="A1234" s="550"/>
      <c r="B1234" s="550"/>
      <c r="C1234" s="550"/>
      <c r="D1234" s="550"/>
      <c r="E1234" s="550"/>
      <c r="F1234" s="550"/>
      <c r="G1234" s="550"/>
    </row>
    <row r="1235" spans="1:7" x14ac:dyDescent="0.25">
      <c r="A1235" s="550"/>
      <c r="B1235" s="550"/>
      <c r="C1235" s="550"/>
      <c r="D1235" s="550"/>
      <c r="E1235" s="550"/>
      <c r="F1235" s="550"/>
      <c r="G1235" s="550"/>
    </row>
    <row r="1236" spans="1:7" x14ac:dyDescent="0.25">
      <c r="A1236" s="550"/>
      <c r="B1236" s="550"/>
      <c r="C1236" s="550"/>
      <c r="D1236" s="550"/>
      <c r="E1236" s="550"/>
      <c r="F1236" s="550"/>
      <c r="G1236" s="550"/>
    </row>
    <row r="1237" spans="1:7" x14ac:dyDescent="0.25">
      <c r="A1237" s="550"/>
      <c r="B1237" s="550"/>
      <c r="C1237" s="550"/>
      <c r="D1237" s="550"/>
      <c r="E1237" s="550"/>
      <c r="F1237" s="550"/>
      <c r="G1237" s="550"/>
    </row>
    <row r="1238" spans="1:7" x14ac:dyDescent="0.25">
      <c r="A1238" s="550"/>
      <c r="B1238" s="550"/>
      <c r="C1238" s="550"/>
      <c r="D1238" s="550"/>
      <c r="E1238" s="550"/>
      <c r="F1238" s="550"/>
      <c r="G1238" s="550"/>
    </row>
    <row r="1239" spans="1:7" x14ac:dyDescent="0.25">
      <c r="A1239" s="550"/>
      <c r="B1239" s="550"/>
      <c r="C1239" s="550"/>
      <c r="D1239" s="550"/>
      <c r="E1239" s="550"/>
      <c r="F1239" s="550"/>
      <c r="G1239" s="550"/>
    </row>
    <row r="1240" spans="1:7" x14ac:dyDescent="0.25">
      <c r="A1240" s="550"/>
      <c r="B1240" s="550"/>
      <c r="C1240" s="550"/>
      <c r="D1240" s="550"/>
      <c r="E1240" s="550"/>
      <c r="F1240" s="550"/>
      <c r="G1240" s="550"/>
    </row>
    <row r="1241" spans="1:7" x14ac:dyDescent="0.25">
      <c r="A1241" s="550"/>
      <c r="B1241" s="550"/>
      <c r="C1241" s="550"/>
      <c r="D1241" s="550"/>
      <c r="E1241" s="550"/>
      <c r="F1241" s="550"/>
      <c r="G1241" s="550"/>
    </row>
    <row r="1242" spans="1:7" x14ac:dyDescent="0.25">
      <c r="A1242" s="550"/>
      <c r="B1242" s="550"/>
      <c r="C1242" s="550"/>
      <c r="D1242" s="550"/>
      <c r="E1242" s="550"/>
      <c r="F1242" s="550"/>
      <c r="G1242" s="550"/>
    </row>
    <row r="1243" spans="1:7" x14ac:dyDescent="0.25">
      <c r="A1243" s="550"/>
      <c r="B1243" s="550"/>
      <c r="C1243" s="550"/>
      <c r="D1243" s="550"/>
      <c r="E1243" s="550"/>
      <c r="F1243" s="550"/>
      <c r="G1243" s="550"/>
    </row>
    <row r="1244" spans="1:7" x14ac:dyDescent="0.25">
      <c r="A1244" s="550"/>
      <c r="B1244" s="550"/>
      <c r="C1244" s="550"/>
      <c r="D1244" s="550"/>
      <c r="E1244" s="550"/>
      <c r="F1244" s="550"/>
      <c r="G1244" s="550"/>
    </row>
    <row r="1245" spans="1:7" x14ac:dyDescent="0.25">
      <c r="A1245" s="550"/>
      <c r="B1245" s="550"/>
      <c r="C1245" s="550"/>
      <c r="D1245" s="550"/>
      <c r="E1245" s="550"/>
      <c r="F1245" s="550"/>
      <c r="G1245" s="550"/>
    </row>
    <row r="1246" spans="1:7" x14ac:dyDescent="0.25">
      <c r="A1246" s="550"/>
      <c r="B1246" s="550"/>
      <c r="C1246" s="550"/>
      <c r="D1246" s="550"/>
      <c r="E1246" s="550"/>
      <c r="F1246" s="550"/>
      <c r="G1246" s="550"/>
    </row>
    <row r="1247" spans="1:7" x14ac:dyDescent="0.25">
      <c r="A1247" s="550"/>
      <c r="B1247" s="550"/>
      <c r="C1247" s="550"/>
      <c r="D1247" s="550"/>
      <c r="E1247" s="550"/>
      <c r="F1247" s="550"/>
      <c r="G1247" s="550"/>
    </row>
    <row r="1248" spans="1:7" x14ac:dyDescent="0.25">
      <c r="A1248" s="550"/>
      <c r="B1248" s="550"/>
      <c r="C1248" s="550"/>
      <c r="D1248" s="550"/>
      <c r="E1248" s="550"/>
      <c r="F1248" s="550"/>
      <c r="G1248" s="550"/>
    </row>
    <row r="1249" spans="1:7" x14ac:dyDescent="0.25">
      <c r="A1249" s="550"/>
      <c r="B1249" s="550"/>
      <c r="C1249" s="550"/>
      <c r="D1249" s="550"/>
      <c r="E1249" s="550"/>
      <c r="F1249" s="550"/>
      <c r="G1249" s="550"/>
    </row>
    <row r="1250" spans="1:7" x14ac:dyDescent="0.25">
      <c r="A1250" s="550"/>
      <c r="B1250" s="550"/>
      <c r="C1250" s="550"/>
      <c r="D1250" s="550"/>
      <c r="E1250" s="550"/>
      <c r="F1250" s="550"/>
      <c r="G1250" s="550"/>
    </row>
    <row r="1251" spans="1:7" x14ac:dyDescent="0.25">
      <c r="A1251" s="550"/>
      <c r="B1251" s="550"/>
      <c r="C1251" s="550"/>
      <c r="D1251" s="550"/>
      <c r="E1251" s="550"/>
      <c r="F1251" s="550"/>
      <c r="G1251" s="550"/>
    </row>
    <row r="1252" spans="1:7" x14ac:dyDescent="0.25">
      <c r="A1252" s="550"/>
      <c r="B1252" s="550"/>
      <c r="C1252" s="550"/>
      <c r="D1252" s="550"/>
      <c r="E1252" s="550"/>
      <c r="F1252" s="550"/>
      <c r="G1252" s="550"/>
    </row>
    <row r="1253" spans="1:7" x14ac:dyDescent="0.25">
      <c r="A1253" s="550"/>
      <c r="B1253" s="550"/>
      <c r="C1253" s="550"/>
      <c r="D1253" s="550"/>
      <c r="E1253" s="550"/>
      <c r="F1253" s="550"/>
      <c r="G1253" s="550"/>
    </row>
    <row r="1254" spans="1:7" x14ac:dyDescent="0.25">
      <c r="A1254" s="550"/>
      <c r="B1254" s="550"/>
      <c r="C1254" s="550"/>
      <c r="D1254" s="550"/>
      <c r="E1254" s="550"/>
      <c r="F1254" s="550"/>
      <c r="G1254" s="550"/>
    </row>
    <row r="1255" spans="1:7" x14ac:dyDescent="0.25">
      <c r="A1255" s="550"/>
      <c r="B1255" s="550"/>
      <c r="C1255" s="550"/>
      <c r="D1255" s="550"/>
      <c r="E1255" s="550"/>
      <c r="F1255" s="550"/>
      <c r="G1255" s="550"/>
    </row>
    <row r="1256" spans="1:7" x14ac:dyDescent="0.25">
      <c r="A1256" s="550"/>
      <c r="B1256" s="550"/>
      <c r="C1256" s="550"/>
      <c r="D1256" s="550"/>
      <c r="E1256" s="550"/>
      <c r="F1256" s="550"/>
      <c r="G1256" s="550"/>
    </row>
    <row r="1257" spans="1:7" x14ac:dyDescent="0.25">
      <c r="A1257" s="550"/>
      <c r="B1257" s="550"/>
      <c r="C1257" s="550"/>
      <c r="D1257" s="550"/>
      <c r="E1257" s="550"/>
      <c r="F1257" s="550"/>
      <c r="G1257" s="550"/>
    </row>
    <row r="1258" spans="1:7" x14ac:dyDescent="0.25">
      <c r="A1258" s="550"/>
      <c r="B1258" s="550"/>
      <c r="C1258" s="550"/>
      <c r="D1258" s="550"/>
      <c r="E1258" s="550"/>
      <c r="F1258" s="550"/>
      <c r="G1258" s="550"/>
    </row>
    <row r="1259" spans="1:7" x14ac:dyDescent="0.25">
      <c r="A1259" s="550"/>
      <c r="B1259" s="550"/>
      <c r="C1259" s="550"/>
      <c r="D1259" s="550"/>
      <c r="E1259" s="550"/>
      <c r="F1259" s="550"/>
      <c r="G1259" s="550"/>
    </row>
    <row r="1260" spans="1:7" x14ac:dyDescent="0.25">
      <c r="A1260" s="550"/>
      <c r="B1260" s="550"/>
      <c r="C1260" s="550"/>
      <c r="D1260" s="550"/>
      <c r="E1260" s="550"/>
      <c r="F1260" s="550"/>
      <c r="G1260" s="550"/>
    </row>
    <row r="1261" spans="1:7" x14ac:dyDescent="0.25">
      <c r="A1261" s="550"/>
      <c r="B1261" s="550"/>
      <c r="C1261" s="550"/>
      <c r="D1261" s="550"/>
      <c r="E1261" s="550"/>
      <c r="F1261" s="550"/>
      <c r="G1261" s="550"/>
    </row>
    <row r="1262" spans="1:7" x14ac:dyDescent="0.25">
      <c r="A1262" s="550"/>
      <c r="B1262" s="550"/>
      <c r="C1262" s="550"/>
      <c r="D1262" s="550"/>
      <c r="E1262" s="550"/>
      <c r="F1262" s="550"/>
      <c r="G1262" s="550"/>
    </row>
    <row r="1263" spans="1:7" x14ac:dyDescent="0.25">
      <c r="A1263" s="550"/>
      <c r="B1263" s="550"/>
      <c r="C1263" s="550"/>
      <c r="D1263" s="550"/>
      <c r="E1263" s="550"/>
      <c r="F1263" s="550"/>
      <c r="G1263" s="550"/>
    </row>
    <row r="1264" spans="1:7" x14ac:dyDescent="0.25">
      <c r="A1264" s="550"/>
      <c r="B1264" s="550"/>
      <c r="C1264" s="550"/>
      <c r="D1264" s="550"/>
      <c r="E1264" s="550"/>
      <c r="F1264" s="550"/>
      <c r="G1264" s="550"/>
    </row>
    <row r="1265" spans="1:7" x14ac:dyDescent="0.25">
      <c r="A1265" s="550"/>
      <c r="B1265" s="550"/>
      <c r="C1265" s="550"/>
      <c r="D1265" s="550"/>
      <c r="E1265" s="550"/>
      <c r="F1265" s="550"/>
      <c r="G1265" s="550"/>
    </row>
    <row r="1266" spans="1:7" x14ac:dyDescent="0.25">
      <c r="A1266" s="550"/>
      <c r="B1266" s="550"/>
      <c r="C1266" s="550"/>
      <c r="D1266" s="550"/>
      <c r="E1266" s="550"/>
      <c r="F1266" s="550"/>
      <c r="G1266" s="550"/>
    </row>
    <row r="1267" spans="1:7" x14ac:dyDescent="0.25">
      <c r="A1267" s="550"/>
      <c r="B1267" s="550"/>
      <c r="C1267" s="550"/>
      <c r="D1267" s="550"/>
      <c r="E1267" s="550"/>
      <c r="F1267" s="550"/>
      <c r="G1267" s="550"/>
    </row>
    <row r="1268" spans="1:7" x14ac:dyDescent="0.25">
      <c r="A1268" s="550"/>
      <c r="B1268" s="550"/>
      <c r="C1268" s="550"/>
      <c r="D1268" s="550"/>
      <c r="E1268" s="550"/>
      <c r="F1268" s="550"/>
      <c r="G1268" s="550"/>
    </row>
    <row r="1269" spans="1:7" x14ac:dyDescent="0.25">
      <c r="A1269" s="550"/>
      <c r="B1269" s="550"/>
      <c r="C1269" s="550"/>
      <c r="D1269" s="550"/>
      <c r="E1269" s="550"/>
      <c r="F1269" s="550"/>
      <c r="G1269" s="550"/>
    </row>
    <row r="1270" spans="1:7" x14ac:dyDescent="0.25">
      <c r="A1270" s="550"/>
      <c r="B1270" s="550"/>
      <c r="C1270" s="550"/>
      <c r="D1270" s="550"/>
      <c r="E1270" s="550"/>
      <c r="F1270" s="550"/>
      <c r="G1270" s="550"/>
    </row>
    <row r="1271" spans="1:7" x14ac:dyDescent="0.25">
      <c r="A1271" s="550"/>
      <c r="B1271" s="550"/>
      <c r="C1271" s="550"/>
      <c r="D1271" s="550"/>
      <c r="E1271" s="550"/>
      <c r="F1271" s="550"/>
      <c r="G1271" s="550"/>
    </row>
    <row r="1272" spans="1:7" x14ac:dyDescent="0.25">
      <c r="A1272" s="550"/>
      <c r="B1272" s="550"/>
      <c r="C1272" s="550"/>
      <c r="D1272" s="550"/>
      <c r="E1272" s="550"/>
      <c r="F1272" s="550"/>
      <c r="G1272" s="550"/>
    </row>
    <row r="1273" spans="1:7" x14ac:dyDescent="0.25">
      <c r="A1273" s="550"/>
      <c r="B1273" s="550"/>
      <c r="C1273" s="550"/>
      <c r="D1273" s="550"/>
      <c r="E1273" s="550"/>
      <c r="F1273" s="550"/>
      <c r="G1273" s="550"/>
    </row>
    <row r="1274" spans="1:7" x14ac:dyDescent="0.25">
      <c r="A1274" s="550"/>
      <c r="B1274" s="550"/>
      <c r="C1274" s="550"/>
      <c r="D1274" s="550"/>
      <c r="E1274" s="550"/>
      <c r="F1274" s="550"/>
      <c r="G1274" s="550"/>
    </row>
    <row r="1275" spans="1:7" x14ac:dyDescent="0.25">
      <c r="A1275" s="550"/>
      <c r="B1275" s="550"/>
      <c r="C1275" s="550"/>
      <c r="D1275" s="550"/>
      <c r="E1275" s="550"/>
      <c r="F1275" s="550"/>
      <c r="G1275" s="550"/>
    </row>
    <row r="1276" spans="1:7" x14ac:dyDescent="0.25">
      <c r="A1276" s="550"/>
      <c r="B1276" s="550"/>
      <c r="C1276" s="550"/>
      <c r="D1276" s="550"/>
      <c r="E1276" s="550"/>
      <c r="F1276" s="550"/>
      <c r="G1276" s="550"/>
    </row>
    <row r="1277" spans="1:7" x14ac:dyDescent="0.25">
      <c r="A1277" s="550"/>
      <c r="B1277" s="550"/>
      <c r="C1277" s="550"/>
      <c r="D1277" s="550"/>
      <c r="E1277" s="550"/>
      <c r="F1277" s="550"/>
      <c r="G1277" s="550"/>
    </row>
    <row r="1278" spans="1:7" x14ac:dyDescent="0.25">
      <c r="A1278" s="550"/>
      <c r="B1278" s="550"/>
      <c r="C1278" s="550"/>
      <c r="D1278" s="550"/>
      <c r="E1278" s="550"/>
      <c r="F1278" s="550"/>
      <c r="G1278" s="550"/>
    </row>
    <row r="1279" spans="1:7" x14ac:dyDescent="0.25">
      <c r="A1279" s="550"/>
      <c r="B1279" s="550"/>
      <c r="C1279" s="550"/>
      <c r="D1279" s="550"/>
      <c r="E1279" s="550"/>
      <c r="F1279" s="550"/>
      <c r="G1279" s="550"/>
    </row>
    <row r="1280" spans="1:7" x14ac:dyDescent="0.25">
      <c r="A1280" s="550"/>
      <c r="B1280" s="550"/>
      <c r="C1280" s="550"/>
      <c r="D1280" s="550"/>
      <c r="E1280" s="550"/>
      <c r="F1280" s="550"/>
      <c r="G1280" s="550"/>
    </row>
    <row r="1281" spans="1:7" x14ac:dyDescent="0.25">
      <c r="A1281" s="550"/>
      <c r="B1281" s="550"/>
      <c r="C1281" s="550"/>
      <c r="D1281" s="550"/>
      <c r="E1281" s="550"/>
      <c r="F1281" s="550"/>
      <c r="G1281" s="550"/>
    </row>
    <row r="1282" spans="1:7" x14ac:dyDescent="0.25">
      <c r="A1282" s="550"/>
      <c r="B1282" s="550"/>
      <c r="C1282" s="550"/>
      <c r="D1282" s="550"/>
      <c r="E1282" s="550"/>
      <c r="F1282" s="550"/>
      <c r="G1282" s="550"/>
    </row>
    <row r="1283" spans="1:7" x14ac:dyDescent="0.25">
      <c r="A1283" s="550"/>
      <c r="B1283" s="550"/>
      <c r="C1283" s="550"/>
      <c r="D1283" s="550"/>
      <c r="E1283" s="550"/>
      <c r="F1283" s="550"/>
      <c r="G1283" s="550"/>
    </row>
    <row r="1284" spans="1:7" x14ac:dyDescent="0.25">
      <c r="A1284" s="550"/>
      <c r="B1284" s="550"/>
      <c r="C1284" s="550"/>
      <c r="D1284" s="550"/>
      <c r="E1284" s="550"/>
      <c r="F1284" s="550"/>
      <c r="G1284" s="550"/>
    </row>
    <row r="1285" spans="1:7" x14ac:dyDescent="0.25">
      <c r="A1285" s="550"/>
      <c r="B1285" s="550"/>
      <c r="C1285" s="550"/>
      <c r="D1285" s="550"/>
      <c r="E1285" s="550"/>
      <c r="F1285" s="550"/>
      <c r="G1285" s="550"/>
    </row>
    <row r="1286" spans="1:7" x14ac:dyDescent="0.25">
      <c r="A1286" s="550"/>
      <c r="B1286" s="550"/>
      <c r="C1286" s="550"/>
      <c r="D1286" s="550"/>
      <c r="E1286" s="550"/>
      <c r="F1286" s="550"/>
      <c r="G1286" s="550"/>
    </row>
    <row r="1287" spans="1:7" x14ac:dyDescent="0.25">
      <c r="A1287" s="550"/>
      <c r="B1287" s="550"/>
      <c r="C1287" s="550"/>
      <c r="D1287" s="550"/>
      <c r="E1287" s="550"/>
      <c r="F1287" s="550"/>
      <c r="G1287" s="550"/>
    </row>
    <row r="1288" spans="1:7" x14ac:dyDescent="0.25">
      <c r="A1288" s="550"/>
      <c r="B1288" s="550"/>
      <c r="C1288" s="550"/>
      <c r="D1288" s="550"/>
      <c r="E1288" s="550"/>
      <c r="F1288" s="550"/>
      <c r="G1288" s="550"/>
    </row>
    <row r="1289" spans="1:7" x14ac:dyDescent="0.25">
      <c r="A1289" s="550"/>
      <c r="B1289" s="550"/>
      <c r="C1289" s="550"/>
      <c r="D1289" s="550"/>
      <c r="E1289" s="550"/>
      <c r="F1289" s="550"/>
      <c r="G1289" s="550"/>
    </row>
    <row r="1290" spans="1:7" x14ac:dyDescent="0.25">
      <c r="A1290" s="550"/>
      <c r="B1290" s="550"/>
      <c r="C1290" s="550"/>
      <c r="D1290" s="550"/>
      <c r="E1290" s="550"/>
      <c r="F1290" s="550"/>
      <c r="G1290" s="550"/>
    </row>
    <row r="1291" spans="1:7" x14ac:dyDescent="0.25">
      <c r="A1291" s="550"/>
      <c r="B1291" s="550"/>
      <c r="C1291" s="550"/>
      <c r="D1291" s="550"/>
      <c r="E1291" s="550"/>
      <c r="F1291" s="550"/>
      <c r="G1291" s="550"/>
    </row>
    <row r="1292" spans="1:7" x14ac:dyDescent="0.25">
      <c r="A1292" s="550"/>
      <c r="B1292" s="550"/>
      <c r="C1292" s="550"/>
      <c r="D1292" s="550"/>
      <c r="E1292" s="550"/>
      <c r="F1292" s="550"/>
      <c r="G1292" s="550"/>
    </row>
    <row r="1293" spans="1:7" x14ac:dyDescent="0.25">
      <c r="A1293" s="550"/>
      <c r="B1293" s="550"/>
      <c r="C1293" s="550"/>
      <c r="D1293" s="550"/>
      <c r="E1293" s="550"/>
      <c r="F1293" s="550"/>
      <c r="G1293" s="550"/>
    </row>
    <row r="1294" spans="1:7" x14ac:dyDescent="0.25">
      <c r="A1294" s="550"/>
      <c r="B1294" s="550"/>
      <c r="C1294" s="550"/>
      <c r="D1294" s="550"/>
      <c r="E1294" s="550"/>
      <c r="F1294" s="550"/>
      <c r="G1294" s="550"/>
    </row>
    <row r="1295" spans="1:7" x14ac:dyDescent="0.25">
      <c r="A1295" s="550"/>
      <c r="B1295" s="550"/>
      <c r="C1295" s="550"/>
      <c r="D1295" s="550"/>
      <c r="E1295" s="550"/>
      <c r="F1295" s="550"/>
      <c r="G1295" s="550"/>
    </row>
    <row r="1296" spans="1:7" x14ac:dyDescent="0.25">
      <c r="A1296" s="550"/>
      <c r="B1296" s="550"/>
      <c r="C1296" s="550"/>
      <c r="D1296" s="550"/>
      <c r="E1296" s="550"/>
      <c r="F1296" s="550"/>
      <c r="G1296" s="550"/>
    </row>
    <row r="1297" spans="1:7" x14ac:dyDescent="0.25">
      <c r="A1297" s="550"/>
      <c r="B1297" s="550"/>
      <c r="C1297" s="550"/>
      <c r="D1297" s="550"/>
      <c r="E1297" s="550"/>
      <c r="F1297" s="550"/>
      <c r="G1297" s="550"/>
    </row>
    <row r="1298" spans="1:7" x14ac:dyDescent="0.25">
      <c r="A1298" s="550"/>
      <c r="B1298" s="550"/>
      <c r="C1298" s="550"/>
      <c r="D1298" s="550"/>
      <c r="E1298" s="550"/>
      <c r="F1298" s="550"/>
      <c r="G1298" s="550"/>
    </row>
    <row r="1299" spans="1:7" x14ac:dyDescent="0.25">
      <c r="A1299" s="550"/>
      <c r="B1299" s="550"/>
      <c r="C1299" s="550"/>
      <c r="D1299" s="550"/>
      <c r="E1299" s="550"/>
      <c r="F1299" s="550"/>
      <c r="G1299" s="550"/>
    </row>
    <row r="1300" spans="1:7" x14ac:dyDescent="0.25">
      <c r="A1300" s="550"/>
      <c r="B1300" s="550"/>
      <c r="C1300" s="550"/>
      <c r="D1300" s="550"/>
      <c r="E1300" s="550"/>
      <c r="F1300" s="550"/>
      <c r="G1300" s="550"/>
    </row>
    <row r="1301" spans="1:7" x14ac:dyDescent="0.25">
      <c r="A1301" s="550"/>
      <c r="B1301" s="550"/>
      <c r="C1301" s="550"/>
      <c r="D1301" s="550"/>
      <c r="E1301" s="550"/>
      <c r="F1301" s="550"/>
      <c r="G1301" s="550"/>
    </row>
    <row r="1302" spans="1:7" x14ac:dyDescent="0.25">
      <c r="A1302" s="550"/>
      <c r="B1302" s="550"/>
      <c r="C1302" s="550"/>
      <c r="D1302" s="550"/>
      <c r="E1302" s="550"/>
      <c r="F1302" s="550"/>
      <c r="G1302" s="550"/>
    </row>
    <row r="1303" spans="1:7" x14ac:dyDescent="0.25">
      <c r="A1303" s="550"/>
      <c r="B1303" s="550"/>
      <c r="C1303" s="550"/>
      <c r="D1303" s="550"/>
      <c r="E1303" s="550"/>
      <c r="F1303" s="550"/>
      <c r="G1303" s="550"/>
    </row>
    <row r="1304" spans="1:7" x14ac:dyDescent="0.25">
      <c r="A1304" s="550"/>
      <c r="B1304" s="550"/>
      <c r="C1304" s="550"/>
      <c r="D1304" s="550"/>
      <c r="E1304" s="550"/>
      <c r="F1304" s="550"/>
      <c r="G1304" s="550"/>
    </row>
    <row r="1305" spans="1:7" x14ac:dyDescent="0.25">
      <c r="A1305" s="550"/>
      <c r="B1305" s="550"/>
      <c r="C1305" s="550"/>
      <c r="D1305" s="550"/>
      <c r="E1305" s="550"/>
      <c r="F1305" s="550"/>
      <c r="G1305" s="550"/>
    </row>
    <row r="1306" spans="1:7" x14ac:dyDescent="0.25">
      <c r="A1306" s="550"/>
      <c r="B1306" s="550"/>
      <c r="C1306" s="550"/>
      <c r="D1306" s="550"/>
      <c r="E1306" s="550"/>
      <c r="F1306" s="550"/>
      <c r="G1306" s="550"/>
    </row>
    <row r="1307" spans="1:7" x14ac:dyDescent="0.25">
      <c r="A1307" s="550"/>
      <c r="B1307" s="550"/>
      <c r="C1307" s="550"/>
      <c r="D1307" s="550"/>
      <c r="E1307" s="550"/>
      <c r="F1307" s="550"/>
      <c r="G1307" s="550"/>
    </row>
    <row r="1308" spans="1:7" x14ac:dyDescent="0.25">
      <c r="A1308" s="550"/>
      <c r="B1308" s="550"/>
      <c r="C1308" s="550"/>
      <c r="D1308" s="550"/>
      <c r="E1308" s="550"/>
      <c r="F1308" s="550"/>
      <c r="G1308" s="550"/>
    </row>
    <row r="1309" spans="1:7" x14ac:dyDescent="0.25">
      <c r="A1309" s="550"/>
      <c r="B1309" s="550"/>
      <c r="C1309" s="550"/>
      <c r="D1309" s="550"/>
      <c r="E1309" s="550"/>
      <c r="F1309" s="550"/>
      <c r="G1309" s="550"/>
    </row>
    <row r="1310" spans="1:7" x14ac:dyDescent="0.25">
      <c r="A1310" s="550"/>
      <c r="B1310" s="550"/>
      <c r="C1310" s="550"/>
      <c r="D1310" s="550"/>
      <c r="E1310" s="550"/>
      <c r="F1310" s="550"/>
      <c r="G1310" s="550"/>
    </row>
    <row r="1311" spans="1:7" x14ac:dyDescent="0.25">
      <c r="A1311" s="550"/>
      <c r="B1311" s="550"/>
      <c r="C1311" s="550"/>
      <c r="D1311" s="550"/>
      <c r="E1311" s="550"/>
      <c r="F1311" s="550"/>
      <c r="G1311" s="550"/>
    </row>
    <row r="1312" spans="1:7" x14ac:dyDescent="0.25">
      <c r="A1312" s="550"/>
      <c r="B1312" s="550"/>
      <c r="C1312" s="550"/>
      <c r="D1312" s="550"/>
      <c r="E1312" s="550"/>
      <c r="F1312" s="550"/>
      <c r="G1312" s="550"/>
    </row>
    <row r="1313" spans="1:7" x14ac:dyDescent="0.25">
      <c r="A1313" s="550"/>
      <c r="B1313" s="550"/>
      <c r="C1313" s="550"/>
      <c r="D1313" s="550"/>
      <c r="E1313" s="550"/>
      <c r="F1313" s="550"/>
      <c r="G1313" s="550"/>
    </row>
    <row r="1314" spans="1:7" x14ac:dyDescent="0.25">
      <c r="A1314" s="550"/>
      <c r="B1314" s="550"/>
      <c r="C1314" s="550"/>
      <c r="D1314" s="550"/>
      <c r="E1314" s="550"/>
      <c r="F1314" s="550"/>
      <c r="G1314" s="550"/>
    </row>
    <row r="1315" spans="1:7" x14ac:dyDescent="0.25">
      <c r="A1315" s="550"/>
      <c r="B1315" s="550"/>
      <c r="C1315" s="550"/>
      <c r="D1315" s="550"/>
      <c r="E1315" s="550"/>
      <c r="F1315" s="550"/>
      <c r="G1315" s="550"/>
    </row>
    <row r="1316" spans="1:7" x14ac:dyDescent="0.25">
      <c r="A1316" s="550"/>
      <c r="B1316" s="550"/>
      <c r="C1316" s="550"/>
      <c r="D1316" s="550"/>
      <c r="E1316" s="550"/>
      <c r="F1316" s="550"/>
      <c r="G1316" s="550"/>
    </row>
    <row r="1317" spans="1:7" x14ac:dyDescent="0.25">
      <c r="A1317" s="550"/>
      <c r="B1317" s="550"/>
      <c r="C1317" s="550"/>
      <c r="D1317" s="550"/>
      <c r="E1317" s="550"/>
      <c r="F1317" s="550"/>
      <c r="G1317" s="550"/>
    </row>
    <row r="1318" spans="1:7" x14ac:dyDescent="0.25">
      <c r="A1318" s="550"/>
      <c r="B1318" s="550"/>
      <c r="C1318" s="550"/>
      <c r="D1318" s="550"/>
      <c r="E1318" s="550"/>
      <c r="F1318" s="550"/>
      <c r="G1318" s="550"/>
    </row>
    <row r="1319" spans="1:7" x14ac:dyDescent="0.25">
      <c r="A1319" s="550"/>
      <c r="B1319" s="550"/>
      <c r="C1319" s="550"/>
      <c r="D1319" s="550"/>
      <c r="E1319" s="550"/>
      <c r="F1319" s="550"/>
      <c r="G1319" s="550"/>
    </row>
    <row r="1320" spans="1:7" x14ac:dyDescent="0.25">
      <c r="A1320" s="550"/>
      <c r="B1320" s="550"/>
      <c r="C1320" s="550"/>
      <c r="D1320" s="550"/>
      <c r="E1320" s="550"/>
      <c r="F1320" s="550"/>
      <c r="G1320" s="550"/>
    </row>
    <row r="1321" spans="1:7" x14ac:dyDescent="0.25">
      <c r="A1321" s="550"/>
      <c r="B1321" s="550"/>
      <c r="C1321" s="550"/>
      <c r="D1321" s="550"/>
      <c r="E1321" s="550"/>
      <c r="F1321" s="550"/>
      <c r="G1321" s="550"/>
    </row>
    <row r="1322" spans="1:7" x14ac:dyDescent="0.25">
      <c r="A1322" s="550"/>
      <c r="B1322" s="550"/>
      <c r="C1322" s="550"/>
      <c r="D1322" s="550"/>
      <c r="E1322" s="550"/>
      <c r="F1322" s="550"/>
      <c r="G1322" s="550"/>
    </row>
    <row r="1323" spans="1:7" x14ac:dyDescent="0.25">
      <c r="A1323" s="550"/>
      <c r="B1323" s="550"/>
      <c r="C1323" s="550"/>
      <c r="D1323" s="550"/>
      <c r="E1323" s="550"/>
      <c r="F1323" s="550"/>
      <c r="G1323" s="550"/>
    </row>
    <row r="1324" spans="1:7" x14ac:dyDescent="0.25">
      <c r="A1324" s="550"/>
      <c r="B1324" s="550"/>
      <c r="C1324" s="550"/>
      <c r="D1324" s="550"/>
      <c r="E1324" s="550"/>
      <c r="F1324" s="550"/>
      <c r="G1324" s="550"/>
    </row>
    <row r="1325" spans="1:7" x14ac:dyDescent="0.25">
      <c r="A1325" s="550"/>
      <c r="B1325" s="550"/>
      <c r="C1325" s="550"/>
      <c r="D1325" s="550"/>
      <c r="E1325" s="550"/>
      <c r="F1325" s="550"/>
      <c r="G1325" s="550"/>
    </row>
    <row r="1326" spans="1:7" x14ac:dyDescent="0.25">
      <c r="A1326" s="550"/>
      <c r="B1326" s="550"/>
      <c r="C1326" s="550"/>
      <c r="D1326" s="550"/>
      <c r="E1326" s="550"/>
      <c r="F1326" s="550"/>
      <c r="G1326" s="550"/>
    </row>
    <row r="1327" spans="1:7" x14ac:dyDescent="0.25">
      <c r="A1327" s="550"/>
      <c r="B1327" s="550"/>
      <c r="C1327" s="550"/>
      <c r="D1327" s="550"/>
      <c r="E1327" s="550"/>
      <c r="F1327" s="550"/>
      <c r="G1327" s="550"/>
    </row>
    <row r="1328" spans="1:7" x14ac:dyDescent="0.25">
      <c r="A1328" s="550"/>
      <c r="B1328" s="550"/>
      <c r="C1328" s="550"/>
      <c r="D1328" s="550"/>
      <c r="E1328" s="550"/>
      <c r="F1328" s="550"/>
      <c r="G1328" s="550"/>
    </row>
    <row r="1329" spans="1:7" x14ac:dyDescent="0.25">
      <c r="A1329" s="550"/>
      <c r="B1329" s="550"/>
      <c r="C1329" s="550"/>
      <c r="D1329" s="550"/>
      <c r="E1329" s="550"/>
      <c r="F1329" s="550"/>
      <c r="G1329" s="550"/>
    </row>
    <row r="1330" spans="1:7" x14ac:dyDescent="0.25">
      <c r="A1330" s="550"/>
      <c r="B1330" s="550"/>
      <c r="C1330" s="550"/>
      <c r="D1330" s="550"/>
      <c r="E1330" s="550"/>
      <c r="F1330" s="550"/>
      <c r="G1330" s="550"/>
    </row>
    <row r="1331" spans="1:7" x14ac:dyDescent="0.25">
      <c r="A1331" s="550"/>
      <c r="B1331" s="550"/>
      <c r="C1331" s="550"/>
      <c r="D1331" s="550"/>
      <c r="E1331" s="550"/>
      <c r="F1331" s="550"/>
      <c r="G1331" s="550"/>
    </row>
    <row r="1332" spans="1:7" x14ac:dyDescent="0.25">
      <c r="A1332" s="550"/>
      <c r="B1332" s="550"/>
      <c r="C1332" s="550"/>
      <c r="D1332" s="550"/>
      <c r="E1332" s="550"/>
      <c r="F1332" s="550"/>
      <c r="G1332" s="550"/>
    </row>
    <row r="1333" spans="1:7" x14ac:dyDescent="0.25">
      <c r="A1333" s="550"/>
      <c r="B1333" s="550"/>
      <c r="C1333" s="550"/>
      <c r="D1333" s="550"/>
      <c r="E1333" s="550"/>
      <c r="F1333" s="550"/>
      <c r="G1333" s="550"/>
    </row>
    <row r="1334" spans="1:7" x14ac:dyDescent="0.25">
      <c r="A1334" s="550"/>
      <c r="B1334" s="550"/>
      <c r="C1334" s="550"/>
      <c r="D1334" s="550"/>
      <c r="E1334" s="550"/>
      <c r="F1334" s="550"/>
      <c r="G1334" s="550"/>
    </row>
    <row r="1335" spans="1:7" x14ac:dyDescent="0.25">
      <c r="A1335" s="550"/>
      <c r="B1335" s="550"/>
      <c r="C1335" s="550"/>
      <c r="D1335" s="550"/>
      <c r="E1335" s="550"/>
      <c r="F1335" s="550"/>
      <c r="G1335" s="550"/>
    </row>
    <row r="1336" spans="1:7" x14ac:dyDescent="0.25">
      <c r="A1336" s="550"/>
      <c r="B1336" s="550"/>
      <c r="C1336" s="550"/>
      <c r="D1336" s="550"/>
      <c r="E1336" s="550"/>
      <c r="F1336" s="550"/>
      <c r="G1336" s="550"/>
    </row>
    <row r="1337" spans="1:7" x14ac:dyDescent="0.25">
      <c r="A1337" s="550"/>
      <c r="B1337" s="550"/>
      <c r="C1337" s="550"/>
      <c r="D1337" s="550"/>
      <c r="E1337" s="550"/>
      <c r="F1337" s="550"/>
      <c r="G1337" s="550"/>
    </row>
    <row r="1338" spans="1:7" x14ac:dyDescent="0.25">
      <c r="A1338" s="550"/>
      <c r="B1338" s="550"/>
      <c r="C1338" s="550"/>
      <c r="D1338" s="550"/>
      <c r="E1338" s="550"/>
      <c r="F1338" s="550"/>
      <c r="G1338" s="550"/>
    </row>
    <row r="1339" spans="1:7" x14ac:dyDescent="0.25">
      <c r="A1339" s="550"/>
      <c r="B1339" s="550"/>
      <c r="C1339" s="550"/>
      <c r="D1339" s="550"/>
      <c r="E1339" s="550"/>
      <c r="F1339" s="550"/>
      <c r="G1339" s="550"/>
    </row>
    <row r="1340" spans="1:7" x14ac:dyDescent="0.25">
      <c r="A1340" s="550"/>
      <c r="B1340" s="550"/>
      <c r="C1340" s="550"/>
      <c r="D1340" s="550"/>
      <c r="E1340" s="550"/>
      <c r="F1340" s="550"/>
      <c r="G1340" s="550"/>
    </row>
    <row r="1341" spans="1:7" x14ac:dyDescent="0.25">
      <c r="A1341" s="550"/>
      <c r="B1341" s="550"/>
      <c r="C1341" s="550"/>
      <c r="D1341" s="550"/>
      <c r="E1341" s="550"/>
      <c r="F1341" s="550"/>
      <c r="G1341" s="550"/>
    </row>
    <row r="1342" spans="1:7" x14ac:dyDescent="0.25">
      <c r="A1342" s="550"/>
      <c r="B1342" s="550"/>
      <c r="C1342" s="550"/>
      <c r="D1342" s="550"/>
      <c r="E1342" s="550"/>
      <c r="F1342" s="550"/>
      <c r="G1342" s="550"/>
    </row>
    <row r="1343" spans="1:7" x14ac:dyDescent="0.25">
      <c r="A1343" s="550"/>
      <c r="B1343" s="550"/>
      <c r="C1343" s="550"/>
      <c r="D1343" s="550"/>
      <c r="E1343" s="550"/>
      <c r="F1343" s="550"/>
      <c r="G1343" s="550"/>
    </row>
    <row r="1344" spans="1:7" x14ac:dyDescent="0.25">
      <c r="A1344" s="550"/>
      <c r="B1344" s="550"/>
      <c r="C1344" s="550"/>
      <c r="D1344" s="550"/>
      <c r="E1344" s="550"/>
      <c r="F1344" s="550"/>
      <c r="G1344" s="550"/>
    </row>
    <row r="1345" spans="1:7" x14ac:dyDescent="0.25">
      <c r="A1345" s="550"/>
      <c r="B1345" s="550"/>
      <c r="C1345" s="550"/>
      <c r="D1345" s="550"/>
      <c r="E1345" s="550"/>
      <c r="F1345" s="550"/>
      <c r="G1345" s="550"/>
    </row>
    <row r="1346" spans="1:7" x14ac:dyDescent="0.25">
      <c r="A1346" s="550"/>
      <c r="B1346" s="550"/>
      <c r="C1346" s="550"/>
      <c r="D1346" s="550"/>
      <c r="E1346" s="550"/>
      <c r="F1346" s="550"/>
      <c r="G1346" s="550"/>
    </row>
    <row r="1347" spans="1:7" x14ac:dyDescent="0.25">
      <c r="A1347" s="550"/>
      <c r="B1347" s="550"/>
      <c r="C1347" s="550"/>
      <c r="D1347" s="550"/>
      <c r="E1347" s="550"/>
      <c r="F1347" s="550"/>
      <c r="G1347" s="550"/>
    </row>
    <row r="1348" spans="1:7" x14ac:dyDescent="0.25">
      <c r="A1348" s="550"/>
      <c r="B1348" s="550"/>
      <c r="C1348" s="550"/>
      <c r="D1348" s="550"/>
      <c r="E1348" s="550"/>
      <c r="F1348" s="550"/>
      <c r="G1348" s="550"/>
    </row>
    <row r="1349" spans="1:7" x14ac:dyDescent="0.25">
      <c r="A1349" s="550"/>
      <c r="B1349" s="550"/>
      <c r="C1349" s="550"/>
      <c r="D1349" s="550"/>
      <c r="E1349" s="550"/>
      <c r="F1349" s="550"/>
      <c r="G1349" s="550"/>
    </row>
    <row r="1350" spans="1:7" x14ac:dyDescent="0.25">
      <c r="A1350" s="550"/>
      <c r="B1350" s="550"/>
      <c r="C1350" s="550"/>
      <c r="D1350" s="550"/>
      <c r="E1350" s="550"/>
      <c r="F1350" s="550"/>
      <c r="G1350" s="550"/>
    </row>
    <row r="1351" spans="1:7" x14ac:dyDescent="0.25">
      <c r="A1351" s="550"/>
      <c r="B1351" s="550"/>
      <c r="C1351" s="550"/>
      <c r="D1351" s="550"/>
      <c r="E1351" s="550"/>
      <c r="F1351" s="550"/>
      <c r="G1351" s="550"/>
    </row>
    <row r="1352" spans="1:7" x14ac:dyDescent="0.25">
      <c r="A1352" s="550"/>
      <c r="B1352" s="550"/>
      <c r="C1352" s="550"/>
      <c r="D1352" s="550"/>
      <c r="E1352" s="550"/>
      <c r="F1352" s="550"/>
      <c r="G1352" s="550"/>
    </row>
    <row r="1353" spans="1:7" x14ac:dyDescent="0.25">
      <c r="A1353" s="550"/>
      <c r="B1353" s="550"/>
      <c r="C1353" s="550"/>
      <c r="D1353" s="550"/>
      <c r="E1353" s="550"/>
      <c r="F1353" s="550"/>
      <c r="G1353" s="550"/>
    </row>
    <row r="1354" spans="1:7" x14ac:dyDescent="0.25">
      <c r="A1354" s="550"/>
      <c r="B1354" s="550"/>
      <c r="C1354" s="550"/>
      <c r="D1354" s="550"/>
      <c r="E1354" s="550"/>
      <c r="F1354" s="550"/>
      <c r="G1354" s="550"/>
    </row>
    <row r="1355" spans="1:7" x14ac:dyDescent="0.25">
      <c r="A1355" s="550"/>
      <c r="B1355" s="550"/>
      <c r="C1355" s="550"/>
      <c r="D1355" s="550"/>
      <c r="E1355" s="550"/>
      <c r="F1355" s="550"/>
      <c r="G1355" s="550"/>
    </row>
    <row r="1356" spans="1:7" x14ac:dyDescent="0.25">
      <c r="A1356" s="550"/>
      <c r="B1356" s="550"/>
      <c r="C1356" s="550"/>
      <c r="D1356" s="550"/>
      <c r="E1356" s="550"/>
      <c r="F1356" s="550"/>
      <c r="G1356" s="550"/>
    </row>
    <row r="1357" spans="1:7" x14ac:dyDescent="0.25">
      <c r="A1357" s="550"/>
      <c r="B1357" s="550"/>
      <c r="C1357" s="550"/>
      <c r="D1357" s="550"/>
      <c r="E1357" s="550"/>
      <c r="F1357" s="550"/>
      <c r="G1357" s="550"/>
    </row>
    <row r="1358" spans="1:7" x14ac:dyDescent="0.25">
      <c r="A1358" s="550"/>
      <c r="B1358" s="550"/>
      <c r="C1358" s="550"/>
      <c r="D1358" s="550"/>
      <c r="E1358" s="550"/>
      <c r="F1358" s="550"/>
      <c r="G1358" s="550"/>
    </row>
    <row r="1359" spans="1:7" x14ac:dyDescent="0.25">
      <c r="A1359" s="550"/>
      <c r="B1359" s="550"/>
      <c r="C1359" s="550"/>
      <c r="D1359" s="550"/>
      <c r="E1359" s="550"/>
      <c r="F1359" s="550"/>
      <c r="G1359" s="550"/>
    </row>
    <row r="1360" spans="1:7" x14ac:dyDescent="0.25">
      <c r="A1360" s="550"/>
      <c r="B1360" s="550"/>
      <c r="C1360" s="550"/>
      <c r="D1360" s="550"/>
      <c r="E1360" s="550"/>
      <c r="F1360" s="550"/>
      <c r="G1360" s="550"/>
    </row>
    <row r="1361" spans="1:7" x14ac:dyDescent="0.25">
      <c r="A1361" s="550"/>
      <c r="B1361" s="550"/>
      <c r="C1361" s="550"/>
      <c r="D1361" s="550"/>
      <c r="E1361" s="550"/>
      <c r="F1361" s="550"/>
      <c r="G1361" s="550"/>
    </row>
    <row r="1362" spans="1:7" x14ac:dyDescent="0.25">
      <c r="A1362" s="550"/>
      <c r="B1362" s="550"/>
      <c r="C1362" s="550"/>
      <c r="D1362" s="550"/>
      <c r="E1362" s="550"/>
      <c r="F1362" s="550"/>
      <c r="G1362" s="550"/>
    </row>
    <row r="1363" spans="1:7" x14ac:dyDescent="0.25">
      <c r="A1363" s="550"/>
      <c r="B1363" s="550"/>
      <c r="C1363" s="550"/>
      <c r="D1363" s="550"/>
      <c r="E1363" s="550"/>
      <c r="F1363" s="550"/>
      <c r="G1363" s="550"/>
    </row>
    <row r="1364" spans="1:7" x14ac:dyDescent="0.25">
      <c r="A1364" s="550"/>
      <c r="B1364" s="550"/>
      <c r="C1364" s="550"/>
      <c r="D1364" s="550"/>
      <c r="E1364" s="550"/>
      <c r="F1364" s="550"/>
      <c r="G1364" s="550"/>
    </row>
    <row r="1365" spans="1:7" x14ac:dyDescent="0.25">
      <c r="A1365" s="550"/>
      <c r="B1365" s="550"/>
      <c r="C1365" s="550"/>
      <c r="D1365" s="550"/>
      <c r="E1365" s="550"/>
      <c r="F1365" s="550"/>
      <c r="G1365" s="550"/>
    </row>
    <row r="1366" spans="1:7" x14ac:dyDescent="0.25">
      <c r="A1366" s="550"/>
      <c r="B1366" s="550"/>
      <c r="C1366" s="550"/>
      <c r="D1366" s="550"/>
      <c r="E1366" s="550"/>
      <c r="F1366" s="550"/>
      <c r="G1366" s="550"/>
    </row>
    <row r="1367" spans="1:7" x14ac:dyDescent="0.25">
      <c r="A1367" s="550"/>
      <c r="B1367" s="550"/>
      <c r="C1367" s="550"/>
      <c r="D1367" s="550"/>
      <c r="E1367" s="550"/>
      <c r="F1367" s="550"/>
      <c r="G1367" s="550"/>
    </row>
    <row r="1368" spans="1:7" x14ac:dyDescent="0.25">
      <c r="A1368" s="550"/>
      <c r="B1368" s="550"/>
      <c r="C1368" s="550"/>
      <c r="D1368" s="550"/>
      <c r="E1368" s="550"/>
      <c r="F1368" s="550"/>
      <c r="G1368" s="550"/>
    </row>
    <row r="1369" spans="1:7" x14ac:dyDescent="0.25">
      <c r="A1369" s="550"/>
      <c r="B1369" s="550"/>
      <c r="C1369" s="550"/>
      <c r="D1369" s="550"/>
      <c r="E1369" s="550"/>
      <c r="F1369" s="550"/>
      <c r="G1369" s="550"/>
    </row>
    <row r="1370" spans="1:7" x14ac:dyDescent="0.25">
      <c r="A1370" s="550"/>
      <c r="B1370" s="550"/>
      <c r="C1370" s="550"/>
      <c r="D1370" s="550"/>
      <c r="E1370" s="550"/>
      <c r="F1370" s="550"/>
      <c r="G1370" s="550"/>
    </row>
    <row r="1371" spans="1:7" x14ac:dyDescent="0.25">
      <c r="A1371" s="550"/>
      <c r="B1371" s="550"/>
      <c r="C1371" s="550"/>
      <c r="D1371" s="550"/>
      <c r="E1371" s="550"/>
      <c r="F1371" s="550"/>
      <c r="G1371" s="550"/>
    </row>
    <row r="1372" spans="1:7" x14ac:dyDescent="0.25">
      <c r="A1372" s="550"/>
      <c r="B1372" s="550"/>
      <c r="C1372" s="550"/>
      <c r="D1372" s="550"/>
      <c r="E1372" s="550"/>
      <c r="F1372" s="550"/>
      <c r="G1372" s="550"/>
    </row>
    <row r="1373" spans="1:7" x14ac:dyDescent="0.25">
      <c r="A1373" s="550"/>
      <c r="B1373" s="550"/>
      <c r="C1373" s="550"/>
      <c r="D1373" s="550"/>
      <c r="E1373" s="550"/>
      <c r="F1373" s="550"/>
      <c r="G1373" s="550"/>
    </row>
    <row r="1374" spans="1:7" x14ac:dyDescent="0.25">
      <c r="A1374" s="550"/>
      <c r="B1374" s="550"/>
      <c r="C1374" s="550"/>
      <c r="D1374" s="550"/>
      <c r="E1374" s="550"/>
      <c r="F1374" s="550"/>
      <c r="G1374" s="550"/>
    </row>
    <row r="1375" spans="1:7" x14ac:dyDescent="0.25">
      <c r="A1375" s="550"/>
      <c r="B1375" s="550"/>
      <c r="C1375" s="550"/>
      <c r="D1375" s="550"/>
      <c r="E1375" s="550"/>
      <c r="F1375" s="550"/>
      <c r="G1375" s="550"/>
    </row>
    <row r="1376" spans="1:7" x14ac:dyDescent="0.25">
      <c r="A1376" s="550"/>
      <c r="B1376" s="550"/>
      <c r="C1376" s="550"/>
      <c r="D1376" s="550"/>
      <c r="E1376" s="550"/>
      <c r="F1376" s="550"/>
      <c r="G1376" s="550"/>
    </row>
    <row r="1377" spans="1:7" x14ac:dyDescent="0.25">
      <c r="A1377" s="550"/>
      <c r="B1377" s="550"/>
      <c r="C1377" s="550"/>
      <c r="D1377" s="550"/>
      <c r="E1377" s="550"/>
      <c r="F1377" s="550"/>
      <c r="G1377" s="550"/>
    </row>
    <row r="1378" spans="1:7" x14ac:dyDescent="0.25">
      <c r="A1378" s="550"/>
      <c r="B1378" s="550"/>
      <c r="C1378" s="550"/>
      <c r="D1378" s="550"/>
      <c r="E1378" s="550"/>
      <c r="F1378" s="550"/>
      <c r="G1378" s="550"/>
    </row>
    <row r="1379" spans="1:7" x14ac:dyDescent="0.25">
      <c r="A1379" s="550"/>
      <c r="B1379" s="550"/>
      <c r="C1379" s="550"/>
      <c r="D1379" s="550"/>
      <c r="E1379" s="550"/>
      <c r="F1379" s="550"/>
      <c r="G1379" s="550"/>
    </row>
    <row r="1380" spans="1:7" x14ac:dyDescent="0.25">
      <c r="A1380" s="550"/>
      <c r="B1380" s="550"/>
      <c r="C1380" s="550"/>
      <c r="D1380" s="550"/>
      <c r="E1380" s="550"/>
      <c r="F1380" s="550"/>
      <c r="G1380" s="550"/>
    </row>
    <row r="1381" spans="1:7" x14ac:dyDescent="0.25">
      <c r="A1381" s="550"/>
      <c r="B1381" s="550"/>
      <c r="C1381" s="550"/>
      <c r="D1381" s="550"/>
      <c r="E1381" s="550"/>
      <c r="F1381" s="550"/>
      <c r="G1381" s="550"/>
    </row>
    <row r="1382" spans="1:7" x14ac:dyDescent="0.25">
      <c r="A1382" s="550"/>
      <c r="B1382" s="550"/>
      <c r="C1382" s="550"/>
      <c r="D1382" s="550"/>
      <c r="E1382" s="550"/>
      <c r="F1382" s="550"/>
      <c r="G1382" s="550"/>
    </row>
    <row r="1383" spans="1:7" x14ac:dyDescent="0.25">
      <c r="A1383" s="550"/>
      <c r="B1383" s="550"/>
      <c r="C1383" s="550"/>
      <c r="D1383" s="550"/>
      <c r="E1383" s="550"/>
      <c r="F1383" s="550"/>
      <c r="G1383" s="550"/>
    </row>
    <row r="1384" spans="1:7" x14ac:dyDescent="0.25">
      <c r="A1384" s="550"/>
      <c r="B1384" s="550"/>
      <c r="C1384" s="550"/>
      <c r="D1384" s="550"/>
      <c r="E1384" s="550"/>
      <c r="F1384" s="550"/>
      <c r="G1384" s="550"/>
    </row>
    <row r="1385" spans="1:7" x14ac:dyDescent="0.25">
      <c r="A1385" s="550"/>
      <c r="B1385" s="550"/>
      <c r="C1385" s="550"/>
      <c r="D1385" s="550"/>
      <c r="E1385" s="550"/>
      <c r="F1385" s="550"/>
      <c r="G1385" s="550"/>
    </row>
    <row r="1386" spans="1:7" x14ac:dyDescent="0.25">
      <c r="A1386" s="550"/>
      <c r="B1386" s="550"/>
      <c r="C1386" s="550"/>
      <c r="D1386" s="550"/>
      <c r="E1386" s="550"/>
      <c r="F1386" s="550"/>
      <c r="G1386" s="550"/>
    </row>
    <row r="1387" spans="1:7" x14ac:dyDescent="0.25">
      <c r="A1387" s="550"/>
      <c r="B1387" s="550"/>
      <c r="C1387" s="550"/>
      <c r="D1387" s="550"/>
      <c r="E1387" s="550"/>
      <c r="F1387" s="550"/>
      <c r="G1387" s="550"/>
    </row>
    <row r="1388" spans="1:7" x14ac:dyDescent="0.25">
      <c r="A1388" s="550"/>
      <c r="B1388" s="550"/>
      <c r="C1388" s="550"/>
      <c r="D1388" s="550"/>
      <c r="E1388" s="550"/>
      <c r="F1388" s="550"/>
      <c r="G1388" s="550"/>
    </row>
    <row r="1389" spans="1:7" x14ac:dyDescent="0.25">
      <c r="A1389" s="550"/>
      <c r="B1389" s="550"/>
      <c r="C1389" s="550"/>
      <c r="D1389" s="550"/>
      <c r="E1389" s="550"/>
      <c r="F1389" s="550"/>
      <c r="G1389" s="550"/>
    </row>
    <row r="1390" spans="1:7" x14ac:dyDescent="0.25">
      <c r="A1390" s="550"/>
      <c r="B1390" s="550"/>
      <c r="C1390" s="550"/>
      <c r="D1390" s="550"/>
      <c r="E1390" s="550"/>
      <c r="F1390" s="550"/>
      <c r="G1390" s="550"/>
    </row>
    <row r="1391" spans="1:7" x14ac:dyDescent="0.25">
      <c r="A1391" s="550"/>
      <c r="B1391" s="550"/>
      <c r="C1391" s="550"/>
      <c r="D1391" s="550"/>
      <c r="E1391" s="550"/>
      <c r="F1391" s="550"/>
      <c r="G1391" s="550"/>
    </row>
    <row r="1392" spans="1:7" x14ac:dyDescent="0.25">
      <c r="A1392" s="550"/>
      <c r="B1392" s="550"/>
      <c r="C1392" s="550"/>
      <c r="D1392" s="550"/>
      <c r="E1392" s="550"/>
      <c r="F1392" s="550"/>
      <c r="G1392" s="550"/>
    </row>
    <row r="1393" spans="1:7" x14ac:dyDescent="0.25">
      <c r="A1393" s="550"/>
      <c r="B1393" s="550"/>
      <c r="C1393" s="550"/>
      <c r="D1393" s="550"/>
      <c r="E1393" s="550"/>
      <c r="F1393" s="550"/>
      <c r="G1393" s="550"/>
    </row>
    <row r="1394" spans="1:7" x14ac:dyDescent="0.25">
      <c r="A1394" s="550"/>
      <c r="B1394" s="550"/>
      <c r="C1394" s="550"/>
      <c r="D1394" s="550"/>
      <c r="E1394" s="550"/>
      <c r="F1394" s="550"/>
      <c r="G1394" s="550"/>
    </row>
    <row r="1395" spans="1:7" x14ac:dyDescent="0.25">
      <c r="A1395" s="550"/>
      <c r="B1395" s="550"/>
      <c r="C1395" s="550"/>
      <c r="D1395" s="550"/>
      <c r="E1395" s="550"/>
      <c r="F1395" s="550"/>
      <c r="G1395" s="550"/>
    </row>
    <row r="1396" spans="1:7" x14ac:dyDescent="0.25">
      <c r="A1396" s="550"/>
      <c r="B1396" s="550"/>
      <c r="C1396" s="550"/>
      <c r="D1396" s="550"/>
      <c r="E1396" s="550"/>
      <c r="F1396" s="550"/>
      <c r="G1396" s="550"/>
    </row>
    <row r="1397" spans="1:7" x14ac:dyDescent="0.25">
      <c r="A1397" s="550"/>
      <c r="B1397" s="550"/>
      <c r="C1397" s="550"/>
      <c r="D1397" s="550"/>
      <c r="E1397" s="550"/>
      <c r="F1397" s="550"/>
      <c r="G1397" s="550"/>
    </row>
    <row r="1398" spans="1:7" x14ac:dyDescent="0.25">
      <c r="A1398" s="550"/>
      <c r="B1398" s="550"/>
      <c r="C1398" s="550"/>
      <c r="D1398" s="550"/>
      <c r="E1398" s="550"/>
      <c r="F1398" s="550"/>
      <c r="G1398" s="550"/>
    </row>
    <row r="1399" spans="1:7" x14ac:dyDescent="0.25">
      <c r="A1399" s="550"/>
      <c r="B1399" s="550"/>
      <c r="C1399" s="550"/>
      <c r="D1399" s="550"/>
      <c r="E1399" s="550"/>
      <c r="F1399" s="550"/>
      <c r="G1399" s="550"/>
    </row>
    <row r="1400" spans="1:7" x14ac:dyDescent="0.25">
      <c r="A1400" s="550"/>
      <c r="B1400" s="550"/>
      <c r="C1400" s="550"/>
      <c r="D1400" s="550"/>
      <c r="E1400" s="550"/>
      <c r="F1400" s="550"/>
      <c r="G1400" s="550"/>
    </row>
    <row r="1401" spans="1:7" x14ac:dyDescent="0.25">
      <c r="A1401" s="550"/>
      <c r="B1401" s="550"/>
      <c r="C1401" s="550"/>
      <c r="D1401" s="550"/>
      <c r="E1401" s="550"/>
      <c r="F1401" s="550"/>
      <c r="G1401" s="550"/>
    </row>
    <row r="1402" spans="1:7" x14ac:dyDescent="0.25">
      <c r="A1402" s="550"/>
      <c r="B1402" s="550"/>
      <c r="C1402" s="550"/>
      <c r="D1402" s="550"/>
      <c r="E1402" s="550"/>
      <c r="F1402" s="550"/>
      <c r="G1402" s="550"/>
    </row>
    <row r="1403" spans="1:7" x14ac:dyDescent="0.25">
      <c r="A1403" s="550"/>
      <c r="B1403" s="550"/>
      <c r="C1403" s="550"/>
      <c r="D1403" s="550"/>
      <c r="E1403" s="550"/>
      <c r="F1403" s="550"/>
      <c r="G1403" s="550"/>
    </row>
    <row r="1404" spans="1:7" x14ac:dyDescent="0.25">
      <c r="A1404" s="550"/>
      <c r="B1404" s="550"/>
      <c r="C1404" s="550"/>
      <c r="D1404" s="550"/>
      <c r="E1404" s="550"/>
      <c r="F1404" s="550"/>
      <c r="G1404" s="550"/>
    </row>
    <row r="1405" spans="1:7" x14ac:dyDescent="0.25">
      <c r="A1405" s="550"/>
      <c r="B1405" s="550"/>
      <c r="C1405" s="550"/>
      <c r="D1405" s="550"/>
      <c r="E1405" s="550"/>
      <c r="F1405" s="550"/>
      <c r="G1405" s="550"/>
    </row>
    <row r="1406" spans="1:7" x14ac:dyDescent="0.25">
      <c r="A1406" s="550"/>
      <c r="B1406" s="550"/>
      <c r="C1406" s="550"/>
      <c r="D1406" s="550"/>
      <c r="E1406" s="550"/>
      <c r="F1406" s="550"/>
      <c r="G1406" s="550"/>
    </row>
    <row r="1407" spans="1:7" x14ac:dyDescent="0.25">
      <c r="A1407" s="550"/>
      <c r="B1407" s="550"/>
      <c r="C1407" s="550"/>
      <c r="D1407" s="550"/>
      <c r="E1407" s="550"/>
      <c r="F1407" s="550"/>
      <c r="G1407" s="550"/>
    </row>
    <row r="1408" spans="1:7" x14ac:dyDescent="0.25">
      <c r="A1408" s="550"/>
      <c r="B1408" s="550"/>
      <c r="C1408" s="550"/>
      <c r="D1408" s="550"/>
      <c r="E1408" s="550"/>
      <c r="F1408" s="550"/>
      <c r="G1408" s="550"/>
    </row>
    <row r="1409" spans="1:7" x14ac:dyDescent="0.25">
      <c r="A1409" s="550"/>
      <c r="B1409" s="550"/>
      <c r="C1409" s="550"/>
      <c r="D1409" s="550"/>
      <c r="E1409" s="550"/>
      <c r="F1409" s="550"/>
      <c r="G1409" s="550"/>
    </row>
    <row r="1410" spans="1:7" x14ac:dyDescent="0.25">
      <c r="A1410" s="550"/>
      <c r="B1410" s="550"/>
      <c r="C1410" s="550"/>
      <c r="D1410" s="550"/>
      <c r="E1410" s="550"/>
      <c r="F1410" s="550"/>
      <c r="G1410" s="550"/>
    </row>
    <row r="1411" spans="1:7" x14ac:dyDescent="0.25">
      <c r="A1411" s="550"/>
      <c r="B1411" s="550"/>
      <c r="C1411" s="550"/>
      <c r="D1411" s="550"/>
      <c r="E1411" s="550"/>
      <c r="F1411" s="550"/>
      <c r="G1411" s="550"/>
    </row>
    <row r="1412" spans="1:7" x14ac:dyDescent="0.25">
      <c r="A1412" s="550"/>
      <c r="B1412" s="550"/>
      <c r="C1412" s="550"/>
      <c r="D1412" s="550"/>
      <c r="E1412" s="550"/>
      <c r="F1412" s="550"/>
      <c r="G1412" s="550"/>
    </row>
    <row r="1413" spans="1:7" x14ac:dyDescent="0.25">
      <c r="A1413" s="550"/>
      <c r="B1413" s="550"/>
      <c r="C1413" s="550"/>
      <c r="D1413" s="550"/>
      <c r="E1413" s="550"/>
      <c r="F1413" s="550"/>
      <c r="G1413" s="550"/>
    </row>
    <row r="1414" spans="1:7" x14ac:dyDescent="0.25">
      <c r="A1414" s="550"/>
      <c r="B1414" s="550"/>
      <c r="C1414" s="550"/>
      <c r="D1414" s="550"/>
      <c r="E1414" s="550"/>
      <c r="F1414" s="550"/>
      <c r="G1414" s="550"/>
    </row>
    <row r="1415" spans="1:7" x14ac:dyDescent="0.25">
      <c r="A1415" s="550"/>
      <c r="B1415" s="550"/>
      <c r="C1415" s="550"/>
      <c r="D1415" s="550"/>
      <c r="E1415" s="550"/>
      <c r="F1415" s="550"/>
      <c r="G1415" s="550"/>
    </row>
    <row r="1416" spans="1:7" x14ac:dyDescent="0.25">
      <c r="A1416" s="550"/>
      <c r="B1416" s="550"/>
      <c r="C1416" s="550"/>
      <c r="D1416" s="550"/>
      <c r="E1416" s="550"/>
      <c r="F1416" s="550"/>
      <c r="G1416" s="550"/>
    </row>
    <row r="1417" spans="1:7" x14ac:dyDescent="0.25">
      <c r="A1417" s="550"/>
      <c r="B1417" s="550"/>
      <c r="C1417" s="550"/>
      <c r="D1417" s="550"/>
      <c r="E1417" s="550"/>
      <c r="F1417" s="550"/>
      <c r="G1417" s="550"/>
    </row>
    <row r="1418" spans="1:7" x14ac:dyDescent="0.25">
      <c r="A1418" s="550"/>
      <c r="B1418" s="550"/>
      <c r="C1418" s="550"/>
      <c r="D1418" s="550"/>
      <c r="E1418" s="550"/>
      <c r="F1418" s="550"/>
      <c r="G1418" s="550"/>
    </row>
    <row r="1419" spans="1:7" x14ac:dyDescent="0.25">
      <c r="A1419" s="550"/>
      <c r="B1419" s="550"/>
      <c r="C1419" s="550"/>
      <c r="D1419" s="550"/>
      <c r="E1419" s="550"/>
      <c r="F1419" s="550"/>
      <c r="G1419" s="550"/>
    </row>
    <row r="1420" spans="1:7" x14ac:dyDescent="0.25">
      <c r="A1420" s="550"/>
      <c r="B1420" s="550"/>
      <c r="C1420" s="550"/>
      <c r="D1420" s="550"/>
      <c r="E1420" s="550"/>
      <c r="F1420" s="550"/>
      <c r="G1420" s="550"/>
    </row>
    <row r="1421" spans="1:7" x14ac:dyDescent="0.25">
      <c r="A1421" s="550"/>
      <c r="B1421" s="550"/>
      <c r="C1421" s="550"/>
      <c r="D1421" s="550"/>
      <c r="E1421" s="550"/>
      <c r="F1421" s="550"/>
      <c r="G1421" s="550"/>
    </row>
    <row r="1422" spans="1:7" x14ac:dyDescent="0.25">
      <c r="A1422" s="550"/>
      <c r="B1422" s="550"/>
      <c r="C1422" s="550"/>
      <c r="D1422" s="550"/>
      <c r="E1422" s="550"/>
      <c r="F1422" s="550"/>
      <c r="G1422" s="550"/>
    </row>
    <row r="1423" spans="1:7" x14ac:dyDescent="0.25">
      <c r="A1423" s="550"/>
      <c r="B1423" s="550"/>
      <c r="C1423" s="550"/>
      <c r="D1423" s="550"/>
      <c r="E1423" s="550"/>
      <c r="F1423" s="550"/>
      <c r="G1423" s="550"/>
    </row>
    <row r="1424" spans="1:7" x14ac:dyDescent="0.25">
      <c r="A1424" s="550"/>
      <c r="B1424" s="550"/>
      <c r="C1424" s="550"/>
      <c r="D1424" s="550"/>
      <c r="E1424" s="550"/>
      <c r="F1424" s="550"/>
      <c r="G1424" s="550"/>
    </row>
    <row r="1425" spans="1:7" x14ac:dyDescent="0.25">
      <c r="A1425" s="550"/>
      <c r="B1425" s="550"/>
      <c r="C1425" s="550"/>
      <c r="D1425" s="550"/>
      <c r="E1425" s="550"/>
      <c r="F1425" s="550"/>
      <c r="G1425" s="550"/>
    </row>
    <row r="1426" spans="1:7" x14ac:dyDescent="0.25">
      <c r="A1426" s="550"/>
      <c r="B1426" s="550"/>
      <c r="C1426" s="550"/>
      <c r="D1426" s="550"/>
      <c r="E1426" s="550"/>
      <c r="F1426" s="550"/>
      <c r="G1426" s="550"/>
    </row>
    <row r="1427" spans="1:7" x14ac:dyDescent="0.25">
      <c r="A1427" s="550"/>
      <c r="B1427" s="550"/>
      <c r="C1427" s="550"/>
      <c r="D1427" s="550"/>
      <c r="E1427" s="550"/>
      <c r="F1427" s="550"/>
      <c r="G1427" s="550"/>
    </row>
    <row r="1428" spans="1:7" x14ac:dyDescent="0.25">
      <c r="A1428" s="550"/>
      <c r="B1428" s="550"/>
      <c r="C1428" s="550"/>
      <c r="D1428" s="550"/>
      <c r="E1428" s="550"/>
      <c r="F1428" s="550"/>
      <c r="G1428" s="550"/>
    </row>
    <row r="1429" spans="1:7" x14ac:dyDescent="0.25">
      <c r="A1429" s="550"/>
      <c r="B1429" s="550"/>
      <c r="C1429" s="550"/>
      <c r="D1429" s="550"/>
      <c r="E1429" s="550"/>
      <c r="F1429" s="550"/>
      <c r="G1429" s="550"/>
    </row>
    <row r="1430" spans="1:7" x14ac:dyDescent="0.25">
      <c r="A1430" s="550"/>
      <c r="B1430" s="550"/>
      <c r="C1430" s="550"/>
      <c r="D1430" s="550"/>
      <c r="E1430" s="550"/>
      <c r="F1430" s="550"/>
      <c r="G1430" s="550"/>
    </row>
    <row r="1431" spans="1:7" x14ac:dyDescent="0.25">
      <c r="A1431" s="550"/>
      <c r="B1431" s="550"/>
      <c r="C1431" s="550"/>
      <c r="D1431" s="550"/>
      <c r="E1431" s="550"/>
      <c r="F1431" s="550"/>
      <c r="G1431" s="550"/>
    </row>
    <row r="1432" spans="1:7" x14ac:dyDescent="0.25">
      <c r="A1432" s="550"/>
      <c r="B1432" s="550"/>
      <c r="C1432" s="550"/>
      <c r="D1432" s="550"/>
      <c r="E1432" s="550"/>
      <c r="F1432" s="550"/>
      <c r="G1432" s="550"/>
    </row>
    <row r="1433" spans="1:7" x14ac:dyDescent="0.25">
      <c r="A1433" s="550"/>
      <c r="B1433" s="550"/>
      <c r="C1433" s="550"/>
      <c r="D1433" s="550"/>
      <c r="E1433" s="550"/>
      <c r="F1433" s="550"/>
      <c r="G1433" s="550"/>
    </row>
    <row r="1434" spans="1:7" x14ac:dyDescent="0.25">
      <c r="A1434" s="550"/>
      <c r="B1434" s="550"/>
      <c r="C1434" s="550"/>
      <c r="D1434" s="550"/>
      <c r="E1434" s="550"/>
      <c r="F1434" s="550"/>
      <c r="G1434" s="550"/>
    </row>
    <row r="1435" spans="1:7" x14ac:dyDescent="0.25">
      <c r="A1435" s="550"/>
      <c r="B1435" s="550"/>
      <c r="C1435" s="550"/>
      <c r="D1435" s="550"/>
      <c r="E1435" s="550"/>
      <c r="F1435" s="550"/>
      <c r="G1435" s="550"/>
    </row>
    <row r="1436" spans="1:7" x14ac:dyDescent="0.25">
      <c r="A1436" s="550"/>
      <c r="B1436" s="550"/>
      <c r="C1436" s="550"/>
      <c r="D1436" s="550"/>
      <c r="E1436" s="550"/>
      <c r="F1436" s="550"/>
      <c r="G1436" s="550"/>
    </row>
    <row r="1437" spans="1:7" x14ac:dyDescent="0.25">
      <c r="A1437" s="550"/>
      <c r="B1437" s="550"/>
      <c r="C1437" s="550"/>
      <c r="D1437" s="550"/>
      <c r="E1437" s="550"/>
      <c r="F1437" s="550"/>
      <c r="G1437" s="550"/>
    </row>
    <row r="1438" spans="1:7" x14ac:dyDescent="0.25">
      <c r="A1438" s="550"/>
      <c r="B1438" s="550"/>
      <c r="C1438" s="550"/>
      <c r="D1438" s="550"/>
      <c r="E1438" s="550"/>
      <c r="F1438" s="550"/>
      <c r="G1438" s="550"/>
    </row>
    <row r="1439" spans="1:7" x14ac:dyDescent="0.25">
      <c r="A1439" s="550"/>
      <c r="B1439" s="550"/>
      <c r="C1439" s="550"/>
      <c r="D1439" s="550"/>
      <c r="E1439" s="550"/>
      <c r="F1439" s="550"/>
      <c r="G1439" s="550"/>
    </row>
    <row r="1440" spans="1:7" x14ac:dyDescent="0.25">
      <c r="A1440" s="550"/>
      <c r="B1440" s="550"/>
      <c r="C1440" s="550"/>
      <c r="D1440" s="550"/>
      <c r="E1440" s="550"/>
      <c r="F1440" s="550"/>
      <c r="G1440" s="550"/>
    </row>
    <row r="1441" spans="1:7" x14ac:dyDescent="0.25">
      <c r="A1441" s="550"/>
      <c r="B1441" s="550"/>
      <c r="C1441" s="550"/>
      <c r="D1441" s="550"/>
      <c r="E1441" s="550"/>
      <c r="F1441" s="550"/>
      <c r="G1441" s="550"/>
    </row>
    <row r="1442" spans="1:7" x14ac:dyDescent="0.25">
      <c r="A1442" s="550"/>
      <c r="B1442" s="550"/>
      <c r="C1442" s="550"/>
      <c r="D1442" s="550"/>
      <c r="E1442" s="550"/>
      <c r="F1442" s="550"/>
      <c r="G1442" s="550"/>
    </row>
    <row r="1443" spans="1:7" x14ac:dyDescent="0.25">
      <c r="A1443" s="550"/>
      <c r="B1443" s="550"/>
      <c r="C1443" s="550"/>
      <c r="D1443" s="550"/>
      <c r="E1443" s="550"/>
      <c r="F1443" s="550"/>
      <c r="G1443" s="550"/>
    </row>
    <row r="1444" spans="1:7" x14ac:dyDescent="0.25">
      <c r="A1444" s="550"/>
      <c r="B1444" s="550"/>
      <c r="C1444" s="550"/>
      <c r="D1444" s="550"/>
      <c r="E1444" s="550"/>
      <c r="F1444" s="550"/>
      <c r="G1444" s="550"/>
    </row>
    <row r="1445" spans="1:7" x14ac:dyDescent="0.25">
      <c r="A1445" s="550"/>
      <c r="B1445" s="550"/>
      <c r="C1445" s="550"/>
      <c r="D1445" s="550"/>
      <c r="E1445" s="550"/>
      <c r="F1445" s="550"/>
      <c r="G1445" s="550"/>
    </row>
    <row r="1446" spans="1:7" x14ac:dyDescent="0.25">
      <c r="A1446" s="550"/>
      <c r="B1446" s="550"/>
      <c r="C1446" s="550"/>
      <c r="D1446" s="550"/>
      <c r="E1446" s="550"/>
      <c r="F1446" s="550"/>
      <c r="G1446" s="550"/>
    </row>
    <row r="1447" spans="1:7" x14ac:dyDescent="0.25">
      <c r="A1447" s="550"/>
      <c r="B1447" s="550"/>
      <c r="C1447" s="550"/>
      <c r="D1447" s="550"/>
      <c r="E1447" s="550"/>
      <c r="F1447" s="550"/>
      <c r="G1447" s="550"/>
    </row>
    <row r="1448" spans="1:7" x14ac:dyDescent="0.25">
      <c r="A1448" s="550"/>
      <c r="B1448" s="550"/>
      <c r="C1448" s="550"/>
      <c r="D1448" s="550"/>
      <c r="E1448" s="550"/>
      <c r="F1448" s="550"/>
      <c r="G1448" s="550"/>
    </row>
    <row r="1449" spans="1:7" x14ac:dyDescent="0.25">
      <c r="A1449" s="550"/>
      <c r="B1449" s="550"/>
      <c r="C1449" s="550"/>
      <c r="D1449" s="550"/>
      <c r="E1449" s="550"/>
      <c r="F1449" s="550"/>
      <c r="G1449" s="550"/>
    </row>
    <row r="1450" spans="1:7" x14ac:dyDescent="0.25">
      <c r="A1450" s="550"/>
      <c r="B1450" s="550"/>
      <c r="C1450" s="550"/>
      <c r="D1450" s="550"/>
      <c r="E1450" s="550"/>
      <c r="F1450" s="550"/>
      <c r="G1450" s="550"/>
    </row>
    <row r="1451" spans="1:7" x14ac:dyDescent="0.25">
      <c r="A1451" s="550"/>
      <c r="B1451" s="550"/>
      <c r="C1451" s="550"/>
      <c r="D1451" s="550"/>
      <c r="E1451" s="550"/>
      <c r="F1451" s="550"/>
      <c r="G1451" s="550"/>
    </row>
    <row r="1452" spans="1:7" x14ac:dyDescent="0.25">
      <c r="A1452" s="550"/>
      <c r="B1452" s="550"/>
      <c r="C1452" s="550"/>
      <c r="D1452" s="550"/>
      <c r="E1452" s="550"/>
      <c r="F1452" s="550"/>
      <c r="G1452" s="550"/>
    </row>
    <row r="1453" spans="1:7" x14ac:dyDescent="0.25">
      <c r="A1453" s="550"/>
      <c r="B1453" s="550"/>
      <c r="C1453" s="550"/>
      <c r="D1453" s="550"/>
      <c r="E1453" s="550"/>
      <c r="F1453" s="550"/>
      <c r="G1453" s="550"/>
    </row>
    <row r="1454" spans="1:7" x14ac:dyDescent="0.25">
      <c r="A1454" s="550"/>
      <c r="B1454" s="550"/>
      <c r="C1454" s="550"/>
      <c r="D1454" s="550"/>
      <c r="E1454" s="550"/>
      <c r="F1454" s="550"/>
      <c r="G1454" s="550"/>
    </row>
    <row r="1455" spans="1:7" x14ac:dyDescent="0.25">
      <c r="A1455" s="550"/>
      <c r="B1455" s="550"/>
      <c r="C1455" s="550"/>
      <c r="D1455" s="550"/>
      <c r="E1455" s="550"/>
      <c r="F1455" s="550"/>
      <c r="G1455" s="550"/>
    </row>
    <row r="1456" spans="1:7" x14ac:dyDescent="0.25">
      <c r="A1456" s="550"/>
      <c r="B1456" s="550"/>
      <c r="C1456" s="550"/>
      <c r="D1456" s="550"/>
      <c r="E1456" s="550"/>
      <c r="F1456" s="550"/>
      <c r="G1456" s="550"/>
    </row>
    <row r="1457" spans="1:7" x14ac:dyDescent="0.25">
      <c r="A1457" s="550"/>
      <c r="B1457" s="550"/>
      <c r="C1457" s="550"/>
      <c r="D1457" s="550"/>
      <c r="E1457" s="550"/>
      <c r="F1457" s="550"/>
      <c r="G1457" s="550"/>
    </row>
    <row r="1458" spans="1:7" x14ac:dyDescent="0.25">
      <c r="A1458" s="550"/>
      <c r="B1458" s="550"/>
      <c r="C1458" s="550"/>
      <c r="D1458" s="550"/>
      <c r="E1458" s="550"/>
      <c r="F1458" s="550"/>
      <c r="G1458" s="550"/>
    </row>
    <row r="1459" spans="1:7" x14ac:dyDescent="0.25">
      <c r="A1459" s="550"/>
      <c r="B1459" s="550"/>
      <c r="C1459" s="550"/>
      <c r="D1459" s="550"/>
      <c r="E1459" s="550"/>
      <c r="F1459" s="550"/>
      <c r="G1459" s="550"/>
    </row>
    <row r="1460" spans="1:7" x14ac:dyDescent="0.25">
      <c r="A1460" s="550"/>
      <c r="B1460" s="550"/>
      <c r="C1460" s="550"/>
      <c r="D1460" s="550"/>
      <c r="E1460" s="550"/>
      <c r="F1460" s="550"/>
      <c r="G1460" s="550"/>
    </row>
    <row r="1461" spans="1:7" x14ac:dyDescent="0.25">
      <c r="A1461" s="550"/>
      <c r="B1461" s="550"/>
      <c r="C1461" s="550"/>
      <c r="D1461" s="550"/>
      <c r="E1461" s="550"/>
      <c r="F1461" s="550"/>
      <c r="G1461" s="550"/>
    </row>
    <row r="1462" spans="1:7" x14ac:dyDescent="0.25">
      <c r="A1462" s="550"/>
      <c r="B1462" s="550"/>
      <c r="C1462" s="550"/>
      <c r="D1462" s="550"/>
      <c r="E1462" s="550"/>
      <c r="F1462" s="550"/>
      <c r="G1462" s="550"/>
    </row>
    <row r="1463" spans="1:7" x14ac:dyDescent="0.25">
      <c r="A1463" s="550"/>
      <c r="B1463" s="550"/>
      <c r="C1463" s="550"/>
      <c r="D1463" s="550"/>
      <c r="E1463" s="550"/>
      <c r="F1463" s="550"/>
      <c r="G1463" s="550"/>
    </row>
    <row r="1464" spans="1:7" x14ac:dyDescent="0.25">
      <c r="A1464" s="550"/>
      <c r="B1464" s="550"/>
      <c r="C1464" s="550"/>
      <c r="D1464" s="550"/>
      <c r="E1464" s="550"/>
      <c r="F1464" s="550"/>
      <c r="G1464" s="550"/>
    </row>
    <row r="1465" spans="1:7" x14ac:dyDescent="0.25">
      <c r="A1465" s="550"/>
      <c r="B1465" s="550"/>
      <c r="C1465" s="550"/>
      <c r="D1465" s="550"/>
      <c r="E1465" s="550"/>
      <c r="F1465" s="550"/>
      <c r="G1465" s="550"/>
    </row>
    <row r="1466" spans="1:7" x14ac:dyDescent="0.25">
      <c r="A1466" s="550"/>
      <c r="B1466" s="550"/>
      <c r="C1466" s="550"/>
      <c r="D1466" s="550"/>
      <c r="E1466" s="550"/>
      <c r="F1466" s="550"/>
      <c r="G1466" s="550"/>
    </row>
    <row r="1467" spans="1:7" x14ac:dyDescent="0.25">
      <c r="A1467" s="550"/>
      <c r="B1467" s="550"/>
      <c r="C1467" s="550"/>
      <c r="D1467" s="550"/>
      <c r="E1467" s="550"/>
      <c r="F1467" s="550"/>
      <c r="G1467" s="550"/>
    </row>
    <row r="1468" spans="1:7" x14ac:dyDescent="0.25">
      <c r="A1468" s="550"/>
      <c r="B1468" s="550"/>
      <c r="C1468" s="550"/>
      <c r="D1468" s="550"/>
      <c r="E1468" s="550"/>
      <c r="F1468" s="550"/>
      <c r="G1468" s="550"/>
    </row>
    <row r="1469" spans="1:7" x14ac:dyDescent="0.25">
      <c r="A1469" s="550"/>
      <c r="B1469" s="550"/>
      <c r="C1469" s="550"/>
      <c r="D1469" s="550"/>
      <c r="E1469" s="550"/>
      <c r="F1469" s="550"/>
      <c r="G1469" s="550"/>
    </row>
    <row r="1470" spans="1:7" x14ac:dyDescent="0.25">
      <c r="A1470" s="550"/>
      <c r="B1470" s="550"/>
      <c r="C1470" s="550"/>
      <c r="D1470" s="550"/>
      <c r="E1470" s="550"/>
      <c r="F1470" s="550"/>
      <c r="G1470" s="550"/>
    </row>
    <row r="1471" spans="1:7" x14ac:dyDescent="0.25">
      <c r="A1471" s="550"/>
      <c r="B1471" s="550"/>
      <c r="C1471" s="550"/>
      <c r="D1471" s="550"/>
      <c r="E1471" s="550"/>
      <c r="F1471" s="550"/>
      <c r="G1471" s="550"/>
    </row>
    <row r="1472" spans="1:7" x14ac:dyDescent="0.25">
      <c r="A1472" s="550"/>
      <c r="B1472" s="550"/>
      <c r="C1472" s="550"/>
      <c r="D1472" s="550"/>
      <c r="E1472" s="550"/>
      <c r="F1472" s="550"/>
      <c r="G1472" s="550"/>
    </row>
    <row r="1473" spans="1:7" x14ac:dyDescent="0.25">
      <c r="A1473" s="550"/>
      <c r="B1473" s="550"/>
      <c r="C1473" s="550"/>
      <c r="D1473" s="550"/>
      <c r="E1473" s="550"/>
      <c r="F1473" s="550"/>
      <c r="G1473" s="550"/>
    </row>
    <row r="1474" spans="1:7" x14ac:dyDescent="0.25">
      <c r="A1474" s="550"/>
      <c r="B1474" s="550"/>
      <c r="C1474" s="550"/>
      <c r="D1474" s="550"/>
      <c r="E1474" s="550"/>
      <c r="F1474" s="550"/>
      <c r="G1474" s="550"/>
    </row>
    <row r="1475" spans="1:7" x14ac:dyDescent="0.25">
      <c r="A1475" s="550"/>
      <c r="B1475" s="550"/>
      <c r="C1475" s="550"/>
      <c r="D1475" s="550"/>
      <c r="E1475" s="550"/>
      <c r="F1475" s="550"/>
      <c r="G1475" s="550"/>
    </row>
    <row r="1476" spans="1:7" x14ac:dyDescent="0.25">
      <c r="A1476" s="550"/>
      <c r="B1476" s="550"/>
      <c r="C1476" s="550"/>
      <c r="D1476" s="550"/>
      <c r="E1476" s="550"/>
      <c r="F1476" s="550"/>
      <c r="G1476" s="550"/>
    </row>
    <row r="1477" spans="1:7" x14ac:dyDescent="0.25">
      <c r="A1477" s="550"/>
      <c r="B1477" s="550"/>
      <c r="C1477" s="550"/>
      <c r="D1477" s="550"/>
      <c r="E1477" s="550"/>
      <c r="F1477" s="550"/>
      <c r="G1477" s="550"/>
    </row>
    <row r="1478" spans="1:7" x14ac:dyDescent="0.25">
      <c r="A1478" s="550"/>
      <c r="B1478" s="550"/>
      <c r="C1478" s="550"/>
      <c r="D1478" s="550"/>
      <c r="E1478" s="550"/>
      <c r="F1478" s="550"/>
      <c r="G1478" s="550"/>
    </row>
    <row r="1479" spans="1:7" x14ac:dyDescent="0.25">
      <c r="A1479" s="550"/>
      <c r="B1479" s="550"/>
      <c r="C1479" s="550"/>
      <c r="D1479" s="550"/>
      <c r="E1479" s="550"/>
      <c r="F1479" s="550"/>
      <c r="G1479" s="550"/>
    </row>
    <row r="1480" spans="1:7" x14ac:dyDescent="0.25">
      <c r="A1480" s="550"/>
      <c r="B1480" s="550"/>
      <c r="C1480" s="550"/>
      <c r="D1480" s="550"/>
      <c r="E1480" s="550"/>
      <c r="F1480" s="550"/>
      <c r="G1480" s="550"/>
    </row>
    <row r="1481" spans="1:7" x14ac:dyDescent="0.25">
      <c r="A1481" s="550"/>
      <c r="B1481" s="550"/>
      <c r="C1481" s="550"/>
      <c r="D1481" s="550"/>
      <c r="E1481" s="550"/>
      <c r="F1481" s="550"/>
      <c r="G1481" s="550"/>
    </row>
    <row r="1482" spans="1:7" x14ac:dyDescent="0.25">
      <c r="A1482" s="550"/>
      <c r="B1482" s="550"/>
      <c r="C1482" s="550"/>
      <c r="D1482" s="550"/>
      <c r="E1482" s="550"/>
      <c r="F1482" s="550"/>
      <c r="G1482" s="550"/>
    </row>
    <row r="1483" spans="1:7" x14ac:dyDescent="0.25">
      <c r="A1483" s="550"/>
      <c r="B1483" s="550"/>
      <c r="C1483" s="550"/>
      <c r="D1483" s="550"/>
      <c r="E1483" s="550"/>
      <c r="F1483" s="550"/>
      <c r="G1483" s="550"/>
    </row>
    <row r="1484" spans="1:7" x14ac:dyDescent="0.25">
      <c r="A1484" s="550"/>
      <c r="B1484" s="550"/>
      <c r="C1484" s="550"/>
      <c r="D1484" s="550"/>
      <c r="E1484" s="550"/>
      <c r="F1484" s="550"/>
      <c r="G1484" s="550"/>
    </row>
    <row r="1485" spans="1:7" x14ac:dyDescent="0.25">
      <c r="A1485" s="550"/>
      <c r="B1485" s="550"/>
      <c r="C1485" s="550"/>
      <c r="D1485" s="550"/>
      <c r="E1485" s="550"/>
      <c r="F1485" s="550"/>
      <c r="G1485" s="550"/>
    </row>
    <row r="1486" spans="1:7" x14ac:dyDescent="0.25">
      <c r="A1486" s="550"/>
      <c r="B1486" s="550"/>
      <c r="C1486" s="550"/>
      <c r="D1486" s="550"/>
      <c r="E1486" s="550"/>
      <c r="F1486" s="550"/>
      <c r="G1486" s="550"/>
    </row>
    <row r="1487" spans="1:7" x14ac:dyDescent="0.25">
      <c r="A1487" s="550"/>
      <c r="B1487" s="550"/>
      <c r="C1487" s="550"/>
      <c r="D1487" s="550"/>
      <c r="E1487" s="550"/>
      <c r="F1487" s="550"/>
      <c r="G1487" s="550"/>
    </row>
    <row r="1488" spans="1:7" x14ac:dyDescent="0.25">
      <c r="A1488" s="550"/>
      <c r="B1488" s="550"/>
      <c r="C1488" s="550"/>
      <c r="D1488" s="550"/>
      <c r="E1488" s="550"/>
      <c r="F1488" s="550"/>
      <c r="G1488" s="550"/>
    </row>
    <row r="1489" spans="1:7" x14ac:dyDescent="0.25">
      <c r="A1489" s="550"/>
      <c r="B1489" s="550"/>
      <c r="C1489" s="550"/>
      <c r="D1489" s="550"/>
      <c r="E1489" s="550"/>
      <c r="F1489" s="550"/>
      <c r="G1489" s="550"/>
    </row>
    <row r="1490" spans="1:7" x14ac:dyDescent="0.25">
      <c r="A1490" s="550"/>
      <c r="B1490" s="550"/>
      <c r="C1490" s="550"/>
      <c r="D1490" s="550"/>
      <c r="E1490" s="550"/>
      <c r="F1490" s="550"/>
      <c r="G1490" s="550"/>
    </row>
    <row r="1491" spans="1:7" x14ac:dyDescent="0.25">
      <c r="A1491" s="550"/>
      <c r="B1491" s="550"/>
      <c r="C1491" s="550"/>
      <c r="D1491" s="550"/>
      <c r="E1491" s="550"/>
      <c r="F1491" s="550"/>
      <c r="G1491" s="550"/>
    </row>
    <row r="1492" spans="1:7" x14ac:dyDescent="0.25">
      <c r="A1492" s="550"/>
      <c r="B1492" s="550"/>
      <c r="C1492" s="550"/>
      <c r="D1492" s="550"/>
      <c r="E1492" s="550"/>
      <c r="F1492" s="550"/>
      <c r="G1492" s="550"/>
    </row>
    <row r="1493" spans="1:7" x14ac:dyDescent="0.25">
      <c r="A1493" s="550"/>
      <c r="B1493" s="550"/>
      <c r="C1493" s="550"/>
      <c r="D1493" s="550"/>
      <c r="E1493" s="550"/>
      <c r="F1493" s="550"/>
      <c r="G1493" s="550"/>
    </row>
    <row r="1494" spans="1:7" x14ac:dyDescent="0.25">
      <c r="A1494" s="550"/>
      <c r="B1494" s="550"/>
      <c r="C1494" s="550"/>
      <c r="D1494" s="550"/>
      <c r="E1494" s="550"/>
      <c r="F1494" s="550"/>
      <c r="G1494" s="550"/>
    </row>
    <row r="1495" spans="1:7" x14ac:dyDescent="0.25">
      <c r="A1495" s="550"/>
      <c r="B1495" s="550"/>
      <c r="C1495" s="550"/>
      <c r="D1495" s="550"/>
      <c r="E1495" s="550"/>
      <c r="F1495" s="550"/>
      <c r="G1495" s="550"/>
    </row>
    <row r="1496" spans="1:7" x14ac:dyDescent="0.25">
      <c r="A1496" s="550"/>
      <c r="B1496" s="550"/>
      <c r="C1496" s="550"/>
      <c r="D1496" s="550"/>
      <c r="E1496" s="550"/>
      <c r="F1496" s="550"/>
      <c r="G1496" s="550"/>
    </row>
    <row r="1497" spans="1:7" x14ac:dyDescent="0.25">
      <c r="A1497" s="550"/>
      <c r="B1497" s="550"/>
      <c r="C1497" s="550"/>
      <c r="D1497" s="550"/>
      <c r="E1497" s="550"/>
      <c r="F1497" s="550"/>
      <c r="G1497" s="550"/>
    </row>
    <row r="1498" spans="1:7" x14ac:dyDescent="0.25">
      <c r="A1498" s="550"/>
      <c r="B1498" s="550"/>
      <c r="C1498" s="550"/>
      <c r="D1498" s="550"/>
      <c r="E1498" s="550"/>
      <c r="F1498" s="550"/>
      <c r="G1498" s="550"/>
    </row>
    <row r="1499" spans="1:7" x14ac:dyDescent="0.25">
      <c r="A1499" s="550"/>
      <c r="B1499" s="550"/>
      <c r="C1499" s="550"/>
      <c r="D1499" s="550"/>
      <c r="E1499" s="550"/>
      <c r="F1499" s="550"/>
      <c r="G1499" s="550"/>
    </row>
    <row r="1500" spans="1:7" x14ac:dyDescent="0.25">
      <c r="A1500" s="550"/>
      <c r="B1500" s="550"/>
      <c r="C1500" s="550"/>
      <c r="D1500" s="550"/>
      <c r="E1500" s="550"/>
      <c r="F1500" s="550"/>
      <c r="G1500" s="550"/>
    </row>
    <row r="1501" spans="1:7" x14ac:dyDescent="0.25">
      <c r="A1501" s="550"/>
      <c r="B1501" s="550"/>
      <c r="C1501" s="550"/>
      <c r="D1501" s="550"/>
      <c r="E1501" s="550"/>
      <c r="F1501" s="550"/>
      <c r="G1501" s="550"/>
    </row>
    <row r="1502" spans="1:7" x14ac:dyDescent="0.25">
      <c r="A1502" s="550"/>
      <c r="B1502" s="550"/>
      <c r="C1502" s="550"/>
      <c r="D1502" s="550"/>
      <c r="E1502" s="550"/>
      <c r="F1502" s="550"/>
      <c r="G1502" s="550"/>
    </row>
    <row r="1503" spans="1:7" x14ac:dyDescent="0.25">
      <c r="A1503" s="550"/>
      <c r="B1503" s="550"/>
      <c r="C1503" s="550"/>
      <c r="D1503" s="550"/>
      <c r="E1503" s="550"/>
      <c r="F1503" s="550"/>
      <c r="G1503" s="550"/>
    </row>
    <row r="1504" spans="1:7" x14ac:dyDescent="0.25">
      <c r="A1504" s="550"/>
      <c r="B1504" s="550"/>
      <c r="C1504" s="550"/>
      <c r="D1504" s="550"/>
      <c r="E1504" s="550"/>
      <c r="F1504" s="550"/>
      <c r="G1504" s="550"/>
    </row>
    <row r="1505" spans="1:7" x14ac:dyDescent="0.25">
      <c r="A1505" s="550"/>
      <c r="B1505" s="550"/>
      <c r="C1505" s="550"/>
      <c r="D1505" s="550"/>
      <c r="E1505" s="550"/>
      <c r="F1505" s="550"/>
      <c r="G1505" s="550"/>
    </row>
    <row r="1506" spans="1:7" x14ac:dyDescent="0.25">
      <c r="A1506" s="550"/>
      <c r="B1506" s="550"/>
      <c r="C1506" s="550"/>
      <c r="D1506" s="550"/>
      <c r="E1506" s="550"/>
      <c r="F1506" s="550"/>
      <c r="G1506" s="550"/>
    </row>
    <row r="1507" spans="1:7" x14ac:dyDescent="0.25">
      <c r="A1507" s="550"/>
      <c r="B1507" s="550"/>
      <c r="C1507" s="550"/>
      <c r="D1507" s="550"/>
      <c r="E1507" s="550"/>
      <c r="F1507" s="550"/>
      <c r="G1507" s="550"/>
    </row>
    <row r="1508" spans="1:7" x14ac:dyDescent="0.25">
      <c r="A1508" s="550"/>
      <c r="B1508" s="550"/>
      <c r="C1508" s="550"/>
      <c r="D1508" s="550"/>
      <c r="E1508" s="550"/>
      <c r="F1508" s="550"/>
      <c r="G1508" s="550"/>
    </row>
    <row r="1509" spans="1:7" x14ac:dyDescent="0.25">
      <c r="A1509" s="550"/>
      <c r="B1509" s="550"/>
      <c r="C1509" s="550"/>
      <c r="D1509" s="550"/>
      <c r="E1509" s="550"/>
      <c r="F1509" s="550"/>
      <c r="G1509" s="550"/>
    </row>
    <row r="1510" spans="1:7" x14ac:dyDescent="0.25">
      <c r="A1510" s="550"/>
      <c r="B1510" s="550"/>
      <c r="C1510" s="550"/>
      <c r="D1510" s="550"/>
      <c r="E1510" s="550"/>
      <c r="F1510" s="550"/>
      <c r="G1510" s="550"/>
    </row>
    <row r="1511" spans="1:7" x14ac:dyDescent="0.25">
      <c r="A1511" s="550"/>
      <c r="B1511" s="550"/>
      <c r="C1511" s="550"/>
      <c r="D1511" s="550"/>
      <c r="E1511" s="550"/>
      <c r="F1511" s="550"/>
      <c r="G1511" s="550"/>
    </row>
    <row r="1512" spans="1:7" x14ac:dyDescent="0.25">
      <c r="A1512" s="550"/>
      <c r="B1512" s="550"/>
      <c r="C1512" s="550"/>
      <c r="D1512" s="550"/>
      <c r="E1512" s="550"/>
      <c r="F1512" s="550"/>
      <c r="G1512" s="550"/>
    </row>
    <row r="1513" spans="1:7" x14ac:dyDescent="0.25">
      <c r="A1513" s="550"/>
      <c r="B1513" s="550"/>
      <c r="C1513" s="550"/>
      <c r="D1513" s="550"/>
      <c r="E1513" s="550"/>
      <c r="F1513" s="550"/>
      <c r="G1513" s="550"/>
    </row>
    <row r="1514" spans="1:7" x14ac:dyDescent="0.25">
      <c r="A1514" s="550"/>
      <c r="B1514" s="550"/>
      <c r="C1514" s="550"/>
      <c r="D1514" s="550"/>
      <c r="E1514" s="550"/>
      <c r="F1514" s="550"/>
      <c r="G1514" s="550"/>
    </row>
    <row r="1515" spans="1:7" x14ac:dyDescent="0.25">
      <c r="A1515" s="550"/>
      <c r="B1515" s="550"/>
      <c r="C1515" s="550"/>
      <c r="D1515" s="550"/>
      <c r="E1515" s="550"/>
      <c r="F1515" s="550"/>
      <c r="G1515" s="550"/>
    </row>
    <row r="1516" spans="1:7" x14ac:dyDescent="0.25">
      <c r="A1516" s="550"/>
      <c r="B1516" s="550"/>
      <c r="C1516" s="550"/>
      <c r="D1516" s="550"/>
      <c r="E1516" s="550"/>
      <c r="F1516" s="550"/>
      <c r="G1516" s="550"/>
    </row>
    <row r="1517" spans="1:7" x14ac:dyDescent="0.25">
      <c r="A1517" s="550"/>
      <c r="B1517" s="550"/>
      <c r="C1517" s="550"/>
      <c r="D1517" s="550"/>
      <c r="E1517" s="550"/>
      <c r="F1517" s="550"/>
      <c r="G1517" s="550"/>
    </row>
    <row r="1518" spans="1:7" x14ac:dyDescent="0.25">
      <c r="A1518" s="550"/>
      <c r="B1518" s="550"/>
      <c r="C1518" s="550"/>
      <c r="D1518" s="550"/>
      <c r="E1518" s="550"/>
      <c r="F1518" s="550"/>
      <c r="G1518" s="550"/>
    </row>
    <row r="1519" spans="1:7" x14ac:dyDescent="0.25">
      <c r="A1519" s="550"/>
      <c r="B1519" s="550"/>
      <c r="C1519" s="550"/>
      <c r="D1519" s="550"/>
      <c r="E1519" s="550"/>
      <c r="F1519" s="550"/>
      <c r="G1519" s="550"/>
    </row>
    <row r="1520" spans="1:7" x14ac:dyDescent="0.25">
      <c r="A1520" s="550"/>
      <c r="B1520" s="550"/>
      <c r="C1520" s="550"/>
      <c r="D1520" s="550"/>
      <c r="E1520" s="550"/>
      <c r="F1520" s="550"/>
      <c r="G1520" s="550"/>
    </row>
    <row r="1521" spans="1:7" x14ac:dyDescent="0.25">
      <c r="A1521" s="550"/>
      <c r="B1521" s="550"/>
      <c r="C1521" s="550"/>
      <c r="D1521" s="550"/>
      <c r="E1521" s="550"/>
      <c r="F1521" s="550"/>
      <c r="G1521" s="550"/>
    </row>
    <row r="1522" spans="1:7" x14ac:dyDescent="0.25">
      <c r="A1522" s="550"/>
      <c r="B1522" s="550"/>
      <c r="C1522" s="550"/>
      <c r="D1522" s="550"/>
      <c r="E1522" s="550"/>
      <c r="F1522" s="550"/>
      <c r="G1522" s="550"/>
    </row>
    <row r="1523" spans="1:7" x14ac:dyDescent="0.25">
      <c r="A1523" s="550"/>
      <c r="B1523" s="550"/>
      <c r="C1523" s="550"/>
      <c r="D1523" s="550"/>
      <c r="E1523" s="550"/>
      <c r="F1523" s="550"/>
      <c r="G1523" s="550"/>
    </row>
    <row r="1524" spans="1:7" x14ac:dyDescent="0.25">
      <c r="A1524" s="550"/>
      <c r="B1524" s="550"/>
      <c r="C1524" s="550"/>
      <c r="D1524" s="550"/>
      <c r="E1524" s="550"/>
      <c r="F1524" s="550"/>
      <c r="G1524" s="550"/>
    </row>
    <row r="1525" spans="1:7" x14ac:dyDescent="0.25">
      <c r="A1525" s="550"/>
      <c r="B1525" s="550"/>
      <c r="C1525" s="550"/>
      <c r="D1525" s="550"/>
      <c r="E1525" s="550"/>
      <c r="F1525" s="550"/>
      <c r="G1525" s="550"/>
    </row>
    <row r="1526" spans="1:7" x14ac:dyDescent="0.25">
      <c r="A1526" s="550"/>
      <c r="B1526" s="550"/>
      <c r="C1526" s="550"/>
      <c r="D1526" s="550"/>
      <c r="E1526" s="550"/>
      <c r="F1526" s="550"/>
      <c r="G1526" s="550"/>
    </row>
    <row r="1527" spans="1:7" x14ac:dyDescent="0.25">
      <c r="A1527" s="550"/>
      <c r="B1527" s="550"/>
      <c r="C1527" s="550"/>
      <c r="D1527" s="550"/>
      <c r="E1527" s="550"/>
      <c r="F1527" s="550"/>
      <c r="G1527" s="550"/>
    </row>
    <row r="1528" spans="1:7" x14ac:dyDescent="0.25">
      <c r="A1528" s="550"/>
      <c r="B1528" s="550"/>
      <c r="C1528" s="550"/>
      <c r="D1528" s="550"/>
      <c r="E1528" s="550"/>
      <c r="F1528" s="550"/>
      <c r="G1528" s="550"/>
    </row>
    <row r="1529" spans="1:7" x14ac:dyDescent="0.25">
      <c r="A1529" s="550"/>
      <c r="B1529" s="550"/>
      <c r="C1529" s="550"/>
      <c r="D1529" s="550"/>
      <c r="E1529" s="550"/>
      <c r="F1529" s="550"/>
      <c r="G1529" s="550"/>
    </row>
    <row r="1530" spans="1:7" x14ac:dyDescent="0.25">
      <c r="A1530" s="550"/>
      <c r="B1530" s="550"/>
      <c r="C1530" s="550"/>
      <c r="D1530" s="550"/>
      <c r="E1530" s="550"/>
      <c r="F1530" s="550"/>
      <c r="G1530" s="550"/>
    </row>
    <row r="1531" spans="1:7" x14ac:dyDescent="0.25">
      <c r="A1531" s="550"/>
      <c r="B1531" s="550"/>
      <c r="C1531" s="550"/>
      <c r="D1531" s="550"/>
      <c r="E1531" s="550"/>
      <c r="F1531" s="550"/>
      <c r="G1531" s="550"/>
    </row>
    <row r="1532" spans="1:7" x14ac:dyDescent="0.25">
      <c r="A1532" s="550"/>
      <c r="B1532" s="550"/>
      <c r="C1532" s="550"/>
      <c r="D1532" s="550"/>
      <c r="E1532" s="550"/>
      <c r="F1532" s="550"/>
      <c r="G1532" s="550"/>
    </row>
    <row r="1533" spans="1:7" x14ac:dyDescent="0.25">
      <c r="A1533" s="550"/>
      <c r="B1533" s="550"/>
      <c r="C1533" s="550"/>
      <c r="D1533" s="550"/>
      <c r="E1533" s="550"/>
      <c r="F1533" s="550"/>
      <c r="G1533" s="550"/>
    </row>
    <row r="1534" spans="1:7" x14ac:dyDescent="0.25">
      <c r="A1534" s="550"/>
      <c r="B1534" s="550"/>
      <c r="C1534" s="550"/>
      <c r="D1534" s="550"/>
      <c r="E1534" s="550"/>
      <c r="F1534" s="550"/>
      <c r="G1534" s="550"/>
    </row>
    <row r="1535" spans="1:7" x14ac:dyDescent="0.25">
      <c r="A1535" s="550"/>
      <c r="B1535" s="550"/>
      <c r="C1535" s="550"/>
      <c r="D1535" s="550"/>
      <c r="E1535" s="550"/>
      <c r="F1535" s="550"/>
      <c r="G1535" s="550"/>
    </row>
    <row r="1536" spans="1:7" x14ac:dyDescent="0.25">
      <c r="A1536" s="550"/>
      <c r="B1536" s="550"/>
      <c r="C1536" s="550"/>
      <c r="D1536" s="550"/>
      <c r="E1536" s="550"/>
      <c r="F1536" s="550"/>
      <c r="G1536" s="550"/>
    </row>
    <row r="1537" spans="1:7" x14ac:dyDescent="0.25">
      <c r="A1537" s="550"/>
      <c r="B1537" s="550"/>
      <c r="C1537" s="550"/>
      <c r="D1537" s="550"/>
      <c r="E1537" s="550"/>
      <c r="F1537" s="550"/>
      <c r="G1537" s="550"/>
    </row>
    <row r="1538" spans="1:7" x14ac:dyDescent="0.25">
      <c r="A1538" s="550"/>
      <c r="B1538" s="550"/>
      <c r="C1538" s="550"/>
      <c r="D1538" s="550"/>
      <c r="E1538" s="550"/>
      <c r="F1538" s="550"/>
      <c r="G1538" s="550"/>
    </row>
    <row r="1539" spans="1:7" x14ac:dyDescent="0.25">
      <c r="A1539" s="550"/>
      <c r="B1539" s="550"/>
      <c r="C1539" s="550"/>
      <c r="D1539" s="550"/>
      <c r="E1539" s="550"/>
      <c r="F1539" s="550"/>
      <c r="G1539" s="550"/>
    </row>
    <row r="1540" spans="1:7" x14ac:dyDescent="0.25">
      <c r="A1540" s="550"/>
      <c r="B1540" s="550"/>
      <c r="C1540" s="550"/>
      <c r="D1540" s="550"/>
      <c r="E1540" s="550"/>
      <c r="F1540" s="550"/>
      <c r="G1540" s="550"/>
    </row>
    <row r="1541" spans="1:7" x14ac:dyDescent="0.25">
      <c r="A1541" s="550"/>
      <c r="B1541" s="550"/>
      <c r="C1541" s="550"/>
      <c r="D1541" s="550"/>
      <c r="E1541" s="550"/>
      <c r="F1541" s="550"/>
      <c r="G1541" s="550"/>
    </row>
    <row r="1542" spans="1:7" x14ac:dyDescent="0.25">
      <c r="A1542" s="550"/>
      <c r="B1542" s="550"/>
      <c r="C1542" s="550"/>
      <c r="D1542" s="550"/>
      <c r="E1542" s="550"/>
      <c r="F1542" s="550"/>
      <c r="G1542" s="550"/>
    </row>
    <row r="1543" spans="1:7" x14ac:dyDescent="0.25">
      <c r="A1543" s="550"/>
      <c r="B1543" s="550"/>
      <c r="C1543" s="550"/>
      <c r="D1543" s="550"/>
      <c r="E1543" s="550"/>
      <c r="F1543" s="550"/>
      <c r="G1543" s="550"/>
    </row>
    <row r="1544" spans="1:7" x14ac:dyDescent="0.25">
      <c r="A1544" s="550"/>
      <c r="B1544" s="550"/>
      <c r="C1544" s="550"/>
      <c r="D1544" s="550"/>
      <c r="E1544" s="550"/>
      <c r="F1544" s="550"/>
      <c r="G1544" s="550"/>
    </row>
    <row r="1545" spans="1:7" x14ac:dyDescent="0.25">
      <c r="A1545" s="550"/>
      <c r="B1545" s="550"/>
      <c r="C1545" s="550"/>
      <c r="D1545" s="550"/>
      <c r="E1545" s="550"/>
      <c r="F1545" s="550"/>
      <c r="G1545" s="550"/>
    </row>
    <row r="1546" spans="1:7" x14ac:dyDescent="0.25">
      <c r="A1546" s="550"/>
      <c r="B1546" s="550"/>
      <c r="C1546" s="550"/>
      <c r="D1546" s="550"/>
      <c r="E1546" s="550"/>
      <c r="F1546" s="550"/>
      <c r="G1546" s="550"/>
    </row>
    <row r="1547" spans="1:7" x14ac:dyDescent="0.25">
      <c r="A1547" s="550"/>
      <c r="B1547" s="550"/>
      <c r="C1547" s="550"/>
      <c r="D1547" s="550"/>
      <c r="E1547" s="550"/>
      <c r="F1547" s="550"/>
      <c r="G1547" s="550"/>
    </row>
    <row r="1548" spans="1:7" x14ac:dyDescent="0.25">
      <c r="A1548" s="550"/>
      <c r="B1548" s="550"/>
      <c r="C1548" s="550"/>
      <c r="D1548" s="550"/>
      <c r="E1548" s="550"/>
      <c r="F1548" s="550"/>
      <c r="G1548" s="550"/>
    </row>
    <row r="1549" spans="1:7" x14ac:dyDescent="0.25">
      <c r="A1549" s="550"/>
      <c r="B1549" s="550"/>
      <c r="C1549" s="550"/>
      <c r="D1549" s="550"/>
      <c r="E1549" s="550"/>
      <c r="F1549" s="550"/>
      <c r="G1549" s="550"/>
    </row>
    <row r="1550" spans="1:7" x14ac:dyDescent="0.25">
      <c r="A1550" s="550"/>
      <c r="B1550" s="550"/>
      <c r="C1550" s="550"/>
      <c r="D1550" s="550"/>
      <c r="E1550" s="550"/>
      <c r="F1550" s="550"/>
      <c r="G1550" s="550"/>
    </row>
    <row r="1551" spans="1:7" x14ac:dyDescent="0.25">
      <c r="A1551" s="550"/>
      <c r="B1551" s="550"/>
      <c r="C1551" s="550"/>
      <c r="D1551" s="550"/>
      <c r="E1551" s="550"/>
      <c r="F1551" s="550"/>
      <c r="G1551" s="550"/>
    </row>
    <row r="1552" spans="1:7" x14ac:dyDescent="0.25">
      <c r="A1552" s="550"/>
      <c r="B1552" s="550"/>
      <c r="C1552" s="550"/>
      <c r="D1552" s="550"/>
      <c r="E1552" s="550"/>
      <c r="F1552" s="550"/>
      <c r="G1552" s="550"/>
    </row>
    <row r="1553" spans="1:7" x14ac:dyDescent="0.25">
      <c r="A1553" s="550"/>
      <c r="B1553" s="550"/>
      <c r="C1553" s="550"/>
      <c r="D1553" s="550"/>
      <c r="E1553" s="550"/>
      <c r="F1553" s="550"/>
      <c r="G1553" s="550"/>
    </row>
    <row r="1554" spans="1:7" x14ac:dyDescent="0.25">
      <c r="A1554" s="550"/>
      <c r="B1554" s="550"/>
      <c r="C1554" s="550"/>
      <c r="D1554" s="550"/>
      <c r="E1554" s="550"/>
      <c r="F1554" s="550"/>
      <c r="G1554" s="550"/>
    </row>
    <row r="1555" spans="1:7" x14ac:dyDescent="0.25">
      <c r="A1555" s="550"/>
      <c r="B1555" s="550"/>
      <c r="C1555" s="550"/>
      <c r="D1555" s="550"/>
      <c r="E1555" s="550"/>
      <c r="F1555" s="550"/>
      <c r="G1555" s="550"/>
    </row>
    <row r="1556" spans="1:7" x14ac:dyDescent="0.25">
      <c r="A1556" s="550"/>
      <c r="B1556" s="550"/>
      <c r="C1556" s="550"/>
      <c r="D1556" s="550"/>
      <c r="E1556" s="550"/>
      <c r="F1556" s="550"/>
      <c r="G1556" s="550"/>
    </row>
    <row r="1557" spans="1:7" x14ac:dyDescent="0.25">
      <c r="A1557" s="550"/>
      <c r="B1557" s="550"/>
      <c r="C1557" s="550"/>
      <c r="D1557" s="550"/>
      <c r="E1557" s="550"/>
      <c r="F1557" s="550"/>
      <c r="G1557" s="550"/>
    </row>
    <row r="1558" spans="1:7" x14ac:dyDescent="0.25">
      <c r="A1558" s="550"/>
      <c r="B1558" s="550"/>
      <c r="C1558" s="550"/>
      <c r="D1558" s="550"/>
      <c r="E1558" s="550"/>
      <c r="F1558" s="550"/>
      <c r="G1558" s="550"/>
    </row>
    <row r="1559" spans="1:7" x14ac:dyDescent="0.25">
      <c r="A1559" s="550"/>
      <c r="B1559" s="550"/>
      <c r="C1559" s="550"/>
      <c r="D1559" s="550"/>
      <c r="E1559" s="550"/>
      <c r="F1559" s="550"/>
      <c r="G1559" s="550"/>
    </row>
    <row r="1560" spans="1:7" x14ac:dyDescent="0.25">
      <c r="A1560" s="550"/>
      <c r="B1560" s="550"/>
      <c r="C1560" s="550"/>
      <c r="D1560" s="550"/>
      <c r="E1560" s="550"/>
      <c r="F1560" s="550"/>
      <c r="G1560" s="550"/>
    </row>
    <row r="1561" spans="1:7" x14ac:dyDescent="0.25">
      <c r="A1561" s="550"/>
      <c r="B1561" s="550"/>
      <c r="C1561" s="550"/>
      <c r="D1561" s="550"/>
      <c r="E1561" s="550"/>
      <c r="F1561" s="550"/>
      <c r="G1561" s="550"/>
    </row>
    <row r="1562" spans="1:7" x14ac:dyDescent="0.25">
      <c r="A1562" s="550"/>
      <c r="B1562" s="550"/>
      <c r="C1562" s="550"/>
      <c r="D1562" s="550"/>
      <c r="E1562" s="550"/>
      <c r="F1562" s="550"/>
      <c r="G1562" s="550"/>
    </row>
    <row r="1563" spans="1:7" x14ac:dyDescent="0.25">
      <c r="A1563" s="550"/>
      <c r="B1563" s="550"/>
      <c r="C1563" s="550"/>
      <c r="D1563" s="550"/>
      <c r="E1563" s="550"/>
      <c r="F1563" s="550"/>
      <c r="G1563" s="550"/>
    </row>
    <row r="1564" spans="1:7" x14ac:dyDescent="0.25">
      <c r="A1564" s="550"/>
      <c r="B1564" s="550"/>
      <c r="C1564" s="550"/>
      <c r="D1564" s="550"/>
      <c r="E1564" s="550"/>
      <c r="F1564" s="550"/>
      <c r="G1564" s="550"/>
    </row>
    <row r="1565" spans="1:7" x14ac:dyDescent="0.25">
      <c r="A1565" s="550"/>
      <c r="B1565" s="550"/>
      <c r="C1565" s="550"/>
      <c r="D1565" s="550"/>
      <c r="E1565" s="550"/>
      <c r="F1565" s="550"/>
      <c r="G1565" s="550"/>
    </row>
    <row r="1566" spans="1:7" x14ac:dyDescent="0.25">
      <c r="A1566" s="550"/>
      <c r="B1566" s="550"/>
      <c r="C1566" s="550"/>
      <c r="D1566" s="550"/>
      <c r="E1566" s="550"/>
      <c r="F1566" s="550"/>
      <c r="G1566" s="550"/>
    </row>
    <row r="1567" spans="1:7" x14ac:dyDescent="0.25">
      <c r="A1567" s="550"/>
      <c r="B1567" s="550"/>
      <c r="C1567" s="550"/>
      <c r="D1567" s="550"/>
      <c r="E1567" s="550"/>
      <c r="F1567" s="550"/>
      <c r="G1567" s="550"/>
    </row>
    <row r="1568" spans="1:7" x14ac:dyDescent="0.25">
      <c r="A1568" s="550"/>
      <c r="B1568" s="550"/>
      <c r="C1568" s="550"/>
      <c r="D1568" s="550"/>
      <c r="E1568" s="550"/>
      <c r="F1568" s="550"/>
      <c r="G1568" s="550"/>
    </row>
    <row r="1569" spans="1:7" x14ac:dyDescent="0.25">
      <c r="A1569" s="550"/>
      <c r="B1569" s="550"/>
      <c r="C1569" s="550"/>
      <c r="D1569" s="550"/>
      <c r="E1569" s="550"/>
      <c r="F1569" s="550"/>
      <c r="G1569" s="550"/>
    </row>
    <row r="1570" spans="1:7" x14ac:dyDescent="0.25">
      <c r="A1570" s="550"/>
      <c r="B1570" s="550"/>
      <c r="C1570" s="550"/>
      <c r="D1570" s="550"/>
      <c r="E1570" s="550"/>
      <c r="F1570" s="550"/>
      <c r="G1570" s="550"/>
    </row>
    <row r="1571" spans="1:7" x14ac:dyDescent="0.25">
      <c r="A1571" s="550"/>
      <c r="B1571" s="550"/>
      <c r="C1571" s="550"/>
      <c r="D1571" s="550"/>
      <c r="E1571" s="550"/>
      <c r="F1571" s="550"/>
      <c r="G1571" s="550"/>
    </row>
    <row r="1572" spans="1:7" x14ac:dyDescent="0.25">
      <c r="A1572" s="550"/>
      <c r="B1572" s="550"/>
      <c r="C1572" s="550"/>
      <c r="D1572" s="550"/>
      <c r="E1572" s="550"/>
      <c r="F1572" s="550"/>
      <c r="G1572" s="550"/>
    </row>
    <row r="1573" spans="1:7" x14ac:dyDescent="0.25">
      <c r="A1573" s="550"/>
      <c r="B1573" s="550"/>
      <c r="C1573" s="550"/>
      <c r="D1573" s="550"/>
      <c r="E1573" s="550"/>
      <c r="F1573" s="550"/>
      <c r="G1573" s="550"/>
    </row>
    <row r="1574" spans="1:7" x14ac:dyDescent="0.25">
      <c r="A1574" s="550"/>
      <c r="B1574" s="550"/>
      <c r="C1574" s="550"/>
      <c r="D1574" s="550"/>
      <c r="E1574" s="550"/>
      <c r="F1574" s="550"/>
      <c r="G1574" s="550"/>
    </row>
    <row r="1575" spans="1:7" x14ac:dyDescent="0.25">
      <c r="A1575" s="550"/>
      <c r="B1575" s="550"/>
      <c r="C1575" s="550"/>
      <c r="D1575" s="550"/>
      <c r="E1575" s="550"/>
      <c r="F1575" s="550"/>
      <c r="G1575" s="550"/>
    </row>
    <row r="1576" spans="1:7" x14ac:dyDescent="0.25">
      <c r="A1576" s="550"/>
      <c r="B1576" s="550"/>
      <c r="C1576" s="550"/>
      <c r="D1576" s="550"/>
      <c r="E1576" s="550"/>
      <c r="F1576" s="550"/>
      <c r="G1576" s="550"/>
    </row>
    <row r="1577" spans="1:7" x14ac:dyDescent="0.25">
      <c r="A1577" s="550"/>
      <c r="B1577" s="550"/>
      <c r="C1577" s="550"/>
      <c r="D1577" s="550"/>
      <c r="E1577" s="550"/>
      <c r="F1577" s="550"/>
      <c r="G1577" s="550"/>
    </row>
    <row r="1578" spans="1:7" x14ac:dyDescent="0.25">
      <c r="A1578" s="550"/>
      <c r="B1578" s="550"/>
      <c r="C1578" s="550"/>
      <c r="D1578" s="550"/>
      <c r="E1578" s="550"/>
      <c r="F1578" s="550"/>
      <c r="G1578" s="550"/>
    </row>
    <row r="1579" spans="1:7" x14ac:dyDescent="0.25">
      <c r="A1579" s="550"/>
      <c r="B1579" s="550"/>
      <c r="C1579" s="550"/>
      <c r="D1579" s="550"/>
      <c r="E1579" s="550"/>
      <c r="F1579" s="550"/>
      <c r="G1579" s="550"/>
    </row>
    <row r="1580" spans="1:7" x14ac:dyDescent="0.25">
      <c r="A1580" s="550"/>
      <c r="B1580" s="550"/>
      <c r="C1580" s="550"/>
      <c r="D1580" s="550"/>
      <c r="E1580" s="550"/>
      <c r="F1580" s="550"/>
      <c r="G1580" s="550"/>
    </row>
    <row r="1581" spans="1:7" x14ac:dyDescent="0.25">
      <c r="A1581" s="550"/>
      <c r="B1581" s="550"/>
      <c r="C1581" s="550"/>
      <c r="D1581" s="550"/>
      <c r="E1581" s="550"/>
      <c r="F1581" s="550"/>
      <c r="G1581" s="550"/>
    </row>
    <row r="1582" spans="1:7" x14ac:dyDescent="0.25">
      <c r="A1582" s="550"/>
      <c r="B1582" s="550"/>
      <c r="C1582" s="550"/>
      <c r="D1582" s="550"/>
      <c r="E1582" s="550"/>
      <c r="F1582" s="550"/>
      <c r="G1582" s="550"/>
    </row>
    <row r="1583" spans="1:7" x14ac:dyDescent="0.25">
      <c r="A1583" s="550"/>
      <c r="B1583" s="550"/>
      <c r="C1583" s="550"/>
      <c r="D1583" s="550"/>
      <c r="E1583" s="550"/>
      <c r="F1583" s="550"/>
      <c r="G1583" s="550"/>
    </row>
    <row r="1584" spans="1:7" x14ac:dyDescent="0.25">
      <c r="A1584" s="550"/>
      <c r="B1584" s="550"/>
      <c r="C1584" s="550"/>
      <c r="D1584" s="550"/>
      <c r="E1584" s="550"/>
      <c r="F1584" s="550"/>
      <c r="G1584" s="550"/>
    </row>
    <row r="1585" spans="1:7" x14ac:dyDescent="0.25">
      <c r="A1585" s="550"/>
      <c r="B1585" s="550"/>
      <c r="C1585" s="550"/>
      <c r="D1585" s="550"/>
      <c r="E1585" s="550"/>
      <c r="F1585" s="550"/>
      <c r="G1585" s="550"/>
    </row>
    <row r="1586" spans="1:7" x14ac:dyDescent="0.25">
      <c r="A1586" s="550"/>
      <c r="B1586" s="550"/>
      <c r="C1586" s="550"/>
      <c r="D1586" s="550"/>
      <c r="E1586" s="550"/>
      <c r="F1586" s="550"/>
      <c r="G1586" s="550"/>
    </row>
    <row r="1587" spans="1:7" x14ac:dyDescent="0.25">
      <c r="A1587" s="550"/>
      <c r="B1587" s="550"/>
      <c r="C1587" s="550"/>
      <c r="D1587" s="550"/>
      <c r="E1587" s="550"/>
      <c r="F1587" s="550"/>
      <c r="G1587" s="550"/>
    </row>
    <row r="1588" spans="1:7" x14ac:dyDescent="0.25">
      <c r="A1588" s="550"/>
      <c r="B1588" s="550"/>
      <c r="C1588" s="550"/>
      <c r="D1588" s="550"/>
      <c r="E1588" s="550"/>
      <c r="F1588" s="550"/>
      <c r="G1588" s="550"/>
    </row>
    <row r="1589" spans="1:7" x14ac:dyDescent="0.25">
      <c r="A1589" s="550"/>
      <c r="B1589" s="550"/>
      <c r="C1589" s="550"/>
      <c r="D1589" s="550"/>
      <c r="E1589" s="550"/>
      <c r="F1589" s="550"/>
      <c r="G1589" s="550"/>
    </row>
    <row r="1590" spans="1:7" x14ac:dyDescent="0.25">
      <c r="A1590" s="550"/>
      <c r="B1590" s="550"/>
      <c r="C1590" s="550"/>
      <c r="D1590" s="550"/>
      <c r="E1590" s="550"/>
      <c r="F1590" s="550"/>
      <c r="G1590" s="550"/>
    </row>
    <row r="1591" spans="1:7" x14ac:dyDescent="0.25">
      <c r="A1591" s="550"/>
      <c r="B1591" s="550"/>
      <c r="C1591" s="550"/>
      <c r="D1591" s="550"/>
      <c r="E1591" s="550"/>
      <c r="F1591" s="550"/>
      <c r="G1591" s="550"/>
    </row>
    <row r="1592" spans="1:7" x14ac:dyDescent="0.25">
      <c r="A1592" s="550"/>
      <c r="B1592" s="550"/>
      <c r="C1592" s="550"/>
      <c r="D1592" s="550"/>
      <c r="E1592" s="550"/>
      <c r="F1592" s="550"/>
      <c r="G1592" s="550"/>
    </row>
    <row r="1593" spans="1:7" x14ac:dyDescent="0.25">
      <c r="A1593" s="550"/>
      <c r="B1593" s="550"/>
      <c r="C1593" s="550"/>
      <c r="D1593" s="550"/>
      <c r="E1593" s="550"/>
      <c r="F1593" s="550"/>
      <c r="G1593" s="550"/>
    </row>
    <row r="1594" spans="1:7" x14ac:dyDescent="0.25">
      <c r="A1594" s="550"/>
      <c r="B1594" s="550"/>
      <c r="C1594" s="550"/>
      <c r="D1594" s="550"/>
      <c r="E1594" s="550"/>
      <c r="F1594" s="550"/>
      <c r="G1594" s="550"/>
    </row>
    <row r="1595" spans="1:7" x14ac:dyDescent="0.25">
      <c r="A1595" s="550"/>
      <c r="B1595" s="550"/>
      <c r="C1595" s="550"/>
      <c r="D1595" s="550"/>
      <c r="E1595" s="550"/>
      <c r="F1595" s="550"/>
      <c r="G1595" s="550"/>
    </row>
    <row r="1596" spans="1:7" x14ac:dyDescent="0.25">
      <c r="A1596" s="550"/>
      <c r="B1596" s="550"/>
      <c r="C1596" s="550"/>
      <c r="D1596" s="550"/>
      <c r="E1596" s="550"/>
      <c r="F1596" s="550"/>
      <c r="G1596" s="550"/>
    </row>
    <row r="1597" spans="1:7" x14ac:dyDescent="0.25">
      <c r="A1597" s="550"/>
      <c r="B1597" s="550"/>
      <c r="C1597" s="550"/>
      <c r="D1597" s="550"/>
      <c r="E1597" s="550"/>
      <c r="F1597" s="550"/>
      <c r="G1597" s="550"/>
    </row>
    <row r="1598" spans="1:7" x14ac:dyDescent="0.25">
      <c r="A1598" s="550"/>
      <c r="B1598" s="550"/>
      <c r="C1598" s="550"/>
      <c r="D1598" s="550"/>
      <c r="E1598" s="550"/>
      <c r="F1598" s="550"/>
      <c r="G1598" s="550"/>
    </row>
    <row r="1599" spans="1:7" x14ac:dyDescent="0.25">
      <c r="A1599" s="550"/>
      <c r="B1599" s="550"/>
      <c r="C1599" s="550"/>
      <c r="D1599" s="550"/>
      <c r="E1599" s="550"/>
      <c r="F1599" s="550"/>
      <c r="G1599" s="550"/>
    </row>
    <row r="1600" spans="1:7" x14ac:dyDescent="0.25">
      <c r="A1600" s="550"/>
      <c r="B1600" s="550"/>
      <c r="C1600" s="550"/>
      <c r="D1600" s="550"/>
      <c r="E1600" s="550"/>
      <c r="F1600" s="550"/>
      <c r="G1600" s="550"/>
    </row>
    <row r="1601" spans="1:7" x14ac:dyDescent="0.25">
      <c r="A1601" s="550"/>
      <c r="B1601" s="550"/>
      <c r="C1601" s="550"/>
      <c r="D1601" s="550"/>
      <c r="E1601" s="550"/>
      <c r="F1601" s="550"/>
      <c r="G1601" s="550"/>
    </row>
    <row r="1602" spans="1:7" x14ac:dyDescent="0.25">
      <c r="A1602" s="550"/>
      <c r="B1602" s="550"/>
      <c r="C1602" s="550"/>
      <c r="D1602" s="550"/>
      <c r="E1602" s="550"/>
      <c r="F1602" s="550"/>
      <c r="G1602" s="550"/>
    </row>
    <row r="1603" spans="1:7" x14ac:dyDescent="0.25">
      <c r="A1603" s="550"/>
      <c r="B1603" s="550"/>
      <c r="C1603" s="550"/>
      <c r="D1603" s="550"/>
      <c r="E1603" s="550"/>
      <c r="F1603" s="550"/>
      <c r="G1603" s="550"/>
    </row>
    <row r="1604" spans="1:7" x14ac:dyDescent="0.25">
      <c r="A1604" s="550"/>
      <c r="B1604" s="550"/>
      <c r="C1604" s="550"/>
      <c r="D1604" s="550"/>
      <c r="E1604" s="550"/>
      <c r="F1604" s="550"/>
      <c r="G1604" s="550"/>
    </row>
    <row r="1605" spans="1:7" x14ac:dyDescent="0.25">
      <c r="A1605" s="550"/>
      <c r="B1605" s="550"/>
      <c r="C1605" s="550"/>
      <c r="D1605" s="550"/>
      <c r="E1605" s="550"/>
      <c r="F1605" s="550"/>
      <c r="G1605" s="550"/>
    </row>
    <row r="1606" spans="1:7" x14ac:dyDescent="0.25">
      <c r="A1606" s="550"/>
      <c r="B1606" s="550"/>
      <c r="C1606" s="550"/>
      <c r="D1606" s="550"/>
      <c r="E1606" s="550"/>
      <c r="F1606" s="550"/>
      <c r="G1606" s="550"/>
    </row>
    <row r="1607" spans="1:7" x14ac:dyDescent="0.25">
      <c r="A1607" s="550"/>
      <c r="B1607" s="550"/>
      <c r="C1607" s="550"/>
      <c r="D1607" s="550"/>
      <c r="E1607" s="550"/>
      <c r="F1607" s="550"/>
      <c r="G1607" s="550"/>
    </row>
    <row r="1608" spans="1:7" x14ac:dyDescent="0.25">
      <c r="A1608" s="550"/>
      <c r="B1608" s="550"/>
      <c r="C1608" s="550"/>
      <c r="D1608" s="550"/>
      <c r="E1608" s="550"/>
      <c r="F1608" s="550"/>
      <c r="G1608" s="550"/>
    </row>
    <row r="1609" spans="1:7" x14ac:dyDescent="0.25">
      <c r="A1609" s="550"/>
      <c r="B1609" s="550"/>
      <c r="C1609" s="550"/>
      <c r="D1609" s="550"/>
      <c r="E1609" s="550"/>
      <c r="F1609" s="550"/>
      <c r="G1609" s="550"/>
    </row>
    <row r="1610" spans="1:7" x14ac:dyDescent="0.25">
      <c r="A1610" s="550"/>
      <c r="B1610" s="550"/>
      <c r="C1610" s="550"/>
      <c r="D1610" s="550"/>
      <c r="E1610" s="550"/>
      <c r="F1610" s="550"/>
      <c r="G1610" s="550"/>
    </row>
    <row r="1611" spans="1:7" x14ac:dyDescent="0.25">
      <c r="A1611" s="550"/>
      <c r="B1611" s="550"/>
      <c r="C1611" s="550"/>
      <c r="D1611" s="550"/>
      <c r="E1611" s="550"/>
      <c r="F1611" s="550"/>
      <c r="G1611" s="550"/>
    </row>
    <row r="1612" spans="1:7" x14ac:dyDescent="0.25">
      <c r="A1612" s="550"/>
      <c r="B1612" s="550"/>
      <c r="C1612" s="550"/>
      <c r="D1612" s="550"/>
      <c r="E1612" s="550"/>
      <c r="F1612" s="550"/>
      <c r="G1612" s="550"/>
    </row>
    <row r="1613" spans="1:7" x14ac:dyDescent="0.25">
      <c r="A1613" s="550"/>
      <c r="B1613" s="550"/>
      <c r="C1613" s="550"/>
      <c r="D1613" s="550"/>
      <c r="E1613" s="550"/>
      <c r="F1613" s="550"/>
      <c r="G1613" s="550"/>
    </row>
    <row r="1614" spans="1:7" x14ac:dyDescent="0.25">
      <c r="A1614" s="550"/>
      <c r="B1614" s="550"/>
      <c r="C1614" s="550"/>
      <c r="D1614" s="550"/>
      <c r="E1614" s="550"/>
      <c r="F1614" s="550"/>
      <c r="G1614" s="550"/>
    </row>
    <row r="1615" spans="1:7" x14ac:dyDescent="0.25">
      <c r="A1615" s="550"/>
      <c r="B1615" s="550"/>
      <c r="C1615" s="550"/>
      <c r="D1615" s="550"/>
      <c r="E1615" s="550"/>
      <c r="F1615" s="550"/>
      <c r="G1615" s="550"/>
    </row>
    <row r="1616" spans="1:7" x14ac:dyDescent="0.25">
      <c r="A1616" s="550"/>
      <c r="B1616" s="550"/>
      <c r="C1616" s="550"/>
      <c r="D1616" s="550"/>
      <c r="E1616" s="550"/>
      <c r="F1616" s="550"/>
      <c r="G1616" s="550"/>
    </row>
    <row r="1617" spans="1:7" x14ac:dyDescent="0.25">
      <c r="A1617" s="550"/>
      <c r="B1617" s="550"/>
      <c r="C1617" s="550"/>
      <c r="D1617" s="550"/>
      <c r="E1617" s="550"/>
      <c r="F1617" s="550"/>
      <c r="G1617" s="550"/>
    </row>
    <row r="1618" spans="1:7" x14ac:dyDescent="0.25">
      <c r="A1618" s="550"/>
      <c r="B1618" s="550"/>
      <c r="C1618" s="550"/>
      <c r="D1618" s="550"/>
      <c r="E1618" s="550"/>
      <c r="F1618" s="550"/>
      <c r="G1618" s="550"/>
    </row>
    <row r="1619" spans="1:7" x14ac:dyDescent="0.25">
      <c r="A1619" s="550"/>
      <c r="B1619" s="550"/>
      <c r="C1619" s="550"/>
      <c r="D1619" s="550"/>
      <c r="E1619" s="550"/>
      <c r="F1619" s="550"/>
      <c r="G1619" s="550"/>
    </row>
    <row r="1620" spans="1:7" x14ac:dyDescent="0.25">
      <c r="A1620" s="550"/>
      <c r="B1620" s="550"/>
      <c r="C1620" s="550"/>
      <c r="D1620" s="550"/>
      <c r="E1620" s="550"/>
      <c r="F1620" s="550"/>
      <c r="G1620" s="550"/>
    </row>
    <row r="1621" spans="1:7" x14ac:dyDescent="0.25">
      <c r="A1621" s="550"/>
      <c r="B1621" s="550"/>
      <c r="C1621" s="550"/>
      <c r="D1621" s="550"/>
      <c r="E1621" s="550"/>
      <c r="F1621" s="550"/>
      <c r="G1621" s="550"/>
    </row>
    <row r="1622" spans="1:7" x14ac:dyDescent="0.25">
      <c r="A1622" s="550"/>
      <c r="B1622" s="550"/>
      <c r="C1622" s="550"/>
      <c r="D1622" s="550"/>
      <c r="E1622" s="550"/>
      <c r="F1622" s="550"/>
      <c r="G1622" s="550"/>
    </row>
    <row r="1623" spans="1:7" x14ac:dyDescent="0.25">
      <c r="A1623" s="550"/>
      <c r="B1623" s="550"/>
      <c r="C1623" s="550"/>
      <c r="D1623" s="550"/>
      <c r="E1623" s="550"/>
      <c r="F1623" s="550"/>
      <c r="G1623" s="550"/>
    </row>
    <row r="1624" spans="1:7" x14ac:dyDescent="0.25">
      <c r="A1624" s="550"/>
      <c r="B1624" s="550"/>
      <c r="C1624" s="550"/>
      <c r="D1624" s="550"/>
      <c r="E1624" s="550"/>
      <c r="F1624" s="550"/>
      <c r="G1624" s="550"/>
    </row>
    <row r="1625" spans="1:7" x14ac:dyDescent="0.25">
      <c r="A1625" s="550"/>
      <c r="B1625" s="550"/>
      <c r="C1625" s="550"/>
      <c r="D1625" s="550"/>
      <c r="E1625" s="550"/>
      <c r="F1625" s="550"/>
      <c r="G1625" s="550"/>
    </row>
    <row r="1626" spans="1:7" x14ac:dyDescent="0.25">
      <c r="A1626" s="550"/>
      <c r="B1626" s="550"/>
      <c r="C1626" s="550"/>
      <c r="D1626" s="550"/>
      <c r="E1626" s="550"/>
      <c r="F1626" s="550"/>
      <c r="G1626" s="550"/>
    </row>
    <row r="1627" spans="1:7" x14ac:dyDescent="0.25">
      <c r="A1627" s="550"/>
      <c r="B1627" s="550"/>
      <c r="C1627" s="550"/>
      <c r="D1627" s="550"/>
      <c r="E1627" s="550"/>
      <c r="F1627" s="550"/>
      <c r="G1627" s="550"/>
    </row>
    <row r="1628" spans="1:7" x14ac:dyDescent="0.25">
      <c r="A1628" s="550"/>
      <c r="B1628" s="550"/>
      <c r="C1628" s="550"/>
      <c r="D1628" s="550"/>
      <c r="E1628" s="550"/>
      <c r="F1628" s="550"/>
      <c r="G1628" s="550"/>
    </row>
    <row r="1629" spans="1:7" x14ac:dyDescent="0.25">
      <c r="A1629" s="550"/>
      <c r="B1629" s="550"/>
      <c r="C1629" s="550"/>
      <c r="D1629" s="550"/>
      <c r="E1629" s="550"/>
      <c r="F1629" s="550"/>
      <c r="G1629" s="550"/>
    </row>
    <row r="1630" spans="1:7" x14ac:dyDescent="0.25">
      <c r="A1630" s="550"/>
      <c r="B1630" s="550"/>
      <c r="C1630" s="550"/>
      <c r="D1630" s="550"/>
      <c r="E1630" s="550"/>
      <c r="F1630" s="550"/>
      <c r="G1630" s="550"/>
    </row>
    <row r="1631" spans="1:7" x14ac:dyDescent="0.25">
      <c r="A1631" s="550"/>
      <c r="B1631" s="550"/>
      <c r="C1631" s="550"/>
      <c r="D1631" s="550"/>
      <c r="E1631" s="550"/>
      <c r="F1631" s="550"/>
      <c r="G1631" s="550"/>
    </row>
    <row r="1632" spans="1:7" x14ac:dyDescent="0.25">
      <c r="A1632" s="550"/>
      <c r="B1632" s="550"/>
      <c r="C1632" s="550"/>
      <c r="D1632" s="550"/>
      <c r="E1632" s="550"/>
      <c r="F1632" s="550"/>
      <c r="G1632" s="550"/>
    </row>
    <row r="1633" spans="1:7" x14ac:dyDescent="0.25">
      <c r="A1633" s="550"/>
      <c r="B1633" s="550"/>
      <c r="C1633" s="550"/>
      <c r="D1633" s="550"/>
      <c r="E1633" s="550"/>
      <c r="F1633" s="550"/>
      <c r="G1633" s="550"/>
    </row>
    <row r="1634" spans="1:7" x14ac:dyDescent="0.25">
      <c r="A1634" s="550"/>
      <c r="B1634" s="550"/>
      <c r="C1634" s="550"/>
      <c r="D1634" s="550"/>
      <c r="E1634" s="550"/>
      <c r="F1634" s="550"/>
      <c r="G1634" s="550"/>
    </row>
    <row r="1635" spans="1:7" x14ac:dyDescent="0.25">
      <c r="A1635" s="550"/>
      <c r="B1635" s="550"/>
      <c r="C1635" s="550"/>
      <c r="D1635" s="550"/>
      <c r="E1635" s="550"/>
      <c r="F1635" s="550"/>
      <c r="G1635" s="550"/>
    </row>
    <row r="1636" spans="1:7" x14ac:dyDescent="0.25">
      <c r="A1636" s="550"/>
      <c r="B1636" s="550"/>
      <c r="C1636" s="550"/>
      <c r="D1636" s="550"/>
      <c r="E1636" s="550"/>
      <c r="F1636" s="550"/>
      <c r="G1636" s="550"/>
    </row>
    <row r="1637" spans="1:7" x14ac:dyDescent="0.25">
      <c r="A1637" s="550"/>
      <c r="B1637" s="550"/>
      <c r="C1637" s="550"/>
      <c r="D1637" s="550"/>
      <c r="E1637" s="550"/>
      <c r="F1637" s="550"/>
      <c r="G1637" s="550"/>
    </row>
    <row r="1638" spans="1:7" x14ac:dyDescent="0.25">
      <c r="A1638" s="550"/>
      <c r="B1638" s="550"/>
      <c r="C1638" s="550"/>
      <c r="D1638" s="550"/>
      <c r="E1638" s="550"/>
      <c r="F1638" s="550"/>
      <c r="G1638" s="550"/>
    </row>
    <row r="1639" spans="1:7" x14ac:dyDescent="0.25">
      <c r="A1639" s="550"/>
      <c r="B1639" s="550"/>
      <c r="C1639" s="550"/>
      <c r="D1639" s="550"/>
      <c r="E1639" s="550"/>
      <c r="F1639" s="550"/>
      <c r="G1639" s="550"/>
    </row>
    <row r="1640" spans="1:7" x14ac:dyDescent="0.25">
      <c r="A1640" s="550"/>
      <c r="B1640" s="550"/>
      <c r="C1640" s="550"/>
      <c r="D1640" s="550"/>
      <c r="E1640" s="550"/>
      <c r="F1640" s="550"/>
      <c r="G1640" s="550"/>
    </row>
    <row r="1641" spans="1:7" x14ac:dyDescent="0.25">
      <c r="A1641" s="550"/>
      <c r="B1641" s="550"/>
      <c r="C1641" s="550"/>
      <c r="D1641" s="550"/>
      <c r="E1641" s="550"/>
      <c r="F1641" s="550"/>
      <c r="G1641" s="550"/>
    </row>
    <row r="1642" spans="1:7" x14ac:dyDescent="0.25">
      <c r="A1642" s="550"/>
      <c r="B1642" s="550"/>
      <c r="C1642" s="550"/>
      <c r="D1642" s="550"/>
      <c r="E1642" s="550"/>
      <c r="F1642" s="550"/>
      <c r="G1642" s="550"/>
    </row>
    <row r="1643" spans="1:7" x14ac:dyDescent="0.25">
      <c r="A1643" s="550"/>
      <c r="B1643" s="550"/>
      <c r="C1643" s="550"/>
      <c r="D1643" s="550"/>
      <c r="E1643" s="550"/>
      <c r="F1643" s="550"/>
      <c r="G1643" s="550"/>
    </row>
    <row r="1644" spans="1:7" x14ac:dyDescent="0.25">
      <c r="A1644" s="550"/>
      <c r="B1644" s="550"/>
      <c r="C1644" s="550"/>
      <c r="D1644" s="550"/>
      <c r="E1644" s="550"/>
      <c r="F1644" s="550"/>
      <c r="G1644" s="550"/>
    </row>
    <row r="1645" spans="1:7" x14ac:dyDescent="0.25">
      <c r="A1645" s="550"/>
      <c r="B1645" s="550"/>
      <c r="C1645" s="550"/>
      <c r="D1645" s="550"/>
      <c r="E1645" s="550"/>
      <c r="F1645" s="550"/>
      <c r="G1645" s="550"/>
    </row>
    <row r="1646" spans="1:7" x14ac:dyDescent="0.25">
      <c r="A1646" s="550"/>
      <c r="B1646" s="550"/>
      <c r="C1646" s="550"/>
      <c r="D1646" s="550"/>
      <c r="E1646" s="550"/>
      <c r="F1646" s="550"/>
      <c r="G1646" s="550"/>
    </row>
    <row r="1647" spans="1:7" x14ac:dyDescent="0.25">
      <c r="A1647" s="550"/>
      <c r="B1647" s="550"/>
      <c r="C1647" s="550"/>
      <c r="D1647" s="550"/>
      <c r="E1647" s="550"/>
      <c r="F1647" s="550"/>
      <c r="G1647" s="550"/>
    </row>
    <row r="1648" spans="1:7" x14ac:dyDescent="0.25">
      <c r="A1648" s="550"/>
      <c r="B1648" s="550"/>
      <c r="C1648" s="550"/>
      <c r="D1648" s="550"/>
      <c r="E1648" s="550"/>
      <c r="F1648" s="550"/>
      <c r="G1648" s="550"/>
    </row>
    <row r="1649" spans="1:7" x14ac:dyDescent="0.25">
      <c r="A1649" s="550"/>
      <c r="B1649" s="550"/>
      <c r="C1649" s="550"/>
      <c r="D1649" s="550"/>
      <c r="E1649" s="550"/>
      <c r="F1649" s="550"/>
      <c r="G1649" s="550"/>
    </row>
    <row r="1650" spans="1:7" x14ac:dyDescent="0.25">
      <c r="A1650" s="550"/>
      <c r="B1650" s="550"/>
      <c r="C1650" s="550"/>
      <c r="D1650" s="550"/>
      <c r="E1650" s="550"/>
      <c r="F1650" s="550"/>
      <c r="G1650" s="550"/>
    </row>
    <row r="1651" spans="1:7" x14ac:dyDescent="0.25">
      <c r="A1651" s="550"/>
      <c r="B1651" s="550"/>
      <c r="C1651" s="550"/>
      <c r="D1651" s="550"/>
      <c r="E1651" s="550"/>
      <c r="F1651" s="550"/>
      <c r="G1651" s="550"/>
    </row>
    <row r="1652" spans="1:7" x14ac:dyDescent="0.25">
      <c r="A1652" s="550"/>
      <c r="B1652" s="550"/>
      <c r="C1652" s="550"/>
      <c r="D1652" s="550"/>
      <c r="E1652" s="550"/>
      <c r="F1652" s="550"/>
      <c r="G1652" s="550"/>
    </row>
    <row r="1653" spans="1:7" x14ac:dyDescent="0.25">
      <c r="A1653" s="550"/>
      <c r="B1653" s="550"/>
      <c r="C1653" s="550"/>
      <c r="D1653" s="550"/>
      <c r="E1653" s="550"/>
      <c r="F1653" s="550"/>
      <c r="G1653" s="550"/>
    </row>
    <row r="1654" spans="1:7" x14ac:dyDescent="0.25">
      <c r="A1654" s="550"/>
      <c r="B1654" s="550"/>
      <c r="C1654" s="550"/>
      <c r="D1654" s="550"/>
      <c r="E1654" s="550"/>
      <c r="F1654" s="550"/>
      <c r="G1654" s="550"/>
    </row>
    <row r="1655" spans="1:7" x14ac:dyDescent="0.25">
      <c r="A1655" s="550"/>
      <c r="B1655" s="550"/>
      <c r="C1655" s="550"/>
      <c r="D1655" s="550"/>
      <c r="E1655" s="550"/>
      <c r="F1655" s="550"/>
      <c r="G1655" s="550"/>
    </row>
    <row r="1656" spans="1:7" x14ac:dyDescent="0.25">
      <c r="A1656" s="550"/>
      <c r="B1656" s="550"/>
      <c r="C1656" s="550"/>
      <c r="D1656" s="550"/>
      <c r="E1656" s="550"/>
      <c r="F1656" s="550"/>
      <c r="G1656" s="550"/>
    </row>
    <row r="1657" spans="1:7" x14ac:dyDescent="0.25">
      <c r="A1657" s="550"/>
      <c r="B1657" s="550"/>
      <c r="C1657" s="550"/>
      <c r="D1657" s="550"/>
      <c r="E1657" s="550"/>
      <c r="F1657" s="550"/>
      <c r="G1657" s="550"/>
    </row>
    <row r="1658" spans="1:7" x14ac:dyDescent="0.25">
      <c r="A1658" s="550"/>
      <c r="B1658" s="550"/>
      <c r="C1658" s="550"/>
      <c r="D1658" s="550"/>
      <c r="E1658" s="550"/>
      <c r="F1658" s="550"/>
      <c r="G1658" s="550"/>
    </row>
    <row r="1659" spans="1:7" x14ac:dyDescent="0.25">
      <c r="A1659" s="550"/>
      <c r="B1659" s="550"/>
      <c r="C1659" s="550"/>
      <c r="D1659" s="550"/>
      <c r="E1659" s="550"/>
      <c r="F1659" s="550"/>
      <c r="G1659" s="550"/>
    </row>
    <row r="1660" spans="1:7" x14ac:dyDescent="0.25">
      <c r="A1660" s="550"/>
      <c r="B1660" s="550"/>
      <c r="C1660" s="550"/>
      <c r="D1660" s="550"/>
      <c r="E1660" s="550"/>
      <c r="F1660" s="550"/>
      <c r="G1660" s="550"/>
    </row>
    <row r="1661" spans="1:7" x14ac:dyDescent="0.25">
      <c r="A1661" s="550"/>
      <c r="B1661" s="550"/>
      <c r="C1661" s="550"/>
      <c r="D1661" s="550"/>
      <c r="E1661" s="550"/>
      <c r="F1661" s="550"/>
      <c r="G1661" s="550"/>
    </row>
    <row r="1662" spans="1:7" x14ac:dyDescent="0.25">
      <c r="A1662" s="550"/>
      <c r="B1662" s="550"/>
      <c r="C1662" s="550"/>
      <c r="D1662" s="550"/>
      <c r="E1662" s="550"/>
      <c r="F1662" s="550"/>
      <c r="G1662" s="550"/>
    </row>
    <row r="1663" spans="1:7" x14ac:dyDescent="0.25">
      <c r="A1663" s="550"/>
      <c r="B1663" s="550"/>
      <c r="C1663" s="550"/>
      <c r="D1663" s="550"/>
      <c r="E1663" s="550"/>
      <c r="F1663" s="550"/>
      <c r="G1663" s="550"/>
    </row>
    <row r="1664" spans="1:7" x14ac:dyDescent="0.25">
      <c r="A1664" s="550"/>
      <c r="B1664" s="550"/>
      <c r="C1664" s="550"/>
      <c r="D1664" s="550"/>
      <c r="E1664" s="550"/>
      <c r="F1664" s="550"/>
      <c r="G1664" s="550"/>
    </row>
    <row r="1665" spans="1:7" x14ac:dyDescent="0.25">
      <c r="A1665" s="550"/>
      <c r="B1665" s="550"/>
      <c r="C1665" s="550"/>
      <c r="D1665" s="550"/>
      <c r="E1665" s="550"/>
      <c r="F1665" s="550"/>
      <c r="G1665" s="550"/>
    </row>
    <row r="1666" spans="1:7" x14ac:dyDescent="0.25">
      <c r="A1666" s="550"/>
      <c r="B1666" s="550"/>
      <c r="C1666" s="550"/>
      <c r="D1666" s="550"/>
      <c r="E1666" s="550"/>
      <c r="F1666" s="550"/>
      <c r="G1666" s="550"/>
    </row>
    <row r="1667" spans="1:7" x14ac:dyDescent="0.25">
      <c r="A1667" s="550"/>
      <c r="B1667" s="550"/>
      <c r="C1667" s="550"/>
      <c r="D1667" s="550"/>
      <c r="E1667" s="550"/>
      <c r="F1667" s="550"/>
      <c r="G1667" s="550"/>
    </row>
    <row r="1668" spans="1:7" x14ac:dyDescent="0.25">
      <c r="A1668" s="550"/>
      <c r="B1668" s="550"/>
      <c r="C1668" s="550"/>
      <c r="D1668" s="550"/>
      <c r="E1668" s="550"/>
      <c r="F1668" s="550"/>
      <c r="G1668" s="550"/>
    </row>
    <row r="1669" spans="1:7" x14ac:dyDescent="0.25">
      <c r="A1669" s="550"/>
      <c r="B1669" s="550"/>
      <c r="C1669" s="550"/>
      <c r="D1669" s="550"/>
      <c r="E1669" s="550"/>
      <c r="F1669" s="550"/>
      <c r="G1669" s="550"/>
    </row>
    <row r="1670" spans="1:7" x14ac:dyDescent="0.25">
      <c r="A1670" s="550"/>
      <c r="B1670" s="550"/>
      <c r="C1670" s="550"/>
      <c r="D1670" s="550"/>
      <c r="E1670" s="550"/>
      <c r="F1670" s="550"/>
      <c r="G1670" s="550"/>
    </row>
    <row r="1671" spans="1:7" x14ac:dyDescent="0.25">
      <c r="A1671" s="550"/>
      <c r="B1671" s="550"/>
      <c r="C1671" s="550"/>
      <c r="D1671" s="550"/>
      <c r="E1671" s="550"/>
      <c r="F1671" s="550"/>
      <c r="G1671" s="550"/>
    </row>
    <row r="1672" spans="1:7" x14ac:dyDescent="0.25">
      <c r="A1672" s="550"/>
      <c r="B1672" s="550"/>
      <c r="C1672" s="550"/>
      <c r="D1672" s="550"/>
      <c r="E1672" s="550"/>
      <c r="F1672" s="550"/>
      <c r="G1672" s="550"/>
    </row>
    <row r="1673" spans="1:7" x14ac:dyDescent="0.25">
      <c r="A1673" s="550"/>
      <c r="B1673" s="550"/>
      <c r="C1673" s="550"/>
      <c r="D1673" s="550"/>
      <c r="E1673" s="550"/>
      <c r="F1673" s="550"/>
      <c r="G1673" s="550"/>
    </row>
    <row r="1674" spans="1:7" x14ac:dyDescent="0.25">
      <c r="A1674" s="550"/>
      <c r="B1674" s="550"/>
      <c r="C1674" s="550"/>
      <c r="D1674" s="550"/>
      <c r="E1674" s="550"/>
      <c r="F1674" s="550"/>
      <c r="G1674" s="550"/>
    </row>
    <row r="1675" spans="1:7" x14ac:dyDescent="0.25">
      <c r="A1675" s="550"/>
      <c r="B1675" s="550"/>
      <c r="C1675" s="550"/>
      <c r="D1675" s="550"/>
      <c r="E1675" s="550"/>
      <c r="F1675" s="550"/>
      <c r="G1675" s="550"/>
    </row>
    <row r="1676" spans="1:7" x14ac:dyDescent="0.25">
      <c r="A1676" s="550"/>
      <c r="B1676" s="550"/>
      <c r="C1676" s="550"/>
      <c r="D1676" s="550"/>
      <c r="E1676" s="550"/>
      <c r="F1676" s="550"/>
      <c r="G1676" s="550"/>
    </row>
    <row r="1677" spans="1:7" x14ac:dyDescent="0.25">
      <c r="A1677" s="550"/>
      <c r="B1677" s="550"/>
      <c r="C1677" s="550"/>
      <c r="D1677" s="550"/>
      <c r="E1677" s="550"/>
      <c r="F1677" s="550"/>
      <c r="G1677" s="550"/>
    </row>
    <row r="1678" spans="1:7" x14ac:dyDescent="0.25">
      <c r="A1678" s="550"/>
      <c r="B1678" s="550"/>
      <c r="C1678" s="550"/>
      <c r="D1678" s="550"/>
      <c r="E1678" s="550"/>
      <c r="F1678" s="550"/>
      <c r="G1678" s="550"/>
    </row>
    <row r="1679" spans="1:7" x14ac:dyDescent="0.25">
      <c r="A1679" s="550"/>
      <c r="B1679" s="550"/>
      <c r="C1679" s="550"/>
      <c r="D1679" s="550"/>
      <c r="E1679" s="550"/>
      <c r="F1679" s="550"/>
      <c r="G1679" s="550"/>
    </row>
    <row r="1680" spans="1:7" x14ac:dyDescent="0.25">
      <c r="A1680" s="550"/>
      <c r="B1680" s="550"/>
      <c r="C1680" s="550"/>
      <c r="D1680" s="550"/>
      <c r="E1680" s="550"/>
      <c r="F1680" s="550"/>
      <c r="G1680" s="550"/>
    </row>
    <row r="1681" spans="1:7" x14ac:dyDescent="0.25">
      <c r="A1681" s="550"/>
      <c r="B1681" s="550"/>
      <c r="C1681" s="550"/>
      <c r="D1681" s="550"/>
      <c r="E1681" s="550"/>
      <c r="F1681" s="550"/>
      <c r="G1681" s="550"/>
    </row>
    <row r="1682" spans="1:7" x14ac:dyDescent="0.25">
      <c r="A1682" s="550"/>
      <c r="B1682" s="550"/>
      <c r="C1682" s="550"/>
      <c r="D1682" s="550"/>
      <c r="E1682" s="550"/>
      <c r="F1682" s="550"/>
      <c r="G1682" s="550"/>
    </row>
    <row r="1683" spans="1:7" x14ac:dyDescent="0.25">
      <c r="A1683" s="550"/>
      <c r="B1683" s="550"/>
      <c r="C1683" s="550"/>
      <c r="D1683" s="550"/>
      <c r="E1683" s="550"/>
      <c r="F1683" s="550"/>
      <c r="G1683" s="550"/>
    </row>
    <row r="1684" spans="1:7" x14ac:dyDescent="0.25">
      <c r="A1684" s="550"/>
      <c r="B1684" s="550"/>
      <c r="C1684" s="550"/>
      <c r="D1684" s="550"/>
      <c r="E1684" s="550"/>
      <c r="F1684" s="550"/>
      <c r="G1684" s="550"/>
    </row>
    <row r="1685" spans="1:7" x14ac:dyDescent="0.25">
      <c r="A1685" s="550"/>
      <c r="B1685" s="550"/>
      <c r="C1685" s="550"/>
      <c r="D1685" s="550"/>
      <c r="E1685" s="550"/>
      <c r="F1685" s="550"/>
      <c r="G1685" s="550"/>
    </row>
    <row r="1686" spans="1:7" x14ac:dyDescent="0.25">
      <c r="A1686" s="550"/>
      <c r="B1686" s="550"/>
      <c r="C1686" s="550"/>
      <c r="D1686" s="550"/>
      <c r="E1686" s="550"/>
      <c r="F1686" s="550"/>
      <c r="G1686" s="550"/>
    </row>
    <row r="1687" spans="1:7" x14ac:dyDescent="0.25">
      <c r="A1687" s="550"/>
      <c r="B1687" s="550"/>
      <c r="C1687" s="550"/>
      <c r="D1687" s="550"/>
      <c r="E1687" s="550"/>
      <c r="F1687" s="550"/>
      <c r="G1687" s="550"/>
    </row>
    <row r="1688" spans="1:7" x14ac:dyDescent="0.25">
      <c r="A1688" s="550"/>
      <c r="B1688" s="550"/>
      <c r="C1688" s="550"/>
      <c r="D1688" s="550"/>
      <c r="E1688" s="550"/>
      <c r="F1688" s="550"/>
      <c r="G1688" s="550"/>
    </row>
    <row r="1689" spans="1:7" x14ac:dyDescent="0.25">
      <c r="A1689" s="550"/>
      <c r="B1689" s="550"/>
      <c r="C1689" s="550"/>
      <c r="D1689" s="550"/>
      <c r="E1689" s="550"/>
      <c r="F1689" s="550"/>
      <c r="G1689" s="550"/>
    </row>
    <row r="1690" spans="1:7" x14ac:dyDescent="0.25">
      <c r="A1690" s="550"/>
      <c r="B1690" s="550"/>
      <c r="C1690" s="550"/>
      <c r="D1690" s="550"/>
      <c r="E1690" s="550"/>
      <c r="F1690" s="550"/>
      <c r="G1690" s="550"/>
    </row>
    <row r="1691" spans="1:7" x14ac:dyDescent="0.25">
      <c r="A1691" s="550"/>
      <c r="B1691" s="550"/>
      <c r="C1691" s="550"/>
      <c r="D1691" s="550"/>
      <c r="E1691" s="550"/>
      <c r="F1691" s="550"/>
      <c r="G1691" s="550"/>
    </row>
    <row r="1692" spans="1:7" x14ac:dyDescent="0.25">
      <c r="A1692" s="550"/>
      <c r="B1692" s="550"/>
      <c r="C1692" s="550"/>
      <c r="D1692" s="550"/>
      <c r="E1692" s="550"/>
      <c r="F1692" s="550"/>
      <c r="G1692" s="550"/>
    </row>
    <row r="1693" spans="1:7" x14ac:dyDescent="0.25">
      <c r="A1693" s="550"/>
      <c r="B1693" s="550"/>
      <c r="C1693" s="550"/>
      <c r="D1693" s="550"/>
      <c r="E1693" s="550"/>
      <c r="F1693" s="550"/>
      <c r="G1693" s="550"/>
    </row>
    <row r="1694" spans="1:7" x14ac:dyDescent="0.25">
      <c r="A1694" s="550"/>
      <c r="B1694" s="550"/>
      <c r="C1694" s="550"/>
      <c r="D1694" s="550"/>
      <c r="E1694" s="550"/>
      <c r="F1694" s="550"/>
      <c r="G1694" s="550"/>
    </row>
    <row r="1695" spans="1:7" x14ac:dyDescent="0.25">
      <c r="A1695" s="550"/>
      <c r="B1695" s="550"/>
      <c r="C1695" s="550"/>
      <c r="D1695" s="550"/>
      <c r="E1695" s="550"/>
      <c r="F1695" s="550"/>
      <c r="G1695" s="550"/>
    </row>
    <row r="1696" spans="1:7" x14ac:dyDescent="0.25">
      <c r="A1696" s="550"/>
      <c r="B1696" s="550"/>
      <c r="C1696" s="550"/>
      <c r="D1696" s="550"/>
      <c r="E1696" s="550"/>
      <c r="F1696" s="550"/>
      <c r="G1696" s="550"/>
    </row>
    <row r="1697" spans="1:7" x14ac:dyDescent="0.25">
      <c r="A1697" s="550"/>
      <c r="B1697" s="550"/>
      <c r="C1697" s="550"/>
      <c r="D1697" s="550"/>
      <c r="E1697" s="550"/>
      <c r="F1697" s="550"/>
      <c r="G1697" s="550"/>
    </row>
    <row r="1698" spans="1:7" x14ac:dyDescent="0.25">
      <c r="A1698" s="550"/>
      <c r="B1698" s="550"/>
      <c r="C1698" s="550"/>
      <c r="D1698" s="550"/>
      <c r="E1698" s="550"/>
      <c r="F1698" s="550"/>
      <c r="G1698" s="550"/>
    </row>
    <row r="1699" spans="1:7" x14ac:dyDescent="0.25">
      <c r="A1699" s="550"/>
      <c r="B1699" s="550"/>
      <c r="C1699" s="550"/>
      <c r="D1699" s="550"/>
      <c r="E1699" s="550"/>
      <c r="F1699" s="550"/>
      <c r="G1699" s="550"/>
    </row>
    <row r="1700" spans="1:7" x14ac:dyDescent="0.25">
      <c r="A1700" s="550"/>
      <c r="B1700" s="550"/>
      <c r="C1700" s="550"/>
      <c r="D1700" s="550"/>
      <c r="E1700" s="550"/>
      <c r="F1700" s="550"/>
      <c r="G1700" s="550"/>
    </row>
    <row r="1701" spans="1:7" x14ac:dyDescent="0.25">
      <c r="A1701" s="550"/>
      <c r="B1701" s="550"/>
      <c r="C1701" s="550"/>
      <c r="D1701" s="550"/>
      <c r="E1701" s="550"/>
      <c r="F1701" s="550"/>
      <c r="G1701" s="550"/>
    </row>
    <row r="1702" spans="1:7" x14ac:dyDescent="0.25">
      <c r="A1702" s="550"/>
      <c r="B1702" s="550"/>
      <c r="C1702" s="550"/>
      <c r="D1702" s="550"/>
      <c r="E1702" s="550"/>
      <c r="F1702" s="550"/>
      <c r="G1702" s="550"/>
    </row>
    <row r="1703" spans="1:7" x14ac:dyDescent="0.25">
      <c r="A1703" s="550"/>
      <c r="B1703" s="550"/>
      <c r="C1703" s="550"/>
      <c r="D1703" s="550"/>
      <c r="E1703" s="550"/>
      <c r="F1703" s="550"/>
      <c r="G1703" s="550"/>
    </row>
    <row r="1704" spans="1:7" x14ac:dyDescent="0.25">
      <c r="A1704" s="550"/>
      <c r="B1704" s="550"/>
      <c r="C1704" s="550"/>
      <c r="D1704" s="550"/>
      <c r="E1704" s="550"/>
      <c r="F1704" s="550"/>
      <c r="G1704" s="550"/>
    </row>
    <row r="1705" spans="1:7" x14ac:dyDescent="0.25">
      <c r="A1705" s="550"/>
      <c r="B1705" s="550"/>
      <c r="C1705" s="550"/>
      <c r="D1705" s="550"/>
      <c r="E1705" s="550"/>
      <c r="F1705" s="550"/>
      <c r="G1705" s="550"/>
    </row>
    <row r="1706" spans="1:7" x14ac:dyDescent="0.25">
      <c r="A1706" s="550"/>
      <c r="B1706" s="550"/>
      <c r="C1706" s="550"/>
      <c r="D1706" s="550"/>
      <c r="E1706" s="550"/>
      <c r="F1706" s="550"/>
      <c r="G1706" s="550"/>
    </row>
    <row r="1707" spans="1:7" x14ac:dyDescent="0.25">
      <c r="A1707" s="550"/>
      <c r="B1707" s="550"/>
      <c r="C1707" s="550"/>
      <c r="D1707" s="550"/>
      <c r="E1707" s="550"/>
      <c r="F1707" s="550"/>
      <c r="G1707" s="550"/>
    </row>
    <row r="1708" spans="1:7" x14ac:dyDescent="0.25">
      <c r="A1708" s="550"/>
      <c r="B1708" s="550"/>
      <c r="C1708" s="550"/>
      <c r="D1708" s="550"/>
      <c r="E1708" s="550"/>
      <c r="F1708" s="550"/>
      <c r="G1708" s="550"/>
    </row>
    <row r="1709" spans="1:7" x14ac:dyDescent="0.25">
      <c r="A1709" s="550"/>
      <c r="B1709" s="550"/>
      <c r="C1709" s="550"/>
      <c r="D1709" s="550"/>
      <c r="E1709" s="550"/>
      <c r="F1709" s="550"/>
      <c r="G1709" s="550"/>
    </row>
    <row r="1710" spans="1:7" x14ac:dyDescent="0.25">
      <c r="A1710" s="550"/>
      <c r="B1710" s="550"/>
      <c r="C1710" s="550"/>
      <c r="D1710" s="550"/>
      <c r="E1710" s="550"/>
      <c r="F1710" s="550"/>
      <c r="G1710" s="550"/>
    </row>
    <row r="1711" spans="1:7" x14ac:dyDescent="0.25">
      <c r="A1711" s="550"/>
      <c r="B1711" s="550"/>
      <c r="C1711" s="550"/>
      <c r="D1711" s="550"/>
      <c r="E1711" s="550"/>
      <c r="F1711" s="550"/>
      <c r="G1711" s="550"/>
    </row>
    <row r="1712" spans="1:7" x14ac:dyDescent="0.25">
      <c r="A1712" s="550"/>
      <c r="B1712" s="550"/>
      <c r="C1712" s="550"/>
      <c r="D1712" s="550"/>
      <c r="E1712" s="550"/>
      <c r="F1712" s="550"/>
      <c r="G1712" s="550"/>
    </row>
    <row r="1713" spans="1:7" x14ac:dyDescent="0.25">
      <c r="A1713" s="550"/>
      <c r="B1713" s="550"/>
      <c r="C1713" s="550"/>
      <c r="D1713" s="550"/>
      <c r="E1713" s="550"/>
      <c r="F1713" s="550"/>
      <c r="G1713" s="550"/>
    </row>
    <row r="1714" spans="1:7" x14ac:dyDescent="0.25">
      <c r="A1714" s="550"/>
      <c r="B1714" s="550"/>
      <c r="C1714" s="550"/>
      <c r="D1714" s="550"/>
      <c r="E1714" s="550"/>
      <c r="F1714" s="550"/>
      <c r="G1714" s="550"/>
    </row>
    <row r="1715" spans="1:7" x14ac:dyDescent="0.25">
      <c r="A1715" s="550"/>
      <c r="B1715" s="550"/>
      <c r="C1715" s="550"/>
      <c r="D1715" s="550"/>
      <c r="E1715" s="550"/>
      <c r="F1715" s="550"/>
      <c r="G1715" s="550"/>
    </row>
    <row r="1716" spans="1:7" x14ac:dyDescent="0.25">
      <c r="A1716" s="550"/>
      <c r="B1716" s="550"/>
      <c r="C1716" s="550"/>
      <c r="D1716" s="550"/>
      <c r="E1716" s="550"/>
      <c r="F1716" s="550"/>
      <c r="G1716" s="550"/>
    </row>
    <row r="1717" spans="1:7" x14ac:dyDescent="0.25">
      <c r="A1717" s="550"/>
      <c r="B1717" s="550"/>
      <c r="C1717" s="550"/>
      <c r="D1717" s="550"/>
      <c r="E1717" s="550"/>
      <c r="F1717" s="550"/>
      <c r="G1717" s="550"/>
    </row>
    <row r="1718" spans="1:7" x14ac:dyDescent="0.25">
      <c r="A1718" s="550"/>
      <c r="B1718" s="550"/>
      <c r="C1718" s="550"/>
      <c r="D1718" s="550"/>
      <c r="E1718" s="550"/>
      <c r="F1718" s="550"/>
      <c r="G1718" s="550"/>
    </row>
    <row r="1719" spans="1:7" x14ac:dyDescent="0.25">
      <c r="A1719" s="550"/>
      <c r="B1719" s="550"/>
      <c r="C1719" s="550"/>
      <c r="D1719" s="550"/>
      <c r="E1719" s="550"/>
      <c r="F1719" s="550"/>
      <c r="G1719" s="550"/>
    </row>
    <row r="1720" spans="1:7" x14ac:dyDescent="0.25">
      <c r="A1720" s="550"/>
      <c r="B1720" s="550"/>
      <c r="C1720" s="550"/>
      <c r="D1720" s="550"/>
      <c r="E1720" s="550"/>
      <c r="F1720" s="550"/>
      <c r="G1720" s="550"/>
    </row>
    <row r="1721" spans="1:7" x14ac:dyDescent="0.25">
      <c r="A1721" s="550"/>
      <c r="B1721" s="550"/>
      <c r="C1721" s="550"/>
      <c r="D1721" s="550"/>
      <c r="E1721" s="550"/>
      <c r="F1721" s="550"/>
      <c r="G1721" s="550"/>
    </row>
    <row r="1722" spans="1:7" x14ac:dyDescent="0.25">
      <c r="A1722" s="550"/>
      <c r="B1722" s="550"/>
      <c r="C1722" s="550"/>
      <c r="D1722" s="550"/>
      <c r="E1722" s="550"/>
      <c r="F1722" s="550"/>
      <c r="G1722" s="550"/>
    </row>
    <row r="1723" spans="1:7" x14ac:dyDescent="0.25">
      <c r="A1723" s="550"/>
      <c r="B1723" s="550"/>
      <c r="C1723" s="550"/>
      <c r="D1723" s="550"/>
      <c r="E1723" s="550"/>
      <c r="F1723" s="550"/>
      <c r="G1723" s="550"/>
    </row>
    <row r="1724" spans="1:7" x14ac:dyDescent="0.25">
      <c r="A1724" s="550"/>
      <c r="B1724" s="550"/>
      <c r="C1724" s="550"/>
      <c r="D1724" s="550"/>
      <c r="E1724" s="550"/>
      <c r="F1724" s="550"/>
      <c r="G1724" s="550"/>
    </row>
    <row r="1725" spans="1:7" x14ac:dyDescent="0.25">
      <c r="A1725" s="550"/>
      <c r="B1725" s="550"/>
      <c r="C1725" s="550"/>
      <c r="D1725" s="550"/>
      <c r="E1725" s="550"/>
      <c r="F1725" s="550"/>
      <c r="G1725" s="550"/>
    </row>
    <row r="1726" spans="1:7" x14ac:dyDescent="0.25">
      <c r="A1726" s="550"/>
      <c r="B1726" s="550"/>
      <c r="C1726" s="550"/>
      <c r="D1726" s="550"/>
      <c r="E1726" s="550"/>
      <c r="F1726" s="550"/>
      <c r="G1726" s="550"/>
    </row>
    <row r="1727" spans="1:7" x14ac:dyDescent="0.25">
      <c r="A1727" s="550"/>
      <c r="B1727" s="550"/>
      <c r="C1727" s="550"/>
      <c r="D1727" s="550"/>
      <c r="E1727" s="550"/>
      <c r="F1727" s="550"/>
      <c r="G1727" s="550"/>
    </row>
    <row r="1728" spans="1:7" x14ac:dyDescent="0.25">
      <c r="A1728" s="550"/>
      <c r="B1728" s="550"/>
      <c r="C1728" s="550"/>
      <c r="D1728" s="550"/>
      <c r="E1728" s="550"/>
      <c r="F1728" s="550"/>
      <c r="G1728" s="550"/>
    </row>
    <row r="1729" spans="1:7" x14ac:dyDescent="0.25">
      <c r="A1729" s="550"/>
      <c r="B1729" s="550"/>
      <c r="C1729" s="550"/>
      <c r="D1729" s="550"/>
      <c r="E1729" s="550"/>
      <c r="F1729" s="550"/>
      <c r="G1729" s="550"/>
    </row>
    <row r="1730" spans="1:7" x14ac:dyDescent="0.25">
      <c r="A1730" s="550"/>
      <c r="B1730" s="550"/>
      <c r="C1730" s="550"/>
      <c r="D1730" s="550"/>
      <c r="E1730" s="550"/>
      <c r="F1730" s="550"/>
      <c r="G1730" s="550"/>
    </row>
    <row r="1731" spans="1:7" x14ac:dyDescent="0.25">
      <c r="A1731" s="550"/>
      <c r="B1731" s="550"/>
      <c r="C1731" s="550"/>
      <c r="D1731" s="550"/>
      <c r="E1731" s="550"/>
      <c r="F1731" s="550"/>
      <c r="G1731" s="550"/>
    </row>
    <row r="1732" spans="1:7" x14ac:dyDescent="0.25">
      <c r="A1732" s="550"/>
      <c r="B1732" s="550"/>
      <c r="C1732" s="550"/>
      <c r="D1732" s="550"/>
      <c r="E1732" s="550"/>
      <c r="F1732" s="550"/>
      <c r="G1732" s="550"/>
    </row>
    <row r="1733" spans="1:7" x14ac:dyDescent="0.25">
      <c r="A1733" s="550"/>
      <c r="B1733" s="550"/>
      <c r="C1733" s="550"/>
      <c r="D1733" s="550"/>
      <c r="E1733" s="550"/>
      <c r="F1733" s="550"/>
      <c r="G1733" s="550"/>
    </row>
    <row r="1734" spans="1:7" x14ac:dyDescent="0.25">
      <c r="A1734" s="550"/>
      <c r="B1734" s="550"/>
      <c r="C1734" s="550"/>
      <c r="D1734" s="550"/>
      <c r="E1734" s="550"/>
      <c r="F1734" s="550"/>
      <c r="G1734" s="550"/>
    </row>
    <row r="1735" spans="1:7" x14ac:dyDescent="0.25">
      <c r="A1735" s="550"/>
      <c r="B1735" s="550"/>
      <c r="C1735" s="550"/>
      <c r="D1735" s="550"/>
      <c r="E1735" s="550"/>
      <c r="F1735" s="550"/>
      <c r="G1735" s="550"/>
    </row>
    <row r="1736" spans="1:7" x14ac:dyDescent="0.25">
      <c r="A1736" s="550"/>
      <c r="B1736" s="550"/>
      <c r="C1736" s="550"/>
      <c r="D1736" s="550"/>
      <c r="E1736" s="550"/>
      <c r="F1736" s="550"/>
      <c r="G1736" s="550"/>
    </row>
    <row r="1737" spans="1:7" x14ac:dyDescent="0.25">
      <c r="A1737" s="550"/>
      <c r="B1737" s="550"/>
      <c r="C1737" s="550"/>
      <c r="D1737" s="550"/>
      <c r="E1737" s="550"/>
      <c r="F1737" s="550"/>
      <c r="G1737" s="550"/>
    </row>
    <row r="1738" spans="1:7" x14ac:dyDescent="0.25">
      <c r="A1738" s="550"/>
      <c r="B1738" s="550"/>
      <c r="C1738" s="550"/>
      <c r="D1738" s="550"/>
      <c r="E1738" s="550"/>
      <c r="F1738" s="550"/>
      <c r="G1738" s="550"/>
    </row>
    <row r="1739" spans="1:7" x14ac:dyDescent="0.25">
      <c r="A1739" s="550"/>
      <c r="B1739" s="550"/>
      <c r="C1739" s="550"/>
      <c r="D1739" s="550"/>
      <c r="E1739" s="550"/>
      <c r="F1739" s="550"/>
      <c r="G1739" s="550"/>
    </row>
    <row r="1740" spans="1:7" x14ac:dyDescent="0.25">
      <c r="A1740" s="550"/>
      <c r="B1740" s="550"/>
      <c r="C1740" s="550"/>
      <c r="D1740" s="550"/>
      <c r="E1740" s="550"/>
      <c r="F1740" s="550"/>
      <c r="G1740" s="550"/>
    </row>
    <row r="1741" spans="1:7" x14ac:dyDescent="0.25">
      <c r="A1741" s="550"/>
      <c r="B1741" s="550"/>
      <c r="C1741" s="550"/>
      <c r="D1741" s="550"/>
      <c r="E1741" s="550"/>
      <c r="F1741" s="550"/>
      <c r="G1741" s="550"/>
    </row>
    <row r="1742" spans="1:7" x14ac:dyDescent="0.25">
      <c r="A1742" s="550"/>
      <c r="B1742" s="550"/>
      <c r="C1742" s="550"/>
      <c r="D1742" s="550"/>
      <c r="E1742" s="550"/>
      <c r="F1742" s="550"/>
      <c r="G1742" s="550"/>
    </row>
    <row r="1743" spans="1:7" x14ac:dyDescent="0.25">
      <c r="A1743" s="550"/>
      <c r="B1743" s="550"/>
      <c r="C1743" s="550"/>
      <c r="D1743" s="550"/>
      <c r="E1743" s="550"/>
      <c r="F1743" s="550"/>
      <c r="G1743" s="550"/>
    </row>
    <row r="1744" spans="1:7" x14ac:dyDescent="0.25">
      <c r="A1744" s="550"/>
      <c r="B1744" s="550"/>
      <c r="C1744" s="550"/>
      <c r="D1744" s="550"/>
      <c r="E1744" s="550"/>
      <c r="F1744" s="550"/>
      <c r="G1744" s="550"/>
    </row>
    <row r="1745" spans="1:7" x14ac:dyDescent="0.25">
      <c r="A1745" s="550"/>
      <c r="B1745" s="550"/>
      <c r="C1745" s="550"/>
      <c r="D1745" s="550"/>
      <c r="E1745" s="550"/>
      <c r="F1745" s="550"/>
      <c r="G1745" s="550"/>
    </row>
    <row r="1746" spans="1:7" x14ac:dyDescent="0.25">
      <c r="A1746" s="550"/>
      <c r="B1746" s="550"/>
      <c r="C1746" s="550"/>
      <c r="D1746" s="550"/>
      <c r="E1746" s="550"/>
      <c r="F1746" s="550"/>
      <c r="G1746" s="550"/>
    </row>
    <row r="1747" spans="1:7" x14ac:dyDescent="0.25">
      <c r="A1747" s="550"/>
      <c r="B1747" s="550"/>
      <c r="C1747" s="550"/>
      <c r="D1747" s="550"/>
      <c r="E1747" s="550"/>
      <c r="F1747" s="550"/>
      <c r="G1747" s="550"/>
    </row>
    <row r="1748" spans="1:7" x14ac:dyDescent="0.25">
      <c r="A1748" s="550"/>
      <c r="B1748" s="550"/>
      <c r="C1748" s="550"/>
      <c r="D1748" s="550"/>
      <c r="E1748" s="550"/>
      <c r="F1748" s="550"/>
      <c r="G1748" s="550"/>
    </row>
    <row r="1749" spans="1:7" x14ac:dyDescent="0.25">
      <c r="A1749" s="550"/>
      <c r="B1749" s="550"/>
      <c r="C1749" s="550"/>
      <c r="D1749" s="550"/>
      <c r="E1749" s="550"/>
      <c r="F1749" s="550"/>
      <c r="G1749" s="550"/>
    </row>
    <row r="1750" spans="1:7" x14ac:dyDescent="0.25">
      <c r="A1750" s="550"/>
      <c r="B1750" s="550"/>
      <c r="C1750" s="550"/>
      <c r="D1750" s="550"/>
      <c r="E1750" s="550"/>
      <c r="F1750" s="550"/>
      <c r="G1750" s="550"/>
    </row>
    <row r="1751" spans="1:7" x14ac:dyDescent="0.25">
      <c r="A1751" s="550"/>
      <c r="B1751" s="550"/>
      <c r="C1751" s="550"/>
      <c r="D1751" s="550"/>
      <c r="E1751" s="550"/>
      <c r="F1751" s="550"/>
      <c r="G1751" s="550"/>
    </row>
    <row r="1752" spans="1:7" x14ac:dyDescent="0.25">
      <c r="A1752" s="550"/>
      <c r="B1752" s="550"/>
      <c r="C1752" s="550"/>
      <c r="D1752" s="550"/>
      <c r="E1752" s="550"/>
      <c r="F1752" s="550"/>
      <c r="G1752" s="550"/>
    </row>
    <row r="1753" spans="1:7" x14ac:dyDescent="0.25">
      <c r="A1753" s="550"/>
      <c r="B1753" s="550"/>
      <c r="C1753" s="550"/>
      <c r="D1753" s="550"/>
      <c r="E1753" s="550"/>
      <c r="F1753" s="550"/>
      <c r="G1753" s="550"/>
    </row>
    <row r="1754" spans="1:7" x14ac:dyDescent="0.25">
      <c r="A1754" s="550"/>
      <c r="B1754" s="550"/>
      <c r="C1754" s="550"/>
      <c r="D1754" s="550"/>
      <c r="E1754" s="550"/>
      <c r="F1754" s="550"/>
      <c r="G1754" s="550"/>
    </row>
    <row r="1755" spans="1:7" x14ac:dyDescent="0.25">
      <c r="A1755" s="550"/>
      <c r="B1755" s="550"/>
      <c r="C1755" s="550"/>
      <c r="D1755" s="550"/>
      <c r="E1755" s="550"/>
      <c r="F1755" s="550"/>
      <c r="G1755" s="550"/>
    </row>
    <row r="1756" spans="1:7" x14ac:dyDescent="0.25">
      <c r="A1756" s="550"/>
      <c r="B1756" s="550"/>
      <c r="C1756" s="550"/>
      <c r="D1756" s="550"/>
      <c r="E1756" s="550"/>
      <c r="F1756" s="550"/>
      <c r="G1756" s="550"/>
    </row>
    <row r="1757" spans="1:7" x14ac:dyDescent="0.25">
      <c r="A1757" s="550"/>
      <c r="B1757" s="550"/>
      <c r="C1757" s="550"/>
      <c r="D1757" s="550"/>
      <c r="E1757" s="550"/>
      <c r="F1757" s="550"/>
      <c r="G1757" s="550"/>
    </row>
    <row r="1758" spans="1:7" x14ac:dyDescent="0.25">
      <c r="A1758" s="550"/>
      <c r="B1758" s="550"/>
      <c r="C1758" s="550"/>
      <c r="D1758" s="550"/>
      <c r="E1758" s="550"/>
      <c r="F1758" s="550"/>
      <c r="G1758" s="550"/>
    </row>
    <row r="1759" spans="1:7" x14ac:dyDescent="0.25">
      <c r="A1759" s="550"/>
      <c r="B1759" s="550"/>
      <c r="C1759" s="550"/>
      <c r="D1759" s="550"/>
      <c r="E1759" s="550"/>
      <c r="F1759" s="550"/>
      <c r="G1759" s="550"/>
    </row>
    <row r="1760" spans="1:7" x14ac:dyDescent="0.25">
      <c r="A1760" s="550"/>
      <c r="B1760" s="550"/>
      <c r="C1760" s="550"/>
      <c r="D1760" s="550"/>
      <c r="E1760" s="550"/>
      <c r="F1760" s="550"/>
      <c r="G1760" s="550"/>
    </row>
    <row r="1761" spans="1:7" x14ac:dyDescent="0.25">
      <c r="A1761" s="550"/>
      <c r="B1761" s="550"/>
      <c r="C1761" s="550"/>
      <c r="D1761" s="550"/>
      <c r="E1761" s="550"/>
      <c r="F1761" s="550"/>
      <c r="G1761" s="550"/>
    </row>
    <row r="1762" spans="1:7" x14ac:dyDescent="0.25">
      <c r="A1762" s="550"/>
      <c r="B1762" s="550"/>
      <c r="C1762" s="550"/>
      <c r="D1762" s="550"/>
      <c r="E1762" s="550"/>
      <c r="F1762" s="550"/>
      <c r="G1762" s="550"/>
    </row>
    <row r="1763" spans="1:7" x14ac:dyDescent="0.25">
      <c r="A1763" s="550"/>
      <c r="B1763" s="550"/>
      <c r="C1763" s="550"/>
      <c r="D1763" s="550"/>
      <c r="E1763" s="550"/>
      <c r="F1763" s="550"/>
      <c r="G1763" s="550"/>
    </row>
    <row r="1764" spans="1:7" x14ac:dyDescent="0.25">
      <c r="A1764" s="550"/>
      <c r="B1764" s="550"/>
      <c r="C1764" s="550"/>
      <c r="D1764" s="550"/>
      <c r="E1764" s="550"/>
      <c r="F1764" s="550"/>
      <c r="G1764" s="550"/>
    </row>
    <row r="1765" spans="1:7" x14ac:dyDescent="0.25">
      <c r="A1765" s="550"/>
      <c r="B1765" s="550"/>
      <c r="C1765" s="550"/>
      <c r="D1765" s="550"/>
      <c r="E1765" s="550"/>
      <c r="F1765" s="550"/>
      <c r="G1765" s="550"/>
    </row>
    <row r="1766" spans="1:7" x14ac:dyDescent="0.25">
      <c r="A1766" s="550"/>
      <c r="B1766" s="550"/>
      <c r="C1766" s="550"/>
      <c r="D1766" s="550"/>
      <c r="E1766" s="550"/>
      <c r="F1766" s="550"/>
      <c r="G1766" s="550"/>
    </row>
    <row r="1767" spans="1:7" x14ac:dyDescent="0.25">
      <c r="A1767" s="550"/>
      <c r="B1767" s="550"/>
      <c r="C1767" s="550"/>
      <c r="D1767" s="550"/>
      <c r="E1767" s="550"/>
      <c r="F1767" s="550"/>
      <c r="G1767" s="550"/>
    </row>
    <row r="1768" spans="1:7" x14ac:dyDescent="0.25">
      <c r="A1768" s="550"/>
      <c r="B1768" s="550"/>
      <c r="C1768" s="550"/>
      <c r="D1768" s="550"/>
      <c r="E1768" s="550"/>
      <c r="F1768" s="550"/>
      <c r="G1768" s="550"/>
    </row>
    <row r="1769" spans="1:7" x14ac:dyDescent="0.25">
      <c r="A1769" s="550"/>
      <c r="B1769" s="550"/>
      <c r="C1769" s="550"/>
      <c r="D1769" s="550"/>
      <c r="E1769" s="550"/>
      <c r="F1769" s="550"/>
      <c r="G1769" s="550"/>
    </row>
    <row r="1770" spans="1:7" x14ac:dyDescent="0.25">
      <c r="A1770" s="550"/>
      <c r="B1770" s="550"/>
      <c r="C1770" s="550"/>
      <c r="D1770" s="550"/>
      <c r="E1770" s="550"/>
      <c r="F1770" s="550"/>
      <c r="G1770" s="550"/>
    </row>
    <row r="1771" spans="1:7" x14ac:dyDescent="0.25">
      <c r="A1771" s="550"/>
      <c r="B1771" s="550"/>
      <c r="C1771" s="550"/>
      <c r="D1771" s="550"/>
      <c r="E1771" s="550"/>
      <c r="F1771" s="550"/>
      <c r="G1771" s="550"/>
    </row>
    <row r="1772" spans="1:7" x14ac:dyDescent="0.25">
      <c r="A1772" s="550"/>
      <c r="B1772" s="550"/>
      <c r="C1772" s="550"/>
      <c r="D1772" s="550"/>
      <c r="E1772" s="550"/>
      <c r="F1772" s="550"/>
      <c r="G1772" s="550"/>
    </row>
    <row r="1773" spans="1:7" x14ac:dyDescent="0.25">
      <c r="A1773" s="550"/>
      <c r="B1773" s="550"/>
      <c r="C1773" s="550"/>
      <c r="D1773" s="550"/>
      <c r="E1773" s="550"/>
      <c r="F1773" s="550"/>
      <c r="G1773" s="550"/>
    </row>
    <row r="1774" spans="1:7" x14ac:dyDescent="0.25">
      <c r="A1774" s="550"/>
      <c r="B1774" s="550"/>
      <c r="C1774" s="550"/>
      <c r="D1774" s="550"/>
      <c r="E1774" s="550"/>
      <c r="F1774" s="550"/>
      <c r="G1774" s="550"/>
    </row>
    <row r="1775" spans="1:7" x14ac:dyDescent="0.25">
      <c r="A1775" s="550"/>
      <c r="B1775" s="550"/>
      <c r="C1775" s="550"/>
      <c r="D1775" s="550"/>
      <c r="E1775" s="550"/>
      <c r="F1775" s="550"/>
      <c r="G1775" s="550"/>
    </row>
    <row r="1776" spans="1:7" x14ac:dyDescent="0.25">
      <c r="A1776" s="550"/>
      <c r="B1776" s="550"/>
      <c r="C1776" s="550"/>
      <c r="D1776" s="550"/>
      <c r="E1776" s="550"/>
      <c r="F1776" s="550"/>
      <c r="G1776" s="550"/>
    </row>
    <row r="1777" spans="1:7" x14ac:dyDescent="0.25">
      <c r="A1777" s="550"/>
      <c r="B1777" s="550"/>
      <c r="C1777" s="550"/>
      <c r="D1777" s="550"/>
      <c r="E1777" s="550"/>
      <c r="F1777" s="550"/>
      <c r="G1777" s="550"/>
    </row>
    <row r="1778" spans="1:7" x14ac:dyDescent="0.25">
      <c r="A1778" s="550"/>
      <c r="B1778" s="550"/>
      <c r="C1778" s="550"/>
      <c r="D1778" s="550"/>
      <c r="E1778" s="550"/>
      <c r="F1778" s="550"/>
      <c r="G1778" s="550"/>
    </row>
    <row r="1779" spans="1:7" x14ac:dyDescent="0.25">
      <c r="A1779" s="550"/>
      <c r="B1779" s="550"/>
      <c r="C1779" s="550"/>
      <c r="D1779" s="550"/>
      <c r="E1779" s="550"/>
      <c r="F1779" s="550"/>
      <c r="G1779" s="550"/>
    </row>
    <row r="1780" spans="1:7" x14ac:dyDescent="0.25">
      <c r="A1780" s="550"/>
      <c r="B1780" s="550"/>
      <c r="C1780" s="550"/>
      <c r="D1780" s="550"/>
      <c r="E1780" s="550"/>
      <c r="F1780" s="550"/>
      <c r="G1780" s="550"/>
    </row>
    <row r="1781" spans="1:7" x14ac:dyDescent="0.25">
      <c r="A1781" s="550"/>
      <c r="B1781" s="550"/>
      <c r="C1781" s="550"/>
      <c r="D1781" s="550"/>
      <c r="E1781" s="550"/>
      <c r="F1781" s="550"/>
      <c r="G1781" s="550"/>
    </row>
    <row r="1782" spans="1:7" x14ac:dyDescent="0.25">
      <c r="A1782" s="550"/>
      <c r="B1782" s="550"/>
      <c r="C1782" s="550"/>
      <c r="D1782" s="550"/>
      <c r="E1782" s="550"/>
      <c r="F1782" s="550"/>
      <c r="G1782" s="550"/>
    </row>
    <row r="1783" spans="1:7" x14ac:dyDescent="0.25">
      <c r="A1783" s="550"/>
      <c r="B1783" s="550"/>
      <c r="C1783" s="550"/>
      <c r="D1783" s="550"/>
      <c r="E1783" s="550"/>
      <c r="F1783" s="550"/>
      <c r="G1783" s="550"/>
    </row>
    <row r="1784" spans="1:7" x14ac:dyDescent="0.25">
      <c r="A1784" s="550"/>
      <c r="B1784" s="550"/>
      <c r="C1784" s="550"/>
      <c r="D1784" s="550"/>
      <c r="E1784" s="550"/>
      <c r="F1784" s="550"/>
      <c r="G1784" s="550"/>
    </row>
    <row r="1785" spans="1:7" x14ac:dyDescent="0.25">
      <c r="A1785" s="550"/>
      <c r="B1785" s="550"/>
      <c r="C1785" s="550"/>
      <c r="D1785" s="550"/>
      <c r="E1785" s="550"/>
      <c r="F1785" s="550"/>
      <c r="G1785" s="550"/>
    </row>
    <row r="1786" spans="1:7" x14ac:dyDescent="0.25">
      <c r="A1786" s="550"/>
      <c r="B1786" s="550"/>
      <c r="C1786" s="550"/>
      <c r="D1786" s="550"/>
      <c r="E1786" s="550"/>
      <c r="F1786" s="550"/>
      <c r="G1786" s="550"/>
    </row>
    <row r="1787" spans="1:7" x14ac:dyDescent="0.25">
      <c r="A1787" s="550"/>
      <c r="B1787" s="550"/>
      <c r="C1787" s="550"/>
      <c r="D1787" s="550"/>
      <c r="E1787" s="550"/>
      <c r="F1787" s="550"/>
      <c r="G1787" s="550"/>
    </row>
    <row r="1788" spans="1:7" x14ac:dyDescent="0.25">
      <c r="A1788" s="550"/>
      <c r="B1788" s="550"/>
      <c r="C1788" s="550"/>
      <c r="D1788" s="550"/>
      <c r="E1788" s="550"/>
      <c r="F1788" s="550"/>
      <c r="G1788" s="550"/>
    </row>
    <row r="1789" spans="1:7" x14ac:dyDescent="0.25">
      <c r="A1789" s="550"/>
      <c r="B1789" s="550"/>
      <c r="C1789" s="550"/>
      <c r="D1789" s="550"/>
      <c r="E1789" s="550"/>
      <c r="F1789" s="550"/>
      <c r="G1789" s="550"/>
    </row>
    <row r="1790" spans="1:7" x14ac:dyDescent="0.25">
      <c r="A1790" s="550"/>
      <c r="B1790" s="550"/>
      <c r="C1790" s="550"/>
      <c r="D1790" s="550"/>
      <c r="E1790" s="550"/>
      <c r="F1790" s="550"/>
      <c r="G1790" s="550"/>
    </row>
    <row r="1791" spans="1:7" x14ac:dyDescent="0.25">
      <c r="A1791" s="550"/>
      <c r="B1791" s="550"/>
      <c r="C1791" s="550"/>
      <c r="D1791" s="550"/>
      <c r="E1791" s="550"/>
      <c r="F1791" s="550"/>
      <c r="G1791" s="550"/>
    </row>
    <row r="1792" spans="1:7" x14ac:dyDescent="0.25">
      <c r="A1792" s="550"/>
      <c r="B1792" s="550"/>
      <c r="C1792" s="550"/>
      <c r="D1792" s="550"/>
      <c r="E1792" s="550"/>
      <c r="F1792" s="550"/>
      <c r="G1792" s="550"/>
    </row>
    <row r="1793" spans="1:7" x14ac:dyDescent="0.25">
      <c r="A1793" s="550"/>
      <c r="B1793" s="550"/>
      <c r="C1793" s="550"/>
      <c r="D1793" s="550"/>
      <c r="E1793" s="550"/>
      <c r="F1793" s="550"/>
      <c r="G1793" s="550"/>
    </row>
    <row r="1794" spans="1:7" x14ac:dyDescent="0.25">
      <c r="A1794" s="550"/>
      <c r="B1794" s="550"/>
      <c r="C1794" s="550"/>
      <c r="D1794" s="550"/>
      <c r="E1794" s="550"/>
      <c r="F1794" s="550"/>
      <c r="G1794" s="550"/>
    </row>
    <row r="1795" spans="1:7" x14ac:dyDescent="0.25">
      <c r="A1795" s="550"/>
      <c r="B1795" s="550"/>
      <c r="C1795" s="550"/>
      <c r="D1795" s="550"/>
      <c r="E1795" s="550"/>
      <c r="F1795" s="550"/>
      <c r="G1795" s="550"/>
    </row>
    <row r="1796" spans="1:7" x14ac:dyDescent="0.25">
      <c r="A1796" s="550"/>
      <c r="B1796" s="550"/>
      <c r="C1796" s="550"/>
      <c r="D1796" s="550"/>
      <c r="E1796" s="550"/>
      <c r="F1796" s="550"/>
      <c r="G1796" s="550"/>
    </row>
    <row r="1797" spans="1:7" x14ac:dyDescent="0.25">
      <c r="A1797" s="550"/>
      <c r="B1797" s="550"/>
      <c r="C1797" s="550"/>
      <c r="D1797" s="550"/>
      <c r="E1797" s="550"/>
      <c r="F1797" s="550"/>
      <c r="G1797" s="550"/>
    </row>
    <row r="1798" spans="1:7" x14ac:dyDescent="0.25">
      <c r="A1798" s="550"/>
      <c r="B1798" s="550"/>
      <c r="C1798" s="550"/>
      <c r="D1798" s="550"/>
      <c r="E1798" s="550"/>
      <c r="F1798" s="550"/>
      <c r="G1798" s="550"/>
    </row>
    <row r="1799" spans="1:7" x14ac:dyDescent="0.25">
      <c r="A1799" s="550"/>
      <c r="B1799" s="550"/>
      <c r="C1799" s="550"/>
      <c r="D1799" s="550"/>
      <c r="E1799" s="550"/>
      <c r="F1799" s="550"/>
      <c r="G1799" s="550"/>
    </row>
    <row r="1800" spans="1:7" x14ac:dyDescent="0.25">
      <c r="A1800" s="550"/>
      <c r="B1800" s="550"/>
      <c r="C1800" s="550"/>
      <c r="D1800" s="550"/>
      <c r="E1800" s="550"/>
      <c r="F1800" s="550"/>
      <c r="G1800" s="550"/>
    </row>
    <row r="1801" spans="1:7" x14ac:dyDescent="0.25">
      <c r="A1801" s="550"/>
      <c r="B1801" s="550"/>
      <c r="C1801" s="550"/>
      <c r="D1801" s="550"/>
      <c r="E1801" s="550"/>
      <c r="F1801" s="550"/>
      <c r="G1801" s="550"/>
    </row>
    <row r="1802" spans="1:7" x14ac:dyDescent="0.25">
      <c r="A1802" s="550"/>
      <c r="B1802" s="550"/>
      <c r="C1802" s="550"/>
      <c r="D1802" s="550"/>
      <c r="E1802" s="550"/>
      <c r="F1802" s="550"/>
      <c r="G1802" s="550"/>
    </row>
    <row r="1803" spans="1:7" x14ac:dyDescent="0.25">
      <c r="A1803" s="550"/>
      <c r="B1803" s="550"/>
      <c r="C1803" s="550"/>
      <c r="D1803" s="550"/>
      <c r="E1803" s="550"/>
      <c r="F1803" s="550"/>
      <c r="G1803" s="550"/>
    </row>
    <row r="1804" spans="1:7" x14ac:dyDescent="0.25">
      <c r="A1804" s="550"/>
      <c r="B1804" s="550"/>
      <c r="C1804" s="550"/>
      <c r="D1804" s="550"/>
      <c r="E1804" s="550"/>
      <c r="F1804" s="550"/>
      <c r="G1804" s="550"/>
    </row>
    <row r="1805" spans="1:7" x14ac:dyDescent="0.25">
      <c r="A1805" s="550"/>
      <c r="B1805" s="550"/>
      <c r="C1805" s="550"/>
      <c r="D1805" s="550"/>
      <c r="E1805" s="550"/>
      <c r="F1805" s="550"/>
      <c r="G1805" s="550"/>
    </row>
    <row r="1806" spans="1:7" x14ac:dyDescent="0.25">
      <c r="A1806" s="550"/>
      <c r="B1806" s="550"/>
      <c r="C1806" s="550"/>
      <c r="D1806" s="550"/>
      <c r="E1806" s="550"/>
      <c r="F1806" s="550"/>
      <c r="G1806" s="550"/>
    </row>
    <row r="1807" spans="1:7" x14ac:dyDescent="0.25">
      <c r="A1807" s="550"/>
      <c r="B1807" s="550"/>
      <c r="C1807" s="550"/>
      <c r="D1807" s="550"/>
      <c r="E1807" s="550"/>
      <c r="F1807" s="550"/>
      <c r="G1807" s="550"/>
    </row>
    <row r="1808" spans="1:7" x14ac:dyDescent="0.25">
      <c r="A1808" s="550"/>
      <c r="B1808" s="550"/>
      <c r="C1808" s="550"/>
      <c r="D1808" s="550"/>
      <c r="E1808" s="550"/>
      <c r="F1808" s="550"/>
      <c r="G1808" s="550"/>
    </row>
    <row r="1809" spans="1:7" x14ac:dyDescent="0.25">
      <c r="A1809" s="550"/>
      <c r="B1809" s="550"/>
      <c r="C1809" s="550"/>
      <c r="D1809" s="550"/>
      <c r="E1809" s="550"/>
      <c r="F1809" s="550"/>
      <c r="G1809" s="550"/>
    </row>
    <row r="1810" spans="1:7" x14ac:dyDescent="0.25">
      <c r="A1810" s="550"/>
      <c r="B1810" s="550"/>
      <c r="C1810" s="550"/>
      <c r="D1810" s="550"/>
      <c r="E1810" s="550"/>
      <c r="F1810" s="550"/>
      <c r="G1810" s="550"/>
    </row>
    <row r="1811" spans="1:7" x14ac:dyDescent="0.25">
      <c r="A1811" s="550"/>
      <c r="B1811" s="550"/>
      <c r="C1811" s="550"/>
      <c r="D1811" s="550"/>
      <c r="E1811" s="550"/>
      <c r="F1811" s="550"/>
      <c r="G1811" s="550"/>
    </row>
    <row r="1812" spans="1:7" x14ac:dyDescent="0.25">
      <c r="A1812" s="550"/>
      <c r="B1812" s="550"/>
      <c r="C1812" s="550"/>
      <c r="D1812" s="550"/>
      <c r="E1812" s="550"/>
      <c r="F1812" s="550"/>
      <c r="G1812" s="550"/>
    </row>
    <row r="1813" spans="1:7" x14ac:dyDescent="0.25">
      <c r="A1813" s="550"/>
      <c r="B1813" s="550"/>
      <c r="C1813" s="550"/>
      <c r="D1813" s="550"/>
      <c r="E1813" s="550"/>
      <c r="F1813" s="550"/>
      <c r="G1813" s="550"/>
    </row>
    <row r="1814" spans="1:7" x14ac:dyDescent="0.25">
      <c r="A1814" s="550"/>
      <c r="B1814" s="550"/>
      <c r="C1814" s="550"/>
      <c r="D1814" s="550"/>
      <c r="E1814" s="550"/>
      <c r="F1814" s="550"/>
      <c r="G1814" s="550"/>
    </row>
    <row r="1815" spans="1:7" x14ac:dyDescent="0.25">
      <c r="A1815" s="550"/>
      <c r="B1815" s="550"/>
      <c r="C1815" s="550"/>
      <c r="D1815" s="550"/>
      <c r="E1815" s="550"/>
      <c r="F1815" s="550"/>
      <c r="G1815" s="550"/>
    </row>
    <row r="1816" spans="1:7" x14ac:dyDescent="0.25">
      <c r="A1816" s="550"/>
      <c r="B1816" s="550"/>
      <c r="C1816" s="550"/>
      <c r="D1816" s="550"/>
      <c r="E1816" s="550"/>
      <c r="F1816" s="550"/>
      <c r="G1816" s="550"/>
    </row>
    <row r="1817" spans="1:7" x14ac:dyDescent="0.25">
      <c r="A1817" s="550"/>
      <c r="B1817" s="550"/>
      <c r="C1817" s="550"/>
      <c r="D1817" s="550"/>
      <c r="E1817" s="550"/>
      <c r="F1817" s="550"/>
      <c r="G1817" s="550"/>
    </row>
    <row r="1818" spans="1:7" x14ac:dyDescent="0.25">
      <c r="A1818" s="550"/>
      <c r="B1818" s="550"/>
      <c r="C1818" s="550"/>
      <c r="D1818" s="550"/>
      <c r="E1818" s="550"/>
      <c r="F1818" s="550"/>
      <c r="G1818" s="550"/>
    </row>
    <row r="1819" spans="1:7" x14ac:dyDescent="0.25">
      <c r="A1819" s="550"/>
      <c r="B1819" s="550"/>
      <c r="C1819" s="550"/>
      <c r="D1819" s="550"/>
      <c r="E1819" s="550"/>
      <c r="F1819" s="550"/>
      <c r="G1819" s="550"/>
    </row>
    <row r="1820" spans="1:7" x14ac:dyDescent="0.25">
      <c r="A1820" s="550"/>
      <c r="B1820" s="550"/>
      <c r="C1820" s="550"/>
      <c r="D1820" s="550"/>
      <c r="E1820" s="550"/>
      <c r="F1820" s="550"/>
      <c r="G1820" s="550"/>
    </row>
    <row r="1821" spans="1:7" x14ac:dyDescent="0.25">
      <c r="A1821" s="550"/>
      <c r="B1821" s="550"/>
      <c r="C1821" s="550"/>
      <c r="D1821" s="550"/>
      <c r="E1821" s="550"/>
      <c r="F1821" s="550"/>
      <c r="G1821" s="550"/>
    </row>
    <row r="1822" spans="1:7" x14ac:dyDescent="0.25">
      <c r="A1822" s="550"/>
      <c r="B1822" s="550"/>
      <c r="C1822" s="550"/>
      <c r="D1822" s="550"/>
      <c r="E1822" s="550"/>
      <c r="F1822" s="550"/>
      <c r="G1822" s="550"/>
    </row>
    <row r="1823" spans="1:7" x14ac:dyDescent="0.25">
      <c r="A1823" s="550"/>
      <c r="B1823" s="550"/>
      <c r="C1823" s="550"/>
      <c r="D1823" s="550"/>
      <c r="E1823" s="550"/>
      <c r="F1823" s="550"/>
      <c r="G1823" s="550"/>
    </row>
    <row r="1824" spans="1:7" x14ac:dyDescent="0.25">
      <c r="A1824" s="550"/>
      <c r="B1824" s="550"/>
      <c r="C1824" s="550"/>
      <c r="D1824" s="550"/>
      <c r="E1824" s="550"/>
      <c r="F1824" s="550"/>
      <c r="G1824" s="550"/>
    </row>
    <row r="1825" spans="1:7" x14ac:dyDescent="0.25">
      <c r="A1825" s="550"/>
      <c r="B1825" s="550"/>
      <c r="C1825" s="550"/>
      <c r="D1825" s="550"/>
      <c r="E1825" s="550"/>
      <c r="F1825" s="550"/>
      <c r="G1825" s="550"/>
    </row>
    <row r="1826" spans="1:7" x14ac:dyDescent="0.25">
      <c r="A1826" s="550"/>
      <c r="B1826" s="550"/>
      <c r="C1826" s="550"/>
      <c r="D1826" s="550"/>
      <c r="E1826" s="550"/>
      <c r="F1826" s="550"/>
      <c r="G1826" s="550"/>
    </row>
    <row r="1827" spans="1:7" x14ac:dyDescent="0.25">
      <c r="A1827" s="550"/>
      <c r="B1827" s="550"/>
      <c r="C1827" s="550"/>
      <c r="D1827" s="550"/>
      <c r="E1827" s="550"/>
      <c r="F1827" s="550"/>
      <c r="G1827" s="550"/>
    </row>
    <row r="1828" spans="1:7" x14ac:dyDescent="0.25">
      <c r="A1828" s="550"/>
      <c r="B1828" s="550"/>
      <c r="C1828" s="550"/>
      <c r="D1828" s="550"/>
      <c r="E1828" s="550"/>
      <c r="F1828" s="550"/>
      <c r="G1828" s="550"/>
    </row>
    <row r="1829" spans="1:7" x14ac:dyDescent="0.25">
      <c r="A1829" s="550"/>
      <c r="B1829" s="550"/>
      <c r="C1829" s="550"/>
      <c r="D1829" s="550"/>
      <c r="E1829" s="550"/>
      <c r="F1829" s="550"/>
      <c r="G1829" s="550"/>
    </row>
    <row r="1830" spans="1:7" x14ac:dyDescent="0.25">
      <c r="A1830" s="550"/>
      <c r="B1830" s="550"/>
      <c r="C1830" s="550"/>
      <c r="D1830" s="550"/>
      <c r="E1830" s="550"/>
      <c r="F1830" s="550"/>
      <c r="G1830" s="550"/>
    </row>
    <row r="1831" spans="1:7" x14ac:dyDescent="0.25">
      <c r="A1831" s="550"/>
      <c r="B1831" s="550"/>
      <c r="C1831" s="550"/>
      <c r="D1831" s="550"/>
      <c r="E1831" s="550"/>
      <c r="F1831" s="550"/>
      <c r="G1831" s="550"/>
    </row>
    <row r="1832" spans="1:7" x14ac:dyDescent="0.25">
      <c r="A1832" s="550"/>
      <c r="B1832" s="550"/>
      <c r="C1832" s="550"/>
      <c r="D1832" s="550"/>
      <c r="E1832" s="550"/>
      <c r="F1832" s="550"/>
      <c r="G1832" s="550"/>
    </row>
    <row r="1833" spans="1:7" x14ac:dyDescent="0.25">
      <c r="A1833" s="550"/>
      <c r="B1833" s="550"/>
      <c r="C1833" s="550"/>
      <c r="D1833" s="550"/>
      <c r="E1833" s="550"/>
      <c r="F1833" s="550"/>
      <c r="G1833" s="550"/>
    </row>
    <row r="1834" spans="1:7" x14ac:dyDescent="0.25">
      <c r="A1834" s="550"/>
      <c r="B1834" s="550"/>
      <c r="C1834" s="550"/>
      <c r="D1834" s="550"/>
      <c r="E1834" s="550"/>
      <c r="F1834" s="550"/>
      <c r="G1834" s="550"/>
    </row>
    <row r="1835" spans="1:7" x14ac:dyDescent="0.25">
      <c r="A1835" s="550"/>
      <c r="B1835" s="550"/>
      <c r="C1835" s="550"/>
      <c r="D1835" s="550"/>
      <c r="E1835" s="550"/>
      <c r="F1835" s="550"/>
      <c r="G1835" s="550"/>
    </row>
    <row r="1836" spans="1:7" x14ac:dyDescent="0.25">
      <c r="A1836" s="550"/>
      <c r="B1836" s="550"/>
      <c r="C1836" s="550"/>
      <c r="D1836" s="550"/>
      <c r="E1836" s="550"/>
      <c r="F1836" s="550"/>
      <c r="G1836" s="550"/>
    </row>
    <row r="1837" spans="1:7" x14ac:dyDescent="0.25">
      <c r="A1837" s="550"/>
      <c r="B1837" s="550"/>
      <c r="C1837" s="550"/>
      <c r="D1837" s="550"/>
      <c r="E1837" s="550"/>
      <c r="F1837" s="550"/>
      <c r="G1837" s="550"/>
    </row>
    <row r="1838" spans="1:7" x14ac:dyDescent="0.25">
      <c r="A1838" s="550"/>
      <c r="B1838" s="550"/>
      <c r="C1838" s="550"/>
      <c r="D1838" s="550"/>
      <c r="E1838" s="550"/>
      <c r="F1838" s="550"/>
      <c r="G1838" s="550"/>
    </row>
    <row r="1839" spans="1:7" x14ac:dyDescent="0.25">
      <c r="A1839" s="550"/>
      <c r="B1839" s="550"/>
      <c r="C1839" s="550"/>
      <c r="D1839" s="550"/>
      <c r="E1839" s="550"/>
      <c r="F1839" s="550"/>
      <c r="G1839" s="550"/>
    </row>
    <row r="1840" spans="1:7" x14ac:dyDescent="0.25">
      <c r="A1840" s="550"/>
      <c r="B1840" s="550"/>
      <c r="C1840" s="550"/>
      <c r="D1840" s="550"/>
      <c r="E1840" s="550"/>
      <c r="F1840" s="550"/>
      <c r="G1840" s="550"/>
    </row>
    <row r="1841" spans="1:7" x14ac:dyDescent="0.25">
      <c r="A1841" s="550"/>
      <c r="B1841" s="550"/>
      <c r="C1841" s="550"/>
      <c r="D1841" s="550"/>
      <c r="E1841" s="550"/>
      <c r="F1841" s="550"/>
      <c r="G1841" s="550"/>
    </row>
    <row r="1842" spans="1:7" x14ac:dyDescent="0.25">
      <c r="A1842" s="550"/>
      <c r="B1842" s="550"/>
      <c r="C1842" s="550"/>
      <c r="D1842" s="550"/>
      <c r="E1842" s="550"/>
      <c r="F1842" s="550"/>
      <c r="G1842" s="550"/>
    </row>
    <row r="1843" spans="1:7" x14ac:dyDescent="0.25">
      <c r="A1843" s="550"/>
      <c r="B1843" s="550"/>
      <c r="C1843" s="550"/>
      <c r="D1843" s="550"/>
      <c r="E1843" s="550"/>
      <c r="F1843" s="550"/>
      <c r="G1843" s="550"/>
    </row>
    <row r="1844" spans="1:7" x14ac:dyDescent="0.25">
      <c r="A1844" s="550"/>
      <c r="B1844" s="550"/>
      <c r="C1844" s="550"/>
      <c r="D1844" s="550"/>
      <c r="E1844" s="550"/>
      <c r="F1844" s="550"/>
      <c r="G1844" s="550"/>
    </row>
    <row r="1845" spans="1:7" x14ac:dyDescent="0.25">
      <c r="A1845" s="550"/>
      <c r="B1845" s="550"/>
      <c r="C1845" s="550"/>
      <c r="D1845" s="550"/>
      <c r="E1845" s="550"/>
      <c r="F1845" s="550"/>
      <c r="G1845" s="550"/>
    </row>
    <row r="1846" spans="1:7" x14ac:dyDescent="0.25">
      <c r="A1846" s="550"/>
      <c r="B1846" s="550"/>
      <c r="C1846" s="550"/>
      <c r="D1846" s="550"/>
      <c r="E1846" s="550"/>
      <c r="F1846" s="550"/>
      <c r="G1846" s="550"/>
    </row>
    <row r="1847" spans="1:7" x14ac:dyDescent="0.25">
      <c r="A1847" s="550"/>
      <c r="B1847" s="550"/>
      <c r="C1847" s="550"/>
      <c r="D1847" s="550"/>
      <c r="E1847" s="550"/>
      <c r="F1847" s="550"/>
      <c r="G1847" s="550"/>
    </row>
    <row r="1848" spans="1:7" x14ac:dyDescent="0.25">
      <c r="A1848" s="550"/>
      <c r="B1848" s="550"/>
      <c r="C1848" s="550"/>
      <c r="D1848" s="550"/>
      <c r="E1848" s="550"/>
      <c r="F1848" s="550"/>
      <c r="G1848" s="550"/>
    </row>
    <row r="1849" spans="1:7" x14ac:dyDescent="0.25">
      <c r="A1849" s="550"/>
      <c r="B1849" s="550"/>
      <c r="C1849" s="550"/>
      <c r="D1849" s="550"/>
      <c r="E1849" s="550"/>
      <c r="F1849" s="550"/>
      <c r="G1849" s="550"/>
    </row>
    <row r="1850" spans="1:7" x14ac:dyDescent="0.25">
      <c r="A1850" s="550"/>
      <c r="B1850" s="550"/>
      <c r="C1850" s="550"/>
      <c r="D1850" s="550"/>
      <c r="E1850" s="550"/>
      <c r="F1850" s="550"/>
      <c r="G1850" s="550"/>
    </row>
    <row r="1851" spans="1:7" x14ac:dyDescent="0.25">
      <c r="A1851" s="550"/>
      <c r="B1851" s="550"/>
      <c r="C1851" s="550"/>
      <c r="D1851" s="550"/>
      <c r="E1851" s="550"/>
      <c r="F1851" s="550"/>
      <c r="G1851" s="550"/>
    </row>
    <row r="1852" spans="1:7" x14ac:dyDescent="0.25">
      <c r="A1852" s="550"/>
      <c r="B1852" s="550"/>
      <c r="C1852" s="550"/>
      <c r="D1852" s="550"/>
      <c r="E1852" s="550"/>
      <c r="F1852" s="550"/>
      <c r="G1852" s="550"/>
    </row>
    <row r="1853" spans="1:7" x14ac:dyDescent="0.25">
      <c r="A1853" s="550"/>
      <c r="B1853" s="550"/>
      <c r="C1853" s="550"/>
      <c r="D1853" s="550"/>
      <c r="E1853" s="550"/>
      <c r="F1853" s="550"/>
      <c r="G1853" s="550"/>
    </row>
    <row r="1854" spans="1:7" x14ac:dyDescent="0.25">
      <c r="A1854" s="550"/>
      <c r="B1854" s="550"/>
      <c r="C1854" s="550"/>
      <c r="D1854" s="550"/>
      <c r="E1854" s="550"/>
      <c r="F1854" s="550"/>
      <c r="G1854" s="550"/>
    </row>
    <row r="1855" spans="1:7" x14ac:dyDescent="0.25">
      <c r="A1855" s="550"/>
      <c r="B1855" s="550"/>
      <c r="C1855" s="550"/>
      <c r="D1855" s="550"/>
      <c r="E1855" s="550"/>
      <c r="F1855" s="550"/>
      <c r="G1855" s="550"/>
    </row>
    <row r="1856" spans="1:7" x14ac:dyDescent="0.25">
      <c r="A1856" s="550"/>
      <c r="B1856" s="550"/>
      <c r="C1856" s="550"/>
      <c r="D1856" s="550"/>
      <c r="E1856" s="550"/>
      <c r="F1856" s="550"/>
      <c r="G1856" s="550"/>
    </row>
    <row r="1857" spans="1:7" x14ac:dyDescent="0.25">
      <c r="A1857" s="550"/>
      <c r="B1857" s="550"/>
      <c r="C1857" s="550"/>
      <c r="D1857" s="550"/>
      <c r="E1857" s="550"/>
      <c r="F1857" s="550"/>
      <c r="G1857" s="550"/>
    </row>
    <row r="1858" spans="1:7" x14ac:dyDescent="0.25">
      <c r="A1858" s="550"/>
      <c r="B1858" s="550"/>
      <c r="C1858" s="550"/>
      <c r="D1858" s="550"/>
      <c r="E1858" s="550"/>
      <c r="F1858" s="550"/>
      <c r="G1858" s="550"/>
    </row>
    <row r="1859" spans="1:7" x14ac:dyDescent="0.25">
      <c r="A1859" s="550"/>
      <c r="B1859" s="550"/>
      <c r="C1859" s="550"/>
      <c r="D1859" s="550"/>
      <c r="E1859" s="550"/>
      <c r="F1859" s="550"/>
      <c r="G1859" s="550"/>
    </row>
    <row r="1860" spans="1:7" x14ac:dyDescent="0.25">
      <c r="A1860" s="550"/>
      <c r="B1860" s="550"/>
      <c r="C1860" s="550"/>
      <c r="D1860" s="550"/>
      <c r="E1860" s="550"/>
      <c r="F1860" s="550"/>
      <c r="G1860" s="550"/>
    </row>
    <row r="1861" spans="1:7" x14ac:dyDescent="0.25">
      <c r="A1861" s="550"/>
      <c r="B1861" s="550"/>
      <c r="C1861" s="550"/>
      <c r="D1861" s="550"/>
      <c r="E1861" s="550"/>
      <c r="F1861" s="550"/>
      <c r="G1861" s="550"/>
    </row>
    <row r="1862" spans="1:7" x14ac:dyDescent="0.25">
      <c r="A1862" s="550"/>
      <c r="B1862" s="550"/>
      <c r="C1862" s="550"/>
      <c r="D1862" s="550"/>
      <c r="E1862" s="550"/>
      <c r="F1862" s="550"/>
      <c r="G1862" s="550"/>
    </row>
    <row r="1863" spans="1:7" x14ac:dyDescent="0.25">
      <c r="A1863" s="550"/>
      <c r="B1863" s="550"/>
      <c r="C1863" s="550"/>
      <c r="D1863" s="550"/>
      <c r="E1863" s="550"/>
      <c r="F1863" s="550"/>
      <c r="G1863" s="550"/>
    </row>
    <row r="1864" spans="1:7" x14ac:dyDescent="0.25">
      <c r="A1864" s="550"/>
      <c r="B1864" s="550"/>
      <c r="C1864" s="550"/>
      <c r="D1864" s="550"/>
      <c r="E1864" s="550"/>
      <c r="F1864" s="550"/>
      <c r="G1864" s="550"/>
    </row>
    <row r="1865" spans="1:7" x14ac:dyDescent="0.25">
      <c r="A1865" s="550"/>
      <c r="B1865" s="550"/>
      <c r="C1865" s="550"/>
      <c r="D1865" s="550"/>
      <c r="E1865" s="550"/>
      <c r="F1865" s="550"/>
      <c r="G1865" s="550"/>
    </row>
    <row r="1866" spans="1:7" x14ac:dyDescent="0.25">
      <c r="A1866" s="550"/>
      <c r="B1866" s="550"/>
      <c r="C1866" s="550"/>
      <c r="D1866" s="550"/>
      <c r="E1866" s="550"/>
      <c r="F1866" s="550"/>
      <c r="G1866" s="550"/>
    </row>
    <row r="1867" spans="1:7" x14ac:dyDescent="0.25">
      <c r="A1867" s="550"/>
      <c r="B1867" s="550"/>
      <c r="C1867" s="550"/>
      <c r="D1867" s="550"/>
      <c r="E1867" s="550"/>
      <c r="F1867" s="550"/>
      <c r="G1867" s="550"/>
    </row>
    <row r="1868" spans="1:7" x14ac:dyDescent="0.25">
      <c r="A1868" s="550"/>
      <c r="B1868" s="550"/>
      <c r="C1868" s="550"/>
      <c r="D1868" s="550"/>
      <c r="E1868" s="550"/>
      <c r="F1868" s="550"/>
      <c r="G1868" s="550"/>
    </row>
    <row r="1869" spans="1:7" x14ac:dyDescent="0.25">
      <c r="A1869" s="550"/>
      <c r="B1869" s="550"/>
      <c r="C1869" s="550"/>
      <c r="D1869" s="550"/>
      <c r="E1869" s="550"/>
      <c r="F1869" s="550"/>
      <c r="G1869" s="550"/>
    </row>
    <row r="1870" spans="1:7" x14ac:dyDescent="0.25">
      <c r="A1870" s="550"/>
      <c r="B1870" s="550"/>
      <c r="C1870" s="550"/>
      <c r="D1870" s="550"/>
      <c r="E1870" s="550"/>
      <c r="F1870" s="550"/>
      <c r="G1870" s="550"/>
    </row>
    <row r="1871" spans="1:7" x14ac:dyDescent="0.25">
      <c r="A1871" s="550"/>
      <c r="B1871" s="550"/>
      <c r="C1871" s="550"/>
      <c r="D1871" s="550"/>
      <c r="E1871" s="550"/>
      <c r="F1871" s="550"/>
      <c r="G1871" s="550"/>
    </row>
    <row r="1872" spans="1:7" x14ac:dyDescent="0.25">
      <c r="A1872" s="550"/>
      <c r="B1872" s="550"/>
      <c r="C1872" s="550"/>
      <c r="D1872" s="550"/>
      <c r="E1872" s="550"/>
      <c r="F1872" s="550"/>
      <c r="G1872" s="550"/>
    </row>
    <row r="1873" spans="1:7" x14ac:dyDescent="0.25">
      <c r="A1873" s="550"/>
      <c r="B1873" s="550"/>
      <c r="C1873" s="550"/>
      <c r="D1873" s="550"/>
      <c r="E1873" s="550"/>
      <c r="F1873" s="550"/>
      <c r="G1873" s="550"/>
    </row>
    <row r="1874" spans="1:7" x14ac:dyDescent="0.25">
      <c r="A1874" s="550"/>
      <c r="B1874" s="550"/>
      <c r="C1874" s="550"/>
      <c r="D1874" s="550"/>
      <c r="E1874" s="550"/>
      <c r="F1874" s="550"/>
      <c r="G1874" s="550"/>
    </row>
    <row r="1875" spans="1:7" x14ac:dyDescent="0.25">
      <c r="A1875" s="550"/>
      <c r="B1875" s="550"/>
      <c r="C1875" s="550"/>
      <c r="D1875" s="550"/>
      <c r="E1875" s="550"/>
      <c r="F1875" s="550"/>
      <c r="G1875" s="550"/>
    </row>
    <row r="1876" spans="1:7" x14ac:dyDescent="0.25">
      <c r="A1876" s="550"/>
      <c r="B1876" s="550"/>
      <c r="C1876" s="550"/>
      <c r="D1876" s="550"/>
      <c r="E1876" s="550"/>
      <c r="F1876" s="550"/>
      <c r="G1876" s="550"/>
    </row>
    <row r="1877" spans="1:7" x14ac:dyDescent="0.25">
      <c r="A1877" s="550"/>
      <c r="B1877" s="550"/>
      <c r="C1877" s="550"/>
      <c r="D1877" s="550"/>
      <c r="E1877" s="550"/>
      <c r="F1877" s="550"/>
      <c r="G1877" s="550"/>
    </row>
    <row r="1878" spans="1:7" x14ac:dyDescent="0.25">
      <c r="A1878" s="550"/>
      <c r="B1878" s="550"/>
      <c r="C1878" s="550"/>
      <c r="D1878" s="550"/>
      <c r="E1878" s="550"/>
      <c r="F1878" s="550"/>
      <c r="G1878" s="550"/>
    </row>
    <row r="1879" spans="1:7" x14ac:dyDescent="0.25">
      <c r="A1879" s="550"/>
      <c r="B1879" s="550"/>
      <c r="C1879" s="550"/>
      <c r="D1879" s="550"/>
      <c r="E1879" s="550"/>
      <c r="F1879" s="550"/>
      <c r="G1879" s="550"/>
    </row>
    <row r="1880" spans="1:7" x14ac:dyDescent="0.25">
      <c r="A1880" s="550"/>
      <c r="B1880" s="550"/>
      <c r="C1880" s="550"/>
      <c r="D1880" s="550"/>
      <c r="E1880" s="550"/>
      <c r="F1880" s="550"/>
      <c r="G1880" s="550"/>
    </row>
    <row r="1881" spans="1:7" x14ac:dyDescent="0.25">
      <c r="A1881" s="550"/>
      <c r="B1881" s="550"/>
      <c r="C1881" s="550"/>
      <c r="D1881" s="550"/>
      <c r="E1881" s="550"/>
      <c r="F1881" s="550"/>
      <c r="G1881" s="550"/>
    </row>
    <row r="1882" spans="1:7" x14ac:dyDescent="0.25">
      <c r="A1882" s="550"/>
      <c r="B1882" s="550"/>
      <c r="C1882" s="550"/>
      <c r="D1882" s="550"/>
      <c r="E1882" s="550"/>
      <c r="F1882" s="550"/>
      <c r="G1882" s="550"/>
    </row>
    <row r="1883" spans="1:7" x14ac:dyDescent="0.25">
      <c r="A1883" s="550"/>
      <c r="B1883" s="550"/>
      <c r="C1883" s="550"/>
      <c r="D1883" s="550"/>
      <c r="E1883" s="550"/>
      <c r="F1883" s="550"/>
      <c r="G1883" s="550"/>
    </row>
    <row r="1884" spans="1:7" x14ac:dyDescent="0.25">
      <c r="A1884" s="550"/>
      <c r="B1884" s="550"/>
      <c r="C1884" s="550"/>
      <c r="D1884" s="550"/>
      <c r="E1884" s="550"/>
      <c r="F1884" s="550"/>
      <c r="G1884" s="550"/>
    </row>
    <row r="1885" spans="1:7" x14ac:dyDescent="0.25">
      <c r="A1885" s="550"/>
      <c r="B1885" s="550"/>
      <c r="C1885" s="550"/>
      <c r="D1885" s="550"/>
      <c r="E1885" s="550"/>
      <c r="F1885" s="550"/>
      <c r="G1885" s="550"/>
    </row>
    <row r="1886" spans="1:7" x14ac:dyDescent="0.25">
      <c r="A1886" s="550"/>
      <c r="B1886" s="550"/>
      <c r="C1886" s="550"/>
      <c r="D1886" s="550"/>
      <c r="E1886" s="550"/>
      <c r="F1886" s="550"/>
      <c r="G1886" s="550"/>
    </row>
    <row r="1887" spans="1:7" x14ac:dyDescent="0.25">
      <c r="A1887" s="550"/>
      <c r="B1887" s="550"/>
      <c r="C1887" s="550"/>
      <c r="D1887" s="550"/>
      <c r="E1887" s="550"/>
      <c r="F1887" s="550"/>
      <c r="G1887" s="550"/>
    </row>
    <row r="1888" spans="1:7" x14ac:dyDescent="0.25">
      <c r="A1888" s="550"/>
      <c r="B1888" s="550"/>
      <c r="C1888" s="550"/>
      <c r="D1888" s="550"/>
      <c r="E1888" s="550"/>
      <c r="F1888" s="550"/>
      <c r="G1888" s="550"/>
    </row>
    <row r="1889" spans="1:7" x14ac:dyDescent="0.25">
      <c r="A1889" s="550"/>
      <c r="B1889" s="550"/>
      <c r="C1889" s="550"/>
      <c r="D1889" s="550"/>
      <c r="E1889" s="550"/>
      <c r="F1889" s="550"/>
      <c r="G1889" s="550"/>
    </row>
    <row r="1890" spans="1:7" x14ac:dyDescent="0.25">
      <c r="A1890" s="550"/>
      <c r="B1890" s="550"/>
      <c r="C1890" s="550"/>
      <c r="D1890" s="550"/>
      <c r="E1890" s="550"/>
      <c r="F1890" s="550"/>
      <c r="G1890" s="550"/>
    </row>
    <row r="1891" spans="1:7" x14ac:dyDescent="0.25">
      <c r="A1891" s="550"/>
      <c r="B1891" s="550"/>
      <c r="C1891" s="550"/>
      <c r="D1891" s="550"/>
      <c r="E1891" s="550"/>
      <c r="F1891" s="550"/>
      <c r="G1891" s="550"/>
    </row>
    <row r="1892" spans="1:7" x14ac:dyDescent="0.25">
      <c r="A1892" s="550"/>
      <c r="B1892" s="550"/>
      <c r="C1892" s="550"/>
      <c r="D1892" s="550"/>
      <c r="E1892" s="550"/>
      <c r="F1892" s="550"/>
      <c r="G1892" s="550"/>
    </row>
    <row r="1893" spans="1:7" x14ac:dyDescent="0.25">
      <c r="A1893" s="550"/>
      <c r="B1893" s="550"/>
      <c r="C1893" s="550"/>
      <c r="D1893" s="550"/>
      <c r="E1893" s="550"/>
      <c r="F1893" s="550"/>
      <c r="G1893" s="550"/>
    </row>
    <row r="1894" spans="1:7" x14ac:dyDescent="0.25">
      <c r="A1894" s="550"/>
      <c r="B1894" s="550"/>
      <c r="C1894" s="550"/>
      <c r="D1894" s="550"/>
      <c r="E1894" s="550"/>
      <c r="F1894" s="550"/>
      <c r="G1894" s="550"/>
    </row>
    <row r="1895" spans="1:7" x14ac:dyDescent="0.25">
      <c r="A1895" s="550"/>
      <c r="B1895" s="550"/>
      <c r="C1895" s="550"/>
      <c r="D1895" s="550"/>
      <c r="E1895" s="550"/>
      <c r="F1895" s="550"/>
      <c r="G1895" s="550"/>
    </row>
    <row r="1896" spans="1:7" x14ac:dyDescent="0.25">
      <c r="A1896" s="550"/>
      <c r="B1896" s="550"/>
      <c r="C1896" s="550"/>
      <c r="D1896" s="550"/>
      <c r="E1896" s="550"/>
      <c r="F1896" s="550"/>
      <c r="G1896" s="550"/>
    </row>
    <row r="1897" spans="1:7" x14ac:dyDescent="0.25">
      <c r="A1897" s="550"/>
      <c r="B1897" s="550"/>
      <c r="C1897" s="550"/>
      <c r="D1897" s="550"/>
      <c r="E1897" s="550"/>
      <c r="F1897" s="550"/>
      <c r="G1897" s="550"/>
    </row>
    <row r="1898" spans="1:7" x14ac:dyDescent="0.25">
      <c r="A1898" s="550"/>
      <c r="B1898" s="550"/>
      <c r="C1898" s="550"/>
      <c r="D1898" s="550"/>
      <c r="E1898" s="550"/>
      <c r="F1898" s="550"/>
      <c r="G1898" s="550"/>
    </row>
    <row r="1899" spans="1:7" x14ac:dyDescent="0.25">
      <c r="A1899" s="550"/>
      <c r="B1899" s="550"/>
      <c r="C1899" s="550"/>
      <c r="D1899" s="550"/>
      <c r="E1899" s="550"/>
      <c r="F1899" s="550"/>
      <c r="G1899" s="550"/>
    </row>
    <row r="1900" spans="1:7" x14ac:dyDescent="0.25">
      <c r="A1900" s="550"/>
      <c r="B1900" s="550"/>
      <c r="C1900" s="550"/>
      <c r="D1900" s="550"/>
      <c r="E1900" s="550"/>
      <c r="F1900" s="550"/>
      <c r="G1900" s="550"/>
    </row>
    <row r="1901" spans="1:7" x14ac:dyDescent="0.25">
      <c r="A1901" s="550"/>
      <c r="B1901" s="550"/>
      <c r="C1901" s="550"/>
      <c r="D1901" s="550"/>
      <c r="E1901" s="550"/>
      <c r="F1901" s="550"/>
      <c r="G1901" s="550"/>
    </row>
    <row r="1902" spans="1:7" x14ac:dyDescent="0.25">
      <c r="A1902" s="550"/>
      <c r="B1902" s="550"/>
      <c r="C1902" s="550"/>
      <c r="D1902" s="550"/>
      <c r="E1902" s="550"/>
      <c r="F1902" s="550"/>
      <c r="G1902" s="550"/>
    </row>
    <row r="1903" spans="1:7" x14ac:dyDescent="0.25">
      <c r="A1903" s="550"/>
      <c r="B1903" s="550"/>
      <c r="C1903" s="550"/>
      <c r="D1903" s="550"/>
      <c r="E1903" s="550"/>
      <c r="F1903" s="550"/>
      <c r="G1903" s="550"/>
    </row>
    <row r="1904" spans="1:7" x14ac:dyDescent="0.25">
      <c r="A1904" s="550"/>
      <c r="B1904" s="550"/>
      <c r="C1904" s="550"/>
      <c r="D1904" s="550"/>
      <c r="E1904" s="550"/>
      <c r="F1904" s="550"/>
      <c r="G1904" s="550"/>
    </row>
    <row r="1905" spans="1:7" x14ac:dyDescent="0.25">
      <c r="A1905" s="550"/>
      <c r="B1905" s="550"/>
      <c r="C1905" s="550"/>
      <c r="D1905" s="550"/>
      <c r="E1905" s="550"/>
      <c r="F1905" s="550"/>
      <c r="G1905" s="550"/>
    </row>
    <row r="1906" spans="1:7" x14ac:dyDescent="0.25">
      <c r="A1906" s="550"/>
      <c r="B1906" s="550"/>
      <c r="C1906" s="550"/>
      <c r="D1906" s="550"/>
      <c r="E1906" s="550"/>
      <c r="F1906" s="550"/>
      <c r="G1906" s="550"/>
    </row>
    <row r="1907" spans="1:7" x14ac:dyDescent="0.25">
      <c r="A1907" s="550"/>
      <c r="B1907" s="550"/>
      <c r="C1907" s="550"/>
      <c r="D1907" s="550"/>
      <c r="E1907" s="550"/>
      <c r="F1907" s="550"/>
      <c r="G1907" s="550"/>
    </row>
    <row r="1908" spans="1:7" x14ac:dyDescent="0.25">
      <c r="A1908" s="550"/>
      <c r="B1908" s="550"/>
      <c r="C1908" s="550"/>
      <c r="D1908" s="550"/>
      <c r="E1908" s="550"/>
      <c r="F1908" s="550"/>
      <c r="G1908" s="550"/>
    </row>
    <row r="1909" spans="1:7" x14ac:dyDescent="0.25">
      <c r="A1909" s="550"/>
      <c r="B1909" s="550"/>
      <c r="C1909" s="550"/>
      <c r="D1909" s="550"/>
      <c r="E1909" s="550"/>
      <c r="F1909" s="550"/>
      <c r="G1909" s="550"/>
    </row>
    <row r="1910" spans="1:7" x14ac:dyDescent="0.25">
      <c r="A1910" s="550"/>
      <c r="B1910" s="550"/>
      <c r="C1910" s="550"/>
      <c r="D1910" s="550"/>
      <c r="E1910" s="550"/>
      <c r="F1910" s="550"/>
      <c r="G1910" s="550"/>
    </row>
    <row r="1911" spans="1:7" x14ac:dyDescent="0.25">
      <c r="A1911" s="550"/>
      <c r="B1911" s="550"/>
      <c r="C1911" s="550"/>
      <c r="D1911" s="550"/>
      <c r="E1911" s="550"/>
      <c r="F1911" s="550"/>
      <c r="G1911" s="550"/>
    </row>
    <row r="1912" spans="1:7" x14ac:dyDescent="0.25">
      <c r="A1912" s="550"/>
      <c r="B1912" s="550"/>
      <c r="C1912" s="550"/>
      <c r="D1912" s="550"/>
      <c r="E1912" s="550"/>
      <c r="F1912" s="550"/>
      <c r="G1912" s="550"/>
    </row>
    <row r="1913" spans="1:7" x14ac:dyDescent="0.25">
      <c r="A1913" s="550"/>
      <c r="B1913" s="550"/>
      <c r="C1913" s="550"/>
      <c r="D1913" s="550"/>
      <c r="E1913" s="550"/>
      <c r="F1913" s="550"/>
      <c r="G1913" s="550"/>
    </row>
    <row r="1914" spans="1:7" x14ac:dyDescent="0.25">
      <c r="A1914" s="550"/>
      <c r="B1914" s="550"/>
      <c r="C1914" s="550"/>
      <c r="D1914" s="550"/>
      <c r="E1914" s="550"/>
      <c r="F1914" s="550"/>
      <c r="G1914" s="550"/>
    </row>
    <row r="1915" spans="1:7" x14ac:dyDescent="0.25">
      <c r="A1915" s="550"/>
      <c r="B1915" s="550"/>
      <c r="C1915" s="550"/>
      <c r="D1915" s="550"/>
      <c r="E1915" s="550"/>
      <c r="F1915" s="550"/>
      <c r="G1915" s="550"/>
    </row>
    <row r="1916" spans="1:7" x14ac:dyDescent="0.25">
      <c r="A1916" s="550"/>
      <c r="B1916" s="550"/>
      <c r="C1916" s="550"/>
      <c r="D1916" s="550"/>
      <c r="E1916" s="550"/>
      <c r="F1916" s="550"/>
      <c r="G1916" s="550"/>
    </row>
    <row r="1917" spans="1:7" x14ac:dyDescent="0.25">
      <c r="A1917" s="550"/>
      <c r="B1917" s="550"/>
      <c r="C1917" s="550"/>
      <c r="D1917" s="550"/>
      <c r="E1917" s="550"/>
      <c r="F1917" s="550"/>
      <c r="G1917" s="550"/>
    </row>
    <row r="1918" spans="1:7" x14ac:dyDescent="0.25">
      <c r="A1918" s="550"/>
      <c r="B1918" s="550"/>
      <c r="C1918" s="550"/>
      <c r="D1918" s="550"/>
      <c r="E1918" s="550"/>
      <c r="F1918" s="550"/>
      <c r="G1918" s="550"/>
    </row>
    <row r="1919" spans="1:7" x14ac:dyDescent="0.25">
      <c r="A1919" s="550"/>
      <c r="B1919" s="550"/>
      <c r="C1919" s="550"/>
      <c r="D1919" s="550"/>
      <c r="E1919" s="550"/>
      <c r="F1919" s="550"/>
      <c r="G1919" s="550"/>
    </row>
    <row r="1920" spans="1:7" x14ac:dyDescent="0.25">
      <c r="A1920" s="550"/>
      <c r="B1920" s="550"/>
      <c r="C1920" s="550"/>
      <c r="D1920" s="550"/>
      <c r="E1920" s="550"/>
      <c r="F1920" s="550"/>
      <c r="G1920" s="550"/>
    </row>
    <row r="1921" spans="1:7" x14ac:dyDescent="0.25">
      <c r="A1921" s="550"/>
      <c r="B1921" s="550"/>
      <c r="C1921" s="550"/>
      <c r="D1921" s="550"/>
      <c r="E1921" s="550"/>
      <c r="F1921" s="550"/>
      <c r="G1921" s="550"/>
    </row>
    <row r="1922" spans="1:7" x14ac:dyDescent="0.25">
      <c r="A1922" s="550"/>
      <c r="B1922" s="550"/>
      <c r="C1922" s="550"/>
      <c r="D1922" s="550"/>
      <c r="E1922" s="550"/>
      <c r="F1922" s="550"/>
      <c r="G1922" s="550"/>
    </row>
    <row r="1923" spans="1:7" x14ac:dyDescent="0.25">
      <c r="A1923" s="550"/>
      <c r="B1923" s="550"/>
      <c r="C1923" s="550"/>
      <c r="D1923" s="550"/>
      <c r="E1923" s="550"/>
      <c r="F1923" s="550"/>
      <c r="G1923" s="550"/>
    </row>
    <row r="1924" spans="1:7" x14ac:dyDescent="0.25">
      <c r="A1924" s="550"/>
      <c r="B1924" s="550"/>
      <c r="C1924" s="550"/>
      <c r="D1924" s="550"/>
      <c r="E1924" s="550"/>
      <c r="F1924" s="550"/>
      <c r="G1924" s="550"/>
    </row>
    <row r="1925" spans="1:7" x14ac:dyDescent="0.25">
      <c r="A1925" s="550"/>
      <c r="B1925" s="550"/>
      <c r="C1925" s="550"/>
      <c r="D1925" s="550"/>
      <c r="E1925" s="550"/>
      <c r="F1925" s="550"/>
      <c r="G1925" s="550"/>
    </row>
    <row r="1926" spans="1:7" x14ac:dyDescent="0.25">
      <c r="A1926" s="550"/>
      <c r="B1926" s="550"/>
      <c r="C1926" s="550"/>
      <c r="D1926" s="550"/>
      <c r="E1926" s="550"/>
      <c r="F1926" s="550"/>
      <c r="G1926" s="550"/>
    </row>
    <row r="1927" spans="1:7" x14ac:dyDescent="0.25">
      <c r="A1927" s="550"/>
      <c r="B1927" s="550"/>
      <c r="C1927" s="550"/>
      <c r="D1927" s="550"/>
      <c r="E1927" s="550"/>
      <c r="F1927" s="550"/>
      <c r="G1927" s="550"/>
    </row>
    <row r="1928" spans="1:7" x14ac:dyDescent="0.25">
      <c r="A1928" s="550"/>
      <c r="B1928" s="550"/>
      <c r="C1928" s="550"/>
      <c r="D1928" s="550"/>
      <c r="E1928" s="550"/>
      <c r="F1928" s="550"/>
      <c r="G1928" s="550"/>
    </row>
    <row r="1929" spans="1:7" x14ac:dyDescent="0.25">
      <c r="A1929" s="550"/>
      <c r="B1929" s="550"/>
      <c r="C1929" s="550"/>
      <c r="D1929" s="550"/>
      <c r="E1929" s="550"/>
      <c r="F1929" s="550"/>
      <c r="G1929" s="550"/>
    </row>
    <row r="1930" spans="1:7" x14ac:dyDescent="0.25">
      <c r="A1930" s="550"/>
      <c r="B1930" s="550"/>
      <c r="C1930" s="550"/>
      <c r="D1930" s="550"/>
      <c r="E1930" s="550"/>
      <c r="F1930" s="550"/>
      <c r="G1930" s="550"/>
    </row>
    <row r="1931" spans="1:7" x14ac:dyDescent="0.25">
      <c r="A1931" s="550"/>
      <c r="B1931" s="550"/>
      <c r="C1931" s="550"/>
      <c r="D1931" s="550"/>
      <c r="E1931" s="550"/>
      <c r="F1931" s="550"/>
      <c r="G1931" s="550"/>
    </row>
    <row r="1932" spans="1:7" x14ac:dyDescent="0.25">
      <c r="A1932" s="550"/>
      <c r="B1932" s="550"/>
      <c r="C1932" s="550"/>
      <c r="D1932" s="550"/>
      <c r="E1932" s="550"/>
      <c r="F1932" s="550"/>
      <c r="G1932" s="550"/>
    </row>
    <row r="1933" spans="1:7" x14ac:dyDescent="0.25">
      <c r="A1933" s="550"/>
      <c r="B1933" s="550"/>
      <c r="C1933" s="550"/>
      <c r="D1933" s="550"/>
      <c r="E1933" s="550"/>
      <c r="F1933" s="550"/>
      <c r="G1933" s="550"/>
    </row>
    <row r="1934" spans="1:7" x14ac:dyDescent="0.25">
      <c r="A1934" s="550"/>
      <c r="B1934" s="550"/>
      <c r="C1934" s="550"/>
      <c r="D1934" s="550"/>
      <c r="E1934" s="550"/>
      <c r="F1934" s="550"/>
      <c r="G1934" s="550"/>
    </row>
    <row r="1935" spans="1:7" x14ac:dyDescent="0.25">
      <c r="A1935" s="550"/>
      <c r="B1935" s="550"/>
      <c r="C1935" s="550"/>
      <c r="D1935" s="550"/>
      <c r="E1935" s="550"/>
      <c r="F1935" s="550"/>
      <c r="G1935" s="550"/>
    </row>
    <row r="1936" spans="1:7" x14ac:dyDescent="0.25">
      <c r="A1936" s="550"/>
      <c r="B1936" s="550"/>
      <c r="C1936" s="550"/>
      <c r="D1936" s="550"/>
      <c r="E1936" s="550"/>
      <c r="F1936" s="550"/>
      <c r="G1936" s="550"/>
    </row>
    <row r="1937" spans="1:7" x14ac:dyDescent="0.25">
      <c r="A1937" s="550"/>
      <c r="B1937" s="550"/>
      <c r="C1937" s="550"/>
      <c r="D1937" s="550"/>
      <c r="E1937" s="550"/>
      <c r="F1937" s="550"/>
      <c r="G1937" s="550"/>
    </row>
    <row r="1938" spans="1:7" x14ac:dyDescent="0.25">
      <c r="A1938" s="550"/>
      <c r="B1938" s="550"/>
      <c r="C1938" s="550"/>
      <c r="D1938" s="550"/>
      <c r="E1938" s="550"/>
      <c r="F1938" s="550"/>
      <c r="G1938" s="550"/>
    </row>
    <row r="1939" spans="1:7" x14ac:dyDescent="0.25">
      <c r="A1939" s="550"/>
      <c r="B1939" s="550"/>
      <c r="C1939" s="550"/>
      <c r="D1939" s="550"/>
      <c r="E1939" s="550"/>
      <c r="F1939" s="550"/>
      <c r="G1939" s="550"/>
    </row>
    <row r="1940" spans="1:7" x14ac:dyDescent="0.25">
      <c r="A1940" s="550"/>
      <c r="B1940" s="550"/>
      <c r="C1940" s="550"/>
      <c r="D1940" s="550"/>
      <c r="E1940" s="550"/>
      <c r="F1940" s="550"/>
      <c r="G1940" s="550"/>
    </row>
    <row r="1941" spans="1:7" x14ac:dyDescent="0.25">
      <c r="A1941" s="550"/>
      <c r="B1941" s="550"/>
      <c r="C1941" s="550"/>
      <c r="D1941" s="550"/>
      <c r="E1941" s="550"/>
      <c r="F1941" s="550"/>
      <c r="G1941" s="550"/>
    </row>
    <row r="1942" spans="1:7" x14ac:dyDescent="0.25">
      <c r="A1942" s="550"/>
      <c r="B1942" s="550"/>
      <c r="C1942" s="550"/>
      <c r="D1942" s="550"/>
      <c r="E1942" s="550"/>
      <c r="F1942" s="550"/>
      <c r="G1942" s="550"/>
    </row>
    <row r="1943" spans="1:7" x14ac:dyDescent="0.25">
      <c r="A1943" s="550"/>
      <c r="B1943" s="550"/>
      <c r="C1943" s="550"/>
      <c r="D1943" s="550"/>
      <c r="E1943" s="550"/>
      <c r="F1943" s="550"/>
      <c r="G1943" s="550"/>
    </row>
    <row r="1944" spans="1:7" x14ac:dyDescent="0.25">
      <c r="A1944" s="550"/>
      <c r="B1944" s="550"/>
      <c r="C1944" s="550"/>
      <c r="D1944" s="550"/>
      <c r="E1944" s="550"/>
      <c r="F1944" s="550"/>
      <c r="G1944" s="550"/>
    </row>
    <row r="1945" spans="1:7" x14ac:dyDescent="0.25">
      <c r="A1945" s="550"/>
      <c r="B1945" s="550"/>
      <c r="C1945" s="550"/>
      <c r="D1945" s="550"/>
      <c r="E1945" s="550"/>
      <c r="F1945" s="550"/>
      <c r="G1945" s="550"/>
    </row>
    <row r="1946" spans="1:7" x14ac:dyDescent="0.25">
      <c r="A1946" s="550"/>
      <c r="B1946" s="550"/>
      <c r="C1946" s="550"/>
      <c r="D1946" s="550"/>
      <c r="E1946" s="550"/>
      <c r="F1946" s="550"/>
      <c r="G1946" s="550"/>
    </row>
    <row r="1947" spans="1:7" x14ac:dyDescent="0.25">
      <c r="A1947" s="550"/>
      <c r="B1947" s="550"/>
      <c r="C1947" s="550"/>
      <c r="D1947" s="550"/>
      <c r="E1947" s="550"/>
      <c r="F1947" s="550"/>
      <c r="G1947" s="550"/>
    </row>
    <row r="1948" spans="1:7" x14ac:dyDescent="0.25">
      <c r="A1948" s="550"/>
      <c r="B1948" s="550"/>
      <c r="C1948" s="550"/>
      <c r="D1948" s="550"/>
      <c r="E1948" s="550"/>
      <c r="F1948" s="550"/>
      <c r="G1948" s="550"/>
    </row>
    <row r="1949" spans="1:7" x14ac:dyDescent="0.25">
      <c r="A1949" s="550"/>
      <c r="B1949" s="550"/>
      <c r="C1949" s="550"/>
      <c r="D1949" s="550"/>
      <c r="E1949" s="550"/>
      <c r="F1949" s="550"/>
      <c r="G1949" s="550"/>
    </row>
    <row r="1950" spans="1:7" x14ac:dyDescent="0.25">
      <c r="A1950" s="550"/>
      <c r="B1950" s="550"/>
      <c r="C1950" s="550"/>
      <c r="D1950" s="550"/>
      <c r="E1950" s="550"/>
      <c r="F1950" s="550"/>
      <c r="G1950" s="550"/>
    </row>
    <row r="1951" spans="1:7" x14ac:dyDescent="0.25">
      <c r="A1951" s="550"/>
      <c r="B1951" s="550"/>
      <c r="C1951" s="550"/>
      <c r="D1951" s="550"/>
      <c r="E1951" s="550"/>
      <c r="F1951" s="550"/>
      <c r="G1951" s="550"/>
    </row>
    <row r="1952" spans="1:7" x14ac:dyDescent="0.25">
      <c r="A1952" s="550"/>
      <c r="B1952" s="550"/>
      <c r="C1952" s="550"/>
      <c r="D1952" s="550"/>
      <c r="E1952" s="550"/>
      <c r="F1952" s="550"/>
      <c r="G1952" s="550"/>
    </row>
    <row r="1953" spans="1:7" x14ac:dyDescent="0.25">
      <c r="A1953" s="550"/>
      <c r="B1953" s="550"/>
      <c r="C1953" s="550"/>
      <c r="D1953" s="550"/>
      <c r="E1953" s="550"/>
      <c r="F1953" s="550"/>
      <c r="G1953" s="550"/>
    </row>
    <row r="1954" spans="1:7" x14ac:dyDescent="0.25">
      <c r="A1954" s="550"/>
      <c r="B1954" s="550"/>
      <c r="C1954" s="550"/>
      <c r="D1954" s="550"/>
      <c r="E1954" s="550"/>
      <c r="F1954" s="550"/>
      <c r="G1954" s="550"/>
    </row>
    <row r="1955" spans="1:7" x14ac:dyDescent="0.25">
      <c r="A1955" s="550"/>
      <c r="B1955" s="550"/>
      <c r="C1955" s="550"/>
      <c r="D1955" s="550"/>
      <c r="E1955" s="550"/>
      <c r="F1955" s="550"/>
      <c r="G1955" s="550"/>
    </row>
    <row r="1956" spans="1:7" x14ac:dyDescent="0.25">
      <c r="A1956" s="550"/>
      <c r="B1956" s="550"/>
      <c r="C1956" s="550"/>
      <c r="D1956" s="550"/>
      <c r="E1956" s="550"/>
      <c r="F1956" s="550"/>
      <c r="G1956" s="550"/>
    </row>
    <row r="1957" spans="1:7" x14ac:dyDescent="0.25">
      <c r="A1957" s="550"/>
      <c r="B1957" s="550"/>
      <c r="C1957" s="550"/>
      <c r="D1957" s="550"/>
      <c r="E1957" s="550"/>
      <c r="F1957" s="550"/>
      <c r="G1957" s="550"/>
    </row>
    <row r="1958" spans="1:7" x14ac:dyDescent="0.25">
      <c r="A1958" s="550"/>
      <c r="B1958" s="550"/>
      <c r="C1958" s="550"/>
      <c r="D1958" s="550"/>
      <c r="E1958" s="550"/>
      <c r="F1958" s="550"/>
      <c r="G1958" s="550"/>
    </row>
    <row r="1959" spans="1:7" x14ac:dyDescent="0.25">
      <c r="A1959" s="550"/>
      <c r="B1959" s="550"/>
      <c r="C1959" s="550"/>
      <c r="D1959" s="550"/>
      <c r="E1959" s="550"/>
      <c r="F1959" s="550"/>
      <c r="G1959" s="550"/>
    </row>
    <row r="1960" spans="1:7" x14ac:dyDescent="0.25">
      <c r="A1960" s="550"/>
      <c r="B1960" s="550"/>
      <c r="C1960" s="550"/>
      <c r="D1960" s="550"/>
      <c r="E1960" s="550"/>
      <c r="F1960" s="550"/>
      <c r="G1960" s="550"/>
    </row>
    <row r="1961" spans="1:7" x14ac:dyDescent="0.25">
      <c r="A1961" s="550"/>
      <c r="B1961" s="550"/>
      <c r="C1961" s="550"/>
      <c r="D1961" s="550"/>
      <c r="E1961" s="550"/>
      <c r="F1961" s="550"/>
      <c r="G1961" s="550"/>
    </row>
    <row r="1962" spans="1:7" x14ac:dyDescent="0.25">
      <c r="A1962" s="550"/>
      <c r="B1962" s="550"/>
      <c r="C1962" s="550"/>
      <c r="D1962" s="550"/>
      <c r="E1962" s="550"/>
      <c r="F1962" s="550"/>
      <c r="G1962" s="550"/>
    </row>
    <row r="1963" spans="1:7" x14ac:dyDescent="0.25">
      <c r="A1963" s="550"/>
      <c r="B1963" s="550"/>
      <c r="C1963" s="550"/>
      <c r="D1963" s="550"/>
      <c r="E1963" s="550"/>
      <c r="F1963" s="550"/>
      <c r="G1963" s="550"/>
    </row>
    <row r="1964" spans="1:7" x14ac:dyDescent="0.25">
      <c r="A1964" s="550"/>
      <c r="B1964" s="550"/>
      <c r="C1964" s="550"/>
      <c r="D1964" s="550"/>
      <c r="E1964" s="550"/>
      <c r="F1964" s="550"/>
      <c r="G1964" s="550"/>
    </row>
    <row r="1965" spans="1:7" x14ac:dyDescent="0.25">
      <c r="A1965" s="550"/>
      <c r="B1965" s="550"/>
      <c r="C1965" s="550"/>
      <c r="D1965" s="550"/>
      <c r="E1965" s="550"/>
      <c r="F1965" s="550"/>
      <c r="G1965" s="550"/>
    </row>
    <row r="1966" spans="1:7" x14ac:dyDescent="0.25">
      <c r="A1966" s="550"/>
      <c r="B1966" s="550"/>
      <c r="C1966" s="550"/>
      <c r="D1966" s="550"/>
      <c r="E1966" s="550"/>
      <c r="F1966" s="550"/>
      <c r="G1966" s="550"/>
    </row>
    <row r="1967" spans="1:7" x14ac:dyDescent="0.25">
      <c r="A1967" s="550"/>
      <c r="B1967" s="550"/>
      <c r="C1967" s="550"/>
      <c r="D1967" s="550"/>
      <c r="E1967" s="550"/>
      <c r="F1967" s="550"/>
      <c r="G1967" s="550"/>
    </row>
    <row r="1968" spans="1:7" x14ac:dyDescent="0.25">
      <c r="A1968" s="550"/>
      <c r="B1968" s="550"/>
      <c r="C1968" s="550"/>
      <c r="D1968" s="550"/>
      <c r="E1968" s="550"/>
      <c r="F1968" s="550"/>
      <c r="G1968" s="550"/>
    </row>
    <row r="1969" spans="1:7" x14ac:dyDescent="0.25">
      <c r="A1969" s="550"/>
      <c r="B1969" s="550"/>
      <c r="C1969" s="550"/>
      <c r="D1969" s="550"/>
      <c r="E1969" s="550"/>
      <c r="F1969" s="550"/>
      <c r="G1969" s="550"/>
    </row>
    <row r="1970" spans="1:7" x14ac:dyDescent="0.25">
      <c r="A1970" s="550"/>
      <c r="B1970" s="550"/>
      <c r="C1970" s="550"/>
      <c r="D1970" s="550"/>
      <c r="E1970" s="550"/>
      <c r="F1970" s="550"/>
      <c r="G1970" s="550"/>
    </row>
    <row r="1971" spans="1:7" x14ac:dyDescent="0.25">
      <c r="A1971" s="550"/>
      <c r="B1971" s="550"/>
      <c r="C1971" s="550"/>
      <c r="D1971" s="550"/>
      <c r="E1971" s="550"/>
      <c r="F1971" s="550"/>
      <c r="G1971" s="550"/>
    </row>
    <row r="1972" spans="1:7" x14ac:dyDescent="0.25">
      <c r="A1972" s="550"/>
      <c r="B1972" s="550"/>
      <c r="C1972" s="550"/>
      <c r="D1972" s="550"/>
      <c r="E1972" s="550"/>
      <c r="F1972" s="550"/>
      <c r="G1972" s="550"/>
    </row>
    <row r="1973" spans="1:7" x14ac:dyDescent="0.25">
      <c r="A1973" s="550"/>
      <c r="B1973" s="550"/>
      <c r="C1973" s="550"/>
      <c r="D1973" s="550"/>
      <c r="E1973" s="550"/>
      <c r="F1973" s="550"/>
      <c r="G1973" s="550"/>
    </row>
    <row r="1974" spans="1:7" x14ac:dyDescent="0.25">
      <c r="A1974" s="550"/>
      <c r="B1974" s="550"/>
      <c r="C1974" s="550"/>
      <c r="D1974" s="550"/>
      <c r="E1974" s="550"/>
      <c r="F1974" s="550"/>
      <c r="G1974" s="550"/>
    </row>
    <row r="1975" spans="1:7" x14ac:dyDescent="0.25">
      <c r="A1975" s="550"/>
      <c r="B1975" s="550"/>
      <c r="C1975" s="550"/>
      <c r="D1975" s="550"/>
      <c r="E1975" s="550"/>
      <c r="F1975" s="550"/>
      <c r="G1975" s="550"/>
    </row>
    <row r="1976" spans="1:7" x14ac:dyDescent="0.25">
      <c r="A1976" s="550"/>
      <c r="B1976" s="550"/>
      <c r="C1976" s="550"/>
      <c r="D1976" s="550"/>
      <c r="E1976" s="550"/>
      <c r="F1976" s="550"/>
      <c r="G1976" s="550"/>
    </row>
    <row r="1977" spans="1:7" x14ac:dyDescent="0.25">
      <c r="A1977" s="550"/>
      <c r="B1977" s="550"/>
      <c r="C1977" s="550"/>
      <c r="D1977" s="550"/>
      <c r="E1977" s="550"/>
      <c r="F1977" s="550"/>
      <c r="G1977" s="550"/>
    </row>
    <row r="1978" spans="1:7" x14ac:dyDescent="0.25">
      <c r="A1978" s="550"/>
      <c r="B1978" s="550"/>
      <c r="C1978" s="550"/>
      <c r="D1978" s="550"/>
      <c r="E1978" s="550"/>
      <c r="F1978" s="550"/>
      <c r="G1978" s="550"/>
    </row>
    <row r="1979" spans="1:7" x14ac:dyDescent="0.25">
      <c r="A1979" s="550"/>
      <c r="B1979" s="550"/>
      <c r="C1979" s="550"/>
      <c r="D1979" s="550"/>
      <c r="E1979" s="550"/>
      <c r="F1979" s="550"/>
      <c r="G1979" s="550"/>
    </row>
    <row r="1980" spans="1:7" x14ac:dyDescent="0.25">
      <c r="A1980" s="550"/>
      <c r="B1980" s="550"/>
      <c r="C1980" s="550"/>
      <c r="D1980" s="550"/>
      <c r="E1980" s="550"/>
      <c r="F1980" s="550"/>
      <c r="G1980" s="550"/>
    </row>
    <row r="1981" spans="1:7" x14ac:dyDescent="0.25">
      <c r="A1981" s="550"/>
      <c r="B1981" s="550"/>
      <c r="C1981" s="550"/>
      <c r="D1981" s="550"/>
      <c r="E1981" s="550"/>
      <c r="F1981" s="550"/>
      <c r="G1981" s="550"/>
    </row>
    <row r="1982" spans="1:7" x14ac:dyDescent="0.25">
      <c r="A1982" s="550"/>
      <c r="B1982" s="550"/>
      <c r="C1982" s="550"/>
      <c r="D1982" s="550"/>
      <c r="E1982" s="550"/>
      <c r="F1982" s="550"/>
      <c r="G1982" s="550"/>
    </row>
    <row r="1983" spans="1:7" x14ac:dyDescent="0.25">
      <c r="A1983" s="550"/>
      <c r="B1983" s="550"/>
      <c r="C1983" s="550"/>
      <c r="D1983" s="550"/>
      <c r="E1983" s="550"/>
      <c r="F1983" s="550"/>
      <c r="G1983" s="550"/>
    </row>
    <row r="1984" spans="1:7" x14ac:dyDescent="0.25">
      <c r="A1984" s="550"/>
      <c r="B1984" s="550"/>
      <c r="C1984" s="550"/>
      <c r="D1984" s="550"/>
      <c r="E1984" s="550"/>
      <c r="F1984" s="550"/>
      <c r="G1984" s="550"/>
    </row>
    <row r="1985" spans="1:7" x14ac:dyDescent="0.25">
      <c r="A1985" s="550"/>
      <c r="B1985" s="550"/>
      <c r="C1985" s="550"/>
      <c r="D1985" s="550"/>
      <c r="E1985" s="550"/>
      <c r="F1985" s="550"/>
      <c r="G1985" s="550"/>
    </row>
    <row r="1986" spans="1:7" x14ac:dyDescent="0.25">
      <c r="A1986" s="550"/>
      <c r="B1986" s="550"/>
      <c r="C1986" s="550"/>
      <c r="D1986" s="550"/>
      <c r="E1986" s="550"/>
      <c r="F1986" s="550"/>
      <c r="G1986" s="550"/>
    </row>
    <row r="1987" spans="1:7" x14ac:dyDescent="0.25">
      <c r="A1987" s="550"/>
      <c r="B1987" s="550"/>
      <c r="C1987" s="550"/>
      <c r="D1987" s="550"/>
      <c r="E1987" s="550"/>
      <c r="F1987" s="550"/>
      <c r="G1987" s="550"/>
    </row>
    <row r="1988" spans="1:7" x14ac:dyDescent="0.25">
      <c r="A1988" s="550"/>
      <c r="B1988" s="550"/>
      <c r="C1988" s="550"/>
      <c r="D1988" s="550"/>
      <c r="E1988" s="550"/>
      <c r="F1988" s="550"/>
      <c r="G1988" s="550"/>
    </row>
    <row r="1989" spans="1:7" x14ac:dyDescent="0.25">
      <c r="A1989" s="550"/>
      <c r="B1989" s="550"/>
      <c r="C1989" s="550"/>
      <c r="D1989" s="550"/>
      <c r="E1989" s="550"/>
      <c r="F1989" s="550"/>
      <c r="G1989" s="550"/>
    </row>
    <row r="1990" spans="1:7" x14ac:dyDescent="0.25">
      <c r="A1990" s="550"/>
      <c r="B1990" s="550"/>
      <c r="C1990" s="550"/>
      <c r="D1990" s="550"/>
      <c r="E1990" s="550"/>
      <c r="F1990" s="550"/>
      <c r="G1990" s="550"/>
    </row>
    <row r="1991" spans="1:7" x14ac:dyDescent="0.25">
      <c r="A1991" s="550"/>
      <c r="B1991" s="550"/>
      <c r="C1991" s="550"/>
      <c r="D1991" s="550"/>
      <c r="E1991" s="550"/>
      <c r="F1991" s="550"/>
      <c r="G1991" s="550"/>
    </row>
    <row r="1992" spans="1:7" x14ac:dyDescent="0.25">
      <c r="A1992" s="550"/>
      <c r="B1992" s="550"/>
      <c r="C1992" s="550"/>
      <c r="D1992" s="550"/>
      <c r="E1992" s="550"/>
      <c r="F1992" s="550"/>
      <c r="G1992" s="550"/>
    </row>
    <row r="1993" spans="1:7" x14ac:dyDescent="0.25">
      <c r="A1993" s="550"/>
      <c r="B1993" s="550"/>
      <c r="C1993" s="550"/>
      <c r="D1993" s="550"/>
      <c r="E1993" s="550"/>
      <c r="F1993" s="550"/>
      <c r="G1993" s="550"/>
    </row>
    <row r="1994" spans="1:7" x14ac:dyDescent="0.25">
      <c r="A1994" s="550"/>
      <c r="B1994" s="550"/>
      <c r="C1994" s="550"/>
      <c r="D1994" s="550"/>
      <c r="E1994" s="550"/>
      <c r="F1994" s="550"/>
      <c r="G1994" s="550"/>
    </row>
    <row r="1995" spans="1:7" x14ac:dyDescent="0.25">
      <c r="A1995" s="550"/>
      <c r="B1995" s="550"/>
      <c r="C1995" s="550"/>
      <c r="D1995" s="550"/>
      <c r="E1995" s="550"/>
      <c r="F1995" s="550"/>
      <c r="G1995" s="550"/>
    </row>
    <row r="1996" spans="1:7" x14ac:dyDescent="0.25">
      <c r="A1996" s="550"/>
      <c r="B1996" s="550"/>
      <c r="C1996" s="550"/>
      <c r="D1996" s="550"/>
      <c r="E1996" s="550"/>
      <c r="F1996" s="550"/>
      <c r="G1996" s="550"/>
    </row>
    <row r="1997" spans="1:7" x14ac:dyDescent="0.25">
      <c r="A1997" s="550"/>
      <c r="B1997" s="550"/>
      <c r="C1997" s="550"/>
      <c r="D1997" s="550"/>
      <c r="E1997" s="550"/>
      <c r="F1997" s="550"/>
      <c r="G1997" s="550"/>
    </row>
    <row r="1998" spans="1:7" x14ac:dyDescent="0.25">
      <c r="A1998" s="550"/>
      <c r="B1998" s="550"/>
      <c r="C1998" s="550"/>
      <c r="D1998" s="550"/>
      <c r="E1998" s="550"/>
      <c r="F1998" s="550"/>
      <c r="G1998" s="550"/>
    </row>
    <row r="1999" spans="1:7" x14ac:dyDescent="0.25">
      <c r="A1999" s="550"/>
      <c r="B1999" s="550"/>
      <c r="C1999" s="550"/>
      <c r="D1999" s="550"/>
      <c r="E1999" s="550"/>
      <c r="F1999" s="550"/>
      <c r="G1999" s="550"/>
    </row>
    <row r="2000" spans="1:7" x14ac:dyDescent="0.25">
      <c r="A2000" s="550"/>
      <c r="B2000" s="550"/>
      <c r="C2000" s="550"/>
      <c r="D2000" s="550"/>
      <c r="E2000" s="550"/>
      <c r="F2000" s="550"/>
      <c r="G2000" s="550"/>
    </row>
    <row r="2001" spans="1:7" x14ac:dyDescent="0.25">
      <c r="A2001" s="550"/>
      <c r="B2001" s="550"/>
      <c r="C2001" s="550"/>
      <c r="D2001" s="550"/>
      <c r="E2001" s="550"/>
      <c r="F2001" s="550"/>
      <c r="G2001" s="550"/>
    </row>
    <row r="2002" spans="1:7" x14ac:dyDescent="0.25">
      <c r="A2002" s="550"/>
      <c r="B2002" s="550"/>
      <c r="C2002" s="550"/>
      <c r="D2002" s="550"/>
      <c r="E2002" s="550"/>
      <c r="F2002" s="550"/>
      <c r="G2002" s="550"/>
    </row>
    <row r="2003" spans="1:7" x14ac:dyDescent="0.25">
      <c r="A2003" s="550"/>
      <c r="B2003" s="550"/>
      <c r="C2003" s="550"/>
      <c r="D2003" s="550"/>
      <c r="E2003" s="550"/>
      <c r="F2003" s="550"/>
      <c r="G2003" s="550"/>
    </row>
    <row r="2004" spans="1:7" x14ac:dyDescent="0.25">
      <c r="A2004" s="550"/>
      <c r="B2004" s="550"/>
      <c r="C2004" s="550"/>
      <c r="D2004" s="550"/>
      <c r="E2004" s="550"/>
      <c r="F2004" s="550"/>
      <c r="G2004" s="550"/>
    </row>
    <row r="2005" spans="1:7" x14ac:dyDescent="0.25">
      <c r="A2005" s="550"/>
      <c r="B2005" s="550"/>
      <c r="C2005" s="550"/>
      <c r="D2005" s="550"/>
      <c r="E2005" s="550"/>
      <c r="F2005" s="550"/>
      <c r="G2005" s="550"/>
    </row>
    <row r="2006" spans="1:7" x14ac:dyDescent="0.25">
      <c r="A2006" s="550"/>
      <c r="B2006" s="550"/>
      <c r="C2006" s="550"/>
      <c r="D2006" s="550"/>
      <c r="E2006" s="550"/>
      <c r="F2006" s="550"/>
      <c r="G2006" s="550"/>
    </row>
    <row r="2007" spans="1:7" x14ac:dyDescent="0.25">
      <c r="A2007" s="550"/>
      <c r="B2007" s="550"/>
      <c r="C2007" s="550"/>
      <c r="D2007" s="550"/>
      <c r="E2007" s="550"/>
      <c r="F2007" s="550"/>
      <c r="G2007" s="550"/>
    </row>
    <row r="2008" spans="1:7" x14ac:dyDescent="0.25">
      <c r="A2008" s="550"/>
      <c r="B2008" s="550"/>
      <c r="C2008" s="550"/>
      <c r="D2008" s="550"/>
      <c r="E2008" s="550"/>
      <c r="F2008" s="550"/>
      <c r="G2008" s="550"/>
    </row>
    <row r="2009" spans="1:7" x14ac:dyDescent="0.25">
      <c r="A2009" s="550"/>
      <c r="B2009" s="550"/>
      <c r="C2009" s="550"/>
      <c r="D2009" s="550"/>
      <c r="E2009" s="550"/>
      <c r="F2009" s="550"/>
      <c r="G2009" s="550"/>
    </row>
    <row r="2010" spans="1:7" x14ac:dyDescent="0.25">
      <c r="A2010" s="550"/>
      <c r="B2010" s="550"/>
      <c r="C2010" s="550"/>
      <c r="D2010" s="550"/>
      <c r="E2010" s="550"/>
      <c r="F2010" s="550"/>
      <c r="G2010" s="550"/>
    </row>
    <row r="2011" spans="1:7" x14ac:dyDescent="0.25">
      <c r="A2011" s="550"/>
      <c r="B2011" s="550"/>
      <c r="C2011" s="550"/>
      <c r="D2011" s="550"/>
      <c r="E2011" s="550"/>
      <c r="F2011" s="550"/>
      <c r="G2011" s="550"/>
    </row>
    <row r="2012" spans="1:7" x14ac:dyDescent="0.25">
      <c r="A2012" s="550"/>
      <c r="B2012" s="550"/>
      <c r="C2012" s="550"/>
      <c r="D2012" s="550"/>
      <c r="E2012" s="550"/>
      <c r="F2012" s="550"/>
      <c r="G2012" s="550"/>
    </row>
    <row r="2013" spans="1:7" x14ac:dyDescent="0.25">
      <c r="A2013" s="550"/>
      <c r="B2013" s="550"/>
      <c r="C2013" s="550"/>
      <c r="D2013" s="550"/>
      <c r="E2013" s="550"/>
      <c r="F2013" s="550"/>
      <c r="G2013" s="550"/>
    </row>
    <row r="2014" spans="1:7" x14ac:dyDescent="0.25">
      <c r="A2014" s="550"/>
      <c r="B2014" s="550"/>
      <c r="C2014" s="550"/>
      <c r="D2014" s="550"/>
      <c r="E2014" s="550"/>
      <c r="F2014" s="550"/>
      <c r="G2014" s="550"/>
    </row>
    <row r="2015" spans="1:7" x14ac:dyDescent="0.25">
      <c r="A2015" s="550"/>
      <c r="B2015" s="550"/>
      <c r="C2015" s="550"/>
      <c r="D2015" s="550"/>
      <c r="E2015" s="550"/>
      <c r="F2015" s="550"/>
      <c r="G2015" s="550"/>
    </row>
    <row r="2016" spans="1:7" x14ac:dyDescent="0.25">
      <c r="A2016" s="550"/>
      <c r="B2016" s="550"/>
      <c r="C2016" s="550"/>
      <c r="D2016" s="550"/>
      <c r="E2016" s="550"/>
      <c r="F2016" s="550"/>
      <c r="G2016" s="550"/>
    </row>
    <row r="2017" spans="1:7" x14ac:dyDescent="0.25">
      <c r="A2017" s="550"/>
      <c r="B2017" s="550"/>
      <c r="C2017" s="550"/>
      <c r="D2017" s="550"/>
      <c r="E2017" s="550"/>
      <c r="F2017" s="550"/>
      <c r="G2017" s="550"/>
    </row>
    <row r="2018" spans="1:7" x14ac:dyDescent="0.25">
      <c r="A2018" s="550"/>
      <c r="B2018" s="550"/>
      <c r="C2018" s="550"/>
      <c r="D2018" s="550"/>
      <c r="E2018" s="550"/>
      <c r="F2018" s="550"/>
      <c r="G2018" s="550"/>
    </row>
    <row r="2019" spans="1:7" x14ac:dyDescent="0.25">
      <c r="A2019" s="550"/>
      <c r="B2019" s="550"/>
      <c r="C2019" s="550"/>
      <c r="D2019" s="550"/>
      <c r="E2019" s="550"/>
      <c r="F2019" s="550"/>
      <c r="G2019" s="550"/>
    </row>
    <row r="2020" spans="1:7" x14ac:dyDescent="0.25">
      <c r="A2020" s="550"/>
      <c r="B2020" s="550"/>
      <c r="C2020" s="550"/>
      <c r="D2020" s="550"/>
      <c r="E2020" s="550"/>
      <c r="F2020" s="550"/>
      <c r="G2020" s="550"/>
    </row>
    <row r="2021" spans="1:7" x14ac:dyDescent="0.25">
      <c r="A2021" s="550"/>
      <c r="B2021" s="550"/>
      <c r="C2021" s="550"/>
      <c r="D2021" s="550"/>
      <c r="E2021" s="550"/>
      <c r="F2021" s="550"/>
      <c r="G2021" s="550"/>
    </row>
    <row r="2022" spans="1:7" x14ac:dyDescent="0.25">
      <c r="A2022" s="550"/>
      <c r="B2022" s="550"/>
      <c r="C2022" s="550"/>
      <c r="D2022" s="550"/>
      <c r="E2022" s="550"/>
      <c r="F2022" s="550"/>
      <c r="G2022" s="550"/>
    </row>
    <row r="2023" spans="1:7" x14ac:dyDescent="0.25">
      <c r="A2023" s="550"/>
      <c r="B2023" s="550"/>
      <c r="C2023" s="550"/>
      <c r="D2023" s="550"/>
      <c r="E2023" s="550"/>
      <c r="F2023" s="550"/>
      <c r="G2023" s="550"/>
    </row>
    <row r="2024" spans="1:7" x14ac:dyDescent="0.25">
      <c r="A2024" s="550"/>
      <c r="B2024" s="550"/>
      <c r="C2024" s="550"/>
      <c r="D2024" s="550"/>
      <c r="E2024" s="550"/>
      <c r="F2024" s="550"/>
      <c r="G2024" s="550"/>
    </row>
    <row r="2025" spans="1:7" x14ac:dyDescent="0.25">
      <c r="A2025" s="550"/>
      <c r="B2025" s="550"/>
      <c r="C2025" s="550"/>
      <c r="D2025" s="550"/>
      <c r="E2025" s="550"/>
      <c r="F2025" s="550"/>
      <c r="G2025" s="550"/>
    </row>
    <row r="2026" spans="1:7" x14ac:dyDescent="0.25">
      <c r="A2026" s="550"/>
      <c r="B2026" s="550"/>
      <c r="C2026" s="550"/>
      <c r="D2026" s="550"/>
      <c r="E2026" s="550"/>
      <c r="F2026" s="550"/>
      <c r="G2026" s="550"/>
    </row>
    <row r="2027" spans="1:7" x14ac:dyDescent="0.25">
      <c r="A2027" s="550"/>
      <c r="B2027" s="550"/>
      <c r="C2027" s="550"/>
      <c r="D2027" s="550"/>
      <c r="E2027" s="550"/>
      <c r="F2027" s="550"/>
      <c r="G2027" s="550"/>
    </row>
    <row r="2028" spans="1:7" x14ac:dyDescent="0.25">
      <c r="A2028" s="550"/>
      <c r="B2028" s="550"/>
      <c r="C2028" s="550"/>
      <c r="D2028" s="550"/>
      <c r="E2028" s="550"/>
      <c r="F2028" s="550"/>
      <c r="G2028" s="550"/>
    </row>
    <row r="2029" spans="1:7" x14ac:dyDescent="0.25">
      <c r="A2029" s="550"/>
      <c r="B2029" s="550"/>
      <c r="C2029" s="550"/>
      <c r="D2029" s="550"/>
      <c r="E2029" s="550"/>
      <c r="F2029" s="550"/>
      <c r="G2029" s="550"/>
    </row>
    <row r="2030" spans="1:7" x14ac:dyDescent="0.25">
      <c r="A2030" s="550"/>
      <c r="B2030" s="550"/>
      <c r="C2030" s="550"/>
      <c r="D2030" s="550"/>
      <c r="E2030" s="550"/>
      <c r="F2030" s="550"/>
      <c r="G2030" s="550"/>
    </row>
    <row r="2031" spans="1:7" x14ac:dyDescent="0.25">
      <c r="A2031" s="550"/>
      <c r="B2031" s="550"/>
      <c r="C2031" s="550"/>
      <c r="D2031" s="550"/>
      <c r="E2031" s="550"/>
      <c r="F2031" s="550"/>
      <c r="G2031" s="550"/>
    </row>
    <row r="2032" spans="1:7" x14ac:dyDescent="0.25">
      <c r="A2032" s="550"/>
      <c r="B2032" s="550"/>
      <c r="C2032" s="550"/>
      <c r="D2032" s="550"/>
      <c r="E2032" s="550"/>
      <c r="F2032" s="550"/>
      <c r="G2032" s="550"/>
    </row>
    <row r="2033" spans="1:7" x14ac:dyDescent="0.25">
      <c r="A2033" s="550"/>
      <c r="B2033" s="550"/>
      <c r="C2033" s="550"/>
      <c r="D2033" s="550"/>
      <c r="E2033" s="550"/>
      <c r="F2033" s="550"/>
      <c r="G2033" s="550"/>
    </row>
    <row r="2034" spans="1:7" x14ac:dyDescent="0.25">
      <c r="A2034" s="550"/>
      <c r="B2034" s="550"/>
      <c r="C2034" s="550"/>
      <c r="D2034" s="550"/>
      <c r="E2034" s="550"/>
      <c r="F2034" s="550"/>
      <c r="G2034" s="550"/>
    </row>
    <row r="2035" spans="1:7" x14ac:dyDescent="0.25">
      <c r="A2035" s="550"/>
      <c r="B2035" s="550"/>
      <c r="C2035" s="550"/>
      <c r="D2035" s="550"/>
      <c r="E2035" s="550"/>
      <c r="F2035" s="550"/>
      <c r="G2035" s="550"/>
    </row>
    <row r="2036" spans="1:7" x14ac:dyDescent="0.25">
      <c r="A2036" s="550"/>
      <c r="B2036" s="550"/>
      <c r="C2036" s="550"/>
      <c r="D2036" s="550"/>
      <c r="E2036" s="550"/>
      <c r="F2036" s="550"/>
      <c r="G2036" s="550"/>
    </row>
    <row r="2037" spans="1:7" x14ac:dyDescent="0.25">
      <c r="A2037" s="550"/>
      <c r="B2037" s="550"/>
      <c r="C2037" s="550"/>
      <c r="D2037" s="550"/>
      <c r="E2037" s="550"/>
      <c r="F2037" s="550"/>
      <c r="G2037" s="550"/>
    </row>
    <row r="2038" spans="1:7" x14ac:dyDescent="0.25">
      <c r="A2038" s="550"/>
      <c r="B2038" s="550"/>
      <c r="C2038" s="550"/>
      <c r="D2038" s="550"/>
      <c r="E2038" s="550"/>
      <c r="F2038" s="550"/>
      <c r="G2038" s="550"/>
    </row>
    <row r="2039" spans="1:7" x14ac:dyDescent="0.25">
      <c r="A2039" s="550"/>
      <c r="B2039" s="550"/>
      <c r="C2039" s="550"/>
      <c r="D2039" s="550"/>
      <c r="E2039" s="550"/>
      <c r="F2039" s="550"/>
      <c r="G2039" s="550"/>
    </row>
    <row r="2040" spans="1:7" x14ac:dyDescent="0.25">
      <c r="A2040" s="550"/>
      <c r="B2040" s="550"/>
      <c r="C2040" s="550"/>
      <c r="D2040" s="550"/>
      <c r="E2040" s="550"/>
      <c r="F2040" s="550"/>
      <c r="G2040" s="550"/>
    </row>
    <row r="2041" spans="1:7" x14ac:dyDescent="0.25">
      <c r="A2041" s="550"/>
      <c r="B2041" s="550"/>
      <c r="C2041" s="550"/>
      <c r="D2041" s="550"/>
      <c r="E2041" s="550"/>
      <c r="F2041" s="550"/>
      <c r="G2041" s="550"/>
    </row>
    <row r="2042" spans="1:7" x14ac:dyDescent="0.25">
      <c r="A2042" s="550"/>
      <c r="B2042" s="550"/>
      <c r="C2042" s="550"/>
      <c r="D2042" s="550"/>
      <c r="E2042" s="550"/>
      <c r="F2042" s="550"/>
      <c r="G2042" s="550"/>
    </row>
    <row r="2043" spans="1:7" x14ac:dyDescent="0.25">
      <c r="A2043" s="550"/>
      <c r="B2043" s="550"/>
      <c r="C2043" s="550"/>
      <c r="D2043" s="550"/>
      <c r="E2043" s="550"/>
      <c r="F2043" s="550"/>
      <c r="G2043" s="550"/>
    </row>
    <row r="2044" spans="1:7" x14ac:dyDescent="0.25">
      <c r="A2044" s="550"/>
      <c r="B2044" s="550"/>
      <c r="C2044" s="550"/>
      <c r="D2044" s="550"/>
      <c r="E2044" s="550"/>
      <c r="F2044" s="550"/>
      <c r="G2044" s="550"/>
    </row>
    <row r="2045" spans="1:7" x14ac:dyDescent="0.25">
      <c r="A2045" s="550"/>
      <c r="B2045" s="550"/>
      <c r="C2045" s="550"/>
      <c r="D2045" s="550"/>
      <c r="E2045" s="550"/>
      <c r="F2045" s="550"/>
      <c r="G2045" s="550"/>
    </row>
    <row r="2046" spans="1:7" x14ac:dyDescent="0.25">
      <c r="A2046" s="550"/>
      <c r="B2046" s="550"/>
      <c r="C2046" s="550"/>
      <c r="D2046" s="550"/>
      <c r="E2046" s="550"/>
      <c r="F2046" s="550"/>
      <c r="G2046" s="550"/>
    </row>
    <row r="2047" spans="1:7" x14ac:dyDescent="0.25">
      <c r="A2047" s="550"/>
      <c r="B2047" s="550"/>
      <c r="C2047" s="550"/>
      <c r="D2047" s="550"/>
      <c r="E2047" s="550"/>
      <c r="F2047" s="550"/>
      <c r="G2047" s="550"/>
    </row>
    <row r="2048" spans="1:7" x14ac:dyDescent="0.25">
      <c r="A2048" s="550"/>
      <c r="B2048" s="550"/>
      <c r="C2048" s="550"/>
      <c r="D2048" s="550"/>
      <c r="E2048" s="550"/>
      <c r="F2048" s="550"/>
      <c r="G2048" s="550"/>
    </row>
    <row r="2049" spans="1:7" x14ac:dyDescent="0.25">
      <c r="A2049" s="550"/>
      <c r="B2049" s="550"/>
      <c r="C2049" s="550"/>
      <c r="D2049" s="550"/>
      <c r="E2049" s="550"/>
      <c r="F2049" s="550"/>
      <c r="G2049" s="550"/>
    </row>
  </sheetData>
  <mergeCells count="40">
    <mergeCell ref="A125:B125"/>
    <mergeCell ref="A127:B127"/>
    <mergeCell ref="A128:B128"/>
    <mergeCell ref="A130:B130"/>
    <mergeCell ref="A116:B116"/>
    <mergeCell ref="A118:B118"/>
    <mergeCell ref="A119:B119"/>
    <mergeCell ref="A121:B121"/>
    <mergeCell ref="A122:B122"/>
    <mergeCell ref="A124:B124"/>
    <mergeCell ref="A109:B109"/>
    <mergeCell ref="A110:B110"/>
    <mergeCell ref="A112:B112"/>
    <mergeCell ref="A113:B113"/>
    <mergeCell ref="A115:B115"/>
    <mergeCell ref="A68:C68"/>
    <mergeCell ref="A93:B93"/>
    <mergeCell ref="A96:C96"/>
    <mergeCell ref="A97:C97"/>
    <mergeCell ref="A105:B105"/>
    <mergeCell ref="A56:B56"/>
    <mergeCell ref="A58:C58"/>
    <mergeCell ref="A59:C59"/>
    <mergeCell ref="A65:B65"/>
    <mergeCell ref="A67:C67"/>
    <mergeCell ref="A23:C23"/>
    <mergeCell ref="A24:C24"/>
    <mergeCell ref="A30:B30"/>
    <mergeCell ref="A32:C32"/>
    <mergeCell ref="A33:C33"/>
    <mergeCell ref="A7:C7"/>
    <mergeCell ref="B8:C8"/>
    <mergeCell ref="A9:C9"/>
    <mergeCell ref="A10:C10"/>
    <mergeCell ref="A21:B21"/>
    <mergeCell ref="A1:C1"/>
    <mergeCell ref="A2:C2"/>
    <mergeCell ref="A3:C3"/>
    <mergeCell ref="A5:C5"/>
    <mergeCell ref="A6:C6"/>
  </mergeCells>
  <pageMargins left="0.70866141732283472" right="0.70866141732283472" top="0.74803149606299213" bottom="0.74803149606299213" header="0.31496062992125984" footer="0.31496062992125984"/>
  <pageSetup orientation="portrait" r:id="rId1"/>
  <headerFooter>
    <oddFooter>&amp;LAlbergue Temporal - 123 Social&amp;RLuis Fernando Montes Hincapie</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48"/>
  <sheetViews>
    <sheetView showGridLines="0" topLeftCell="A4" workbookViewId="0">
      <selection activeCell="I20" sqref="A20:I20"/>
    </sheetView>
  </sheetViews>
  <sheetFormatPr baseColWidth="10" defaultColWidth="11.375" defaultRowHeight="12.75" x14ac:dyDescent="0.2"/>
  <cols>
    <col min="1" max="1" width="35.625" style="326" customWidth="1"/>
    <col min="2" max="2" width="26" style="326" customWidth="1"/>
    <col min="3" max="3" width="12.25" style="327" customWidth="1"/>
    <col min="4" max="4" width="13.625" style="327" customWidth="1"/>
    <col min="5" max="6" width="14.125" style="326" customWidth="1"/>
    <col min="7" max="12" width="15.125" style="326" customWidth="1"/>
    <col min="13" max="13" width="13.375" style="326" customWidth="1"/>
    <col min="14" max="14" width="14.125" style="326" customWidth="1"/>
    <col min="15" max="16" width="15.625" style="326" customWidth="1"/>
    <col min="17" max="17" width="16.875" style="326" customWidth="1"/>
    <col min="18" max="18" width="15.125" style="326" customWidth="1"/>
    <col min="19" max="19" width="15.125" style="326" bestFit="1" customWidth="1"/>
    <col min="20" max="16384" width="11.375" style="326"/>
  </cols>
  <sheetData>
    <row r="2" spans="1:16" ht="14.25" x14ac:dyDescent="0.2">
      <c r="A2" s="1633" t="s">
        <v>298</v>
      </c>
      <c r="B2" s="1633"/>
      <c r="C2" s="1633"/>
      <c r="D2" s="1633"/>
      <c r="E2" s="1633"/>
      <c r="F2" s="1633"/>
      <c r="G2" s="1633"/>
      <c r="H2" s="1633"/>
      <c r="I2" s="1633"/>
      <c r="J2" s="1633"/>
      <c r="K2" s="1633"/>
      <c r="L2" s="1633"/>
      <c r="M2" s="1633"/>
      <c r="N2" s="1633"/>
      <c r="O2" s="1633"/>
    </row>
    <row r="3" spans="1:16" ht="14.25" x14ac:dyDescent="0.2">
      <c r="A3" s="1633" t="s">
        <v>290</v>
      </c>
      <c r="B3" s="1633"/>
      <c r="C3" s="1633"/>
      <c r="D3" s="1633"/>
      <c r="E3" s="1633"/>
      <c r="F3" s="1633"/>
      <c r="G3" s="1633"/>
      <c r="H3" s="1633"/>
      <c r="I3" s="1633"/>
      <c r="J3" s="1633"/>
      <c r="K3" s="1633"/>
      <c r="L3" s="1633"/>
      <c r="M3" s="1633"/>
      <c r="N3" s="1633"/>
      <c r="O3" s="1633"/>
    </row>
    <row r="4" spans="1:16" ht="14.25" x14ac:dyDescent="0.2">
      <c r="A4" s="1632" t="e">
        <f>+#REF!</f>
        <v>#REF!</v>
      </c>
      <c r="B4" s="1632"/>
      <c r="C4" s="1632"/>
      <c r="D4" s="1632"/>
      <c r="E4" s="1632"/>
      <c r="F4" s="1632"/>
      <c r="G4" s="1632"/>
      <c r="H4" s="1632"/>
      <c r="I4" s="1632"/>
      <c r="J4" s="1632"/>
      <c r="K4" s="1632"/>
      <c r="L4" s="1632"/>
      <c r="M4" s="1632"/>
      <c r="N4" s="1632"/>
      <c r="O4" s="1632"/>
    </row>
    <row r="5" spans="1:16" ht="14.25" x14ac:dyDescent="0.2">
      <c r="A5" s="1632" t="s">
        <v>291</v>
      </c>
      <c r="B5" s="1632"/>
      <c r="C5" s="1632"/>
      <c r="D5" s="1632"/>
      <c r="E5" s="1632"/>
      <c r="F5" s="1632"/>
      <c r="G5" s="1632"/>
      <c r="H5" s="1632"/>
      <c r="I5" s="1632"/>
      <c r="J5" s="1632"/>
      <c r="K5" s="1632"/>
      <c r="L5" s="1632"/>
      <c r="M5" s="1632"/>
      <c r="N5" s="1632"/>
      <c r="O5" s="1632"/>
    </row>
    <row r="6" spans="1:16" ht="15" x14ac:dyDescent="0.2">
      <c r="A6" s="325"/>
      <c r="B6" s="325"/>
      <c r="C6" s="325"/>
      <c r="D6" s="324"/>
      <c r="E6" s="324"/>
      <c r="F6" s="324"/>
      <c r="G6" s="324"/>
      <c r="H6" s="324"/>
      <c r="I6" s="324"/>
      <c r="J6" s="324"/>
      <c r="K6" s="324"/>
      <c r="L6" s="324"/>
    </row>
    <row r="7" spans="1:16" ht="24.75" customHeight="1" x14ac:dyDescent="0.2">
      <c r="A7" s="1636" t="s">
        <v>338</v>
      </c>
      <c r="B7" s="1637"/>
      <c r="C7" s="1637"/>
      <c r="D7" s="1637"/>
      <c r="E7" s="1637"/>
      <c r="F7" s="1637"/>
      <c r="G7" s="1637"/>
      <c r="H7" s="1637"/>
      <c r="I7" s="1637"/>
      <c r="J7" s="1637"/>
      <c r="K7" s="1637"/>
      <c r="L7" s="1637"/>
      <c r="M7" s="1637"/>
      <c r="N7" s="1637"/>
      <c r="O7" s="1638"/>
    </row>
    <row r="8" spans="1:16" x14ac:dyDescent="0.2">
      <c r="P8" s="326">
        <v>8</v>
      </c>
    </row>
    <row r="9" spans="1:16" x14ac:dyDescent="0.2">
      <c r="A9" s="328"/>
      <c r="B9" s="329"/>
      <c r="C9" s="330"/>
      <c r="D9" s="330"/>
    </row>
    <row r="10" spans="1:16" ht="17.25" customHeight="1" x14ac:dyDescent="0.2">
      <c r="A10" s="1631" t="s">
        <v>71</v>
      </c>
      <c r="B10" s="1631" t="s">
        <v>302</v>
      </c>
      <c r="C10" s="1631" t="s">
        <v>303</v>
      </c>
      <c r="D10" s="1631" t="s">
        <v>301</v>
      </c>
      <c r="E10" s="1631" t="s">
        <v>263</v>
      </c>
      <c r="F10" s="1631" t="s">
        <v>264</v>
      </c>
      <c r="G10" s="1631" t="s">
        <v>265</v>
      </c>
      <c r="H10" s="1634" t="s">
        <v>339</v>
      </c>
      <c r="I10" s="1634" t="s">
        <v>334</v>
      </c>
      <c r="J10" s="1634" t="s">
        <v>340</v>
      </c>
      <c r="K10" s="1634" t="s">
        <v>346</v>
      </c>
      <c r="L10" s="339"/>
      <c r="M10" s="1631" t="s">
        <v>209</v>
      </c>
      <c r="N10" s="1631" t="s">
        <v>294</v>
      </c>
      <c r="O10" s="1631" t="s">
        <v>102</v>
      </c>
    </row>
    <row r="11" spans="1:16" ht="18.75" customHeight="1" x14ac:dyDescent="0.2">
      <c r="A11" s="1631"/>
      <c r="B11" s="1631"/>
      <c r="C11" s="1631"/>
      <c r="D11" s="1631"/>
      <c r="E11" s="1631"/>
      <c r="F11" s="1631"/>
      <c r="G11" s="1631"/>
      <c r="H11" s="1635"/>
      <c r="I11" s="1635"/>
      <c r="J11" s="1635"/>
      <c r="K11" s="1635"/>
      <c r="L11" s="340"/>
      <c r="M11" s="1631"/>
      <c r="N11" s="1631"/>
      <c r="O11" s="1631"/>
    </row>
    <row r="12" spans="1:16" ht="21.95" customHeight="1" x14ac:dyDescent="0.2">
      <c r="A12" s="341" t="s">
        <v>330</v>
      </c>
      <c r="B12" s="341" t="s">
        <v>4</v>
      </c>
      <c r="C12" s="334">
        <v>1</v>
      </c>
      <c r="D12" s="331" t="s">
        <v>300</v>
      </c>
      <c r="E12" s="335"/>
      <c r="F12" s="335"/>
      <c r="G12" s="335"/>
      <c r="H12" s="335">
        <v>3500</v>
      </c>
      <c r="I12" s="335">
        <v>4000</v>
      </c>
      <c r="J12" s="335"/>
      <c r="K12" s="335"/>
      <c r="L12" s="335"/>
      <c r="M12" s="337">
        <f>+IF(AND(E12=0,F12=0,G12=0,H12=0,I12=0),O,AVERAGEIF(E12:I12,"&lt;&gt;"))</f>
        <v>3750</v>
      </c>
      <c r="N12" s="335">
        <f t="shared" ref="N12:N32" si="0">+M12*C12</f>
        <v>3750</v>
      </c>
      <c r="O12" s="335">
        <f t="shared" ref="O12:O34" si="1">+N12*$P$8</f>
        <v>30000</v>
      </c>
    </row>
    <row r="13" spans="1:16" ht="29.25" customHeight="1" x14ac:dyDescent="0.2">
      <c r="A13" s="341" t="s">
        <v>304</v>
      </c>
      <c r="B13" s="341" t="s">
        <v>305</v>
      </c>
      <c r="C13" s="334">
        <v>1</v>
      </c>
      <c r="D13" s="331" t="s">
        <v>300</v>
      </c>
      <c r="E13" s="335">
        <v>3000</v>
      </c>
      <c r="F13" s="335">
        <f>275*12</f>
        <v>3300</v>
      </c>
      <c r="G13" s="335">
        <v>4000</v>
      </c>
      <c r="H13" s="335"/>
      <c r="I13" s="335"/>
      <c r="J13" s="335"/>
      <c r="K13" s="335"/>
      <c r="L13" s="335"/>
      <c r="M13" s="337">
        <f>+IF(AND(E13=0,F13=0,G13=0,H13=0,I13=0),O,AVERAGEIF(E13:I13,"&lt;&gt;"))</f>
        <v>3433.3333333333335</v>
      </c>
      <c r="N13" s="335">
        <f t="shared" si="0"/>
        <v>3433.3333333333335</v>
      </c>
      <c r="O13" s="335">
        <f t="shared" si="1"/>
        <v>27466.666666666668</v>
      </c>
      <c r="P13" s="332"/>
    </row>
    <row r="14" spans="1:16" ht="21.95" customHeight="1" x14ac:dyDescent="0.2">
      <c r="A14" s="341" t="s">
        <v>331</v>
      </c>
      <c r="B14" s="341" t="s">
        <v>4</v>
      </c>
      <c r="C14" s="334">
        <v>20</v>
      </c>
      <c r="D14" s="331" t="s">
        <v>300</v>
      </c>
      <c r="E14" s="335"/>
      <c r="F14" s="335"/>
      <c r="G14" s="335"/>
      <c r="H14" s="335">
        <v>200</v>
      </c>
      <c r="I14" s="335">
        <v>190</v>
      </c>
      <c r="J14" s="335"/>
      <c r="K14" s="335"/>
      <c r="L14" s="335"/>
      <c r="M14" s="337">
        <f>+IF(AND(E14=0,F14=0,G14=0,H14=0,I14=0),O,AVERAGEIF(E14:I14,"&lt;&gt;"))</f>
        <v>195</v>
      </c>
      <c r="N14" s="335">
        <f t="shared" si="0"/>
        <v>3900</v>
      </c>
      <c r="O14" s="335">
        <f t="shared" si="1"/>
        <v>31200</v>
      </c>
      <c r="P14" s="332"/>
    </row>
    <row r="15" spans="1:16" ht="21.95" customHeight="1" x14ac:dyDescent="0.2">
      <c r="A15" s="341" t="s">
        <v>332</v>
      </c>
      <c r="B15" s="341" t="s">
        <v>4</v>
      </c>
      <c r="C15" s="334">
        <v>20</v>
      </c>
      <c r="D15" s="331" t="s">
        <v>300</v>
      </c>
      <c r="E15" s="335">
        <f>2100/24</f>
        <v>87.5</v>
      </c>
      <c r="F15" s="335">
        <v>100</v>
      </c>
      <c r="G15" s="335">
        <v>125</v>
      </c>
      <c r="H15" s="335">
        <v>250</v>
      </c>
      <c r="I15" s="335">
        <v>200</v>
      </c>
      <c r="J15" s="335"/>
      <c r="K15" s="335"/>
      <c r="L15" s="335"/>
      <c r="M15" s="337">
        <f>+IF(AND(E15=0,F15=0,G15=0,H15=0,I15=0),O,AVERAGEIF(E15:I15,"&lt;&gt;"))</f>
        <v>152.5</v>
      </c>
      <c r="N15" s="335">
        <f t="shared" si="0"/>
        <v>3050</v>
      </c>
      <c r="O15" s="335">
        <f t="shared" si="1"/>
        <v>24400</v>
      </c>
      <c r="P15" s="332"/>
    </row>
    <row r="16" spans="1:16" ht="21.95" customHeight="1" x14ac:dyDescent="0.2">
      <c r="A16" s="341" t="s">
        <v>306</v>
      </c>
      <c r="B16" s="341" t="s">
        <v>4</v>
      </c>
      <c r="C16" s="334">
        <v>100</v>
      </c>
      <c r="D16" s="331" t="s">
        <v>300</v>
      </c>
      <c r="E16" s="335">
        <v>142</v>
      </c>
      <c r="F16" s="335">
        <v>150</v>
      </c>
      <c r="G16" s="335">
        <v>140</v>
      </c>
      <c r="H16" s="335"/>
      <c r="I16" s="335"/>
      <c r="J16" s="335"/>
      <c r="K16" s="335"/>
      <c r="L16" s="335"/>
      <c r="M16" s="337">
        <f>+IF(AND(E16=0,F16=0,G16=0,H16=0,I16=0),O,AVERAGEIF(E16:I16,"&lt;&gt;"))</f>
        <v>144</v>
      </c>
      <c r="N16" s="335">
        <f t="shared" si="0"/>
        <v>14400</v>
      </c>
      <c r="O16" s="335">
        <f t="shared" si="1"/>
        <v>115200</v>
      </c>
      <c r="P16" s="332"/>
    </row>
    <row r="17" spans="1:16" ht="21.95" customHeight="1" x14ac:dyDescent="0.2">
      <c r="A17" s="341" t="s">
        <v>307</v>
      </c>
      <c r="B17" s="341" t="s">
        <v>4</v>
      </c>
      <c r="C17" s="334">
        <v>100</v>
      </c>
      <c r="D17" s="331" t="s">
        <v>300</v>
      </c>
      <c r="E17" s="335">
        <v>450</v>
      </c>
      <c r="F17" s="335">
        <v>500</v>
      </c>
      <c r="G17" s="335">
        <v>490</v>
      </c>
      <c r="H17" s="335"/>
      <c r="I17" s="335"/>
      <c r="J17" s="335"/>
      <c r="K17" s="335"/>
      <c r="L17" s="335"/>
      <c r="M17" s="337">
        <f>+IF(AND(E17=0,F17=0,G17=0,H17=0,I17=0),O,AVERAGEIF(E17:I17,"&lt;&gt;"))</f>
        <v>480</v>
      </c>
      <c r="N17" s="335">
        <f t="shared" si="0"/>
        <v>48000</v>
      </c>
      <c r="O17" s="335">
        <f t="shared" si="1"/>
        <v>384000</v>
      </c>
      <c r="P17" s="332"/>
    </row>
    <row r="18" spans="1:16" ht="21.95" customHeight="1" x14ac:dyDescent="0.2">
      <c r="A18" s="341" t="s">
        <v>335</v>
      </c>
      <c r="B18" s="341" t="s">
        <v>4</v>
      </c>
      <c r="C18" s="334">
        <v>5</v>
      </c>
      <c r="D18" s="331" t="s">
        <v>300</v>
      </c>
      <c r="E18" s="335"/>
      <c r="F18" s="335"/>
      <c r="G18" s="335"/>
      <c r="H18" s="335">
        <f>50000/100</f>
        <v>500</v>
      </c>
      <c r="I18" s="335">
        <v>600</v>
      </c>
      <c r="J18" s="335"/>
      <c r="K18" s="335"/>
      <c r="L18" s="335"/>
      <c r="M18" s="337">
        <f>+IF(AND(E18=0,F18=0,G18=0,H18=0,I18=0),O,AVERAGEIF(E18:I18,"&lt;&gt;"))</f>
        <v>550</v>
      </c>
      <c r="N18" s="335">
        <f t="shared" si="0"/>
        <v>2750</v>
      </c>
      <c r="O18" s="335">
        <f t="shared" si="1"/>
        <v>22000</v>
      </c>
      <c r="P18" s="332"/>
    </row>
    <row r="19" spans="1:16" ht="21.95" customHeight="1" x14ac:dyDescent="0.2">
      <c r="A19" s="341" t="s">
        <v>308</v>
      </c>
      <c r="B19" s="341" t="s">
        <v>4</v>
      </c>
      <c r="C19" s="334">
        <v>2</v>
      </c>
      <c r="D19" s="331" t="s">
        <v>300</v>
      </c>
      <c r="E19" s="335">
        <v>450</v>
      </c>
      <c r="F19" s="335">
        <v>700</v>
      </c>
      <c r="G19" s="335">
        <v>500</v>
      </c>
      <c r="H19" s="335">
        <v>600</v>
      </c>
      <c r="I19" s="335"/>
      <c r="J19" s="335"/>
      <c r="K19" s="335"/>
      <c r="L19" s="335"/>
      <c r="M19" s="337">
        <f>+IF(AND(E19=0,F19=0,G19=0,H19=0,I19=0),O,AVERAGEIF(E19:I19,"&lt;&gt;"))</f>
        <v>562.5</v>
      </c>
      <c r="N19" s="335">
        <f t="shared" si="0"/>
        <v>1125</v>
      </c>
      <c r="O19" s="335">
        <f t="shared" si="1"/>
        <v>9000</v>
      </c>
      <c r="P19" s="332"/>
    </row>
    <row r="20" spans="1:16" ht="21.95" customHeight="1" x14ac:dyDescent="0.2">
      <c r="A20" s="341" t="s">
        <v>309</v>
      </c>
      <c r="B20" s="341" t="s">
        <v>310</v>
      </c>
      <c r="C20" s="334">
        <v>1</v>
      </c>
      <c r="D20" s="331" t="s">
        <v>300</v>
      </c>
      <c r="E20" s="335">
        <v>1450</v>
      </c>
      <c r="F20" s="335">
        <v>1450</v>
      </c>
      <c r="G20" s="335">
        <v>1500</v>
      </c>
      <c r="H20" s="335">
        <v>1650</v>
      </c>
      <c r="I20" s="335"/>
      <c r="J20" s="335"/>
      <c r="K20" s="335"/>
      <c r="L20" s="335"/>
      <c r="M20" s="337">
        <f>+IF(AND(E20=0,F20=0,G20=0,H20=0,I20=0),O,AVERAGEIF(E20:I20,"&lt;&gt;"))</f>
        <v>1512.5</v>
      </c>
      <c r="N20" s="335">
        <f t="shared" si="0"/>
        <v>1512.5</v>
      </c>
      <c r="O20" s="335">
        <f t="shared" si="1"/>
        <v>12100</v>
      </c>
      <c r="P20" s="332"/>
    </row>
    <row r="21" spans="1:16" ht="21.95" customHeight="1" x14ac:dyDescent="0.2">
      <c r="A21" s="341" t="s">
        <v>311</v>
      </c>
      <c r="B21" s="341" t="s">
        <v>312</v>
      </c>
      <c r="C21" s="334">
        <v>1</v>
      </c>
      <c r="D21" s="331" t="s">
        <v>300</v>
      </c>
      <c r="E21" s="335">
        <v>350</v>
      </c>
      <c r="F21" s="335">
        <v>350</v>
      </c>
      <c r="G21" s="335">
        <v>375</v>
      </c>
      <c r="H21" s="335"/>
      <c r="I21" s="335"/>
      <c r="J21" s="335"/>
      <c r="K21" s="335"/>
      <c r="L21" s="335"/>
      <c r="M21" s="337">
        <f>+IF(AND(E21=0,F21=0,G21=0,H21=0,I21=0),O,AVERAGEIF(E21:I21,"&lt;&gt;"))</f>
        <v>358.33333333333331</v>
      </c>
      <c r="N21" s="335">
        <f t="shared" si="0"/>
        <v>358.33333333333331</v>
      </c>
      <c r="O21" s="335">
        <f t="shared" si="1"/>
        <v>2866.6666666666665</v>
      </c>
      <c r="P21" s="332"/>
    </row>
    <row r="22" spans="1:16" ht="21.95" customHeight="1" x14ac:dyDescent="0.2">
      <c r="A22" s="341" t="s">
        <v>313</v>
      </c>
      <c r="B22" s="341" t="s">
        <v>4</v>
      </c>
      <c r="C22" s="334">
        <v>5</v>
      </c>
      <c r="D22" s="331" t="s">
        <v>300</v>
      </c>
      <c r="E22" s="335">
        <v>3500</v>
      </c>
      <c r="F22" s="335">
        <v>4200</v>
      </c>
      <c r="G22" s="335">
        <v>3300</v>
      </c>
      <c r="H22" s="335"/>
      <c r="I22" s="335"/>
      <c r="J22" s="335"/>
      <c r="K22" s="335"/>
      <c r="L22" s="335"/>
      <c r="M22" s="337">
        <f>+IF(AND(E22=0,F22=0,G22=0,H22=0,I22=0),O,AVERAGEIF(E22:I22,"&lt;&gt;"))</f>
        <v>3666.6666666666665</v>
      </c>
      <c r="N22" s="335">
        <f t="shared" si="0"/>
        <v>18333.333333333332</v>
      </c>
      <c r="O22" s="335">
        <f t="shared" si="1"/>
        <v>146666.66666666666</v>
      </c>
      <c r="P22" s="332"/>
    </row>
    <row r="23" spans="1:16" ht="21.95" customHeight="1" x14ac:dyDescent="0.2">
      <c r="A23" s="341" t="s">
        <v>333</v>
      </c>
      <c r="B23" s="341" t="s">
        <v>336</v>
      </c>
      <c r="C23" s="334">
        <v>1</v>
      </c>
      <c r="D23" s="331" t="s">
        <v>300</v>
      </c>
      <c r="E23" s="335"/>
      <c r="F23" s="335"/>
      <c r="G23" s="335"/>
      <c r="H23" s="335">
        <f>1400*4</f>
        <v>5600</v>
      </c>
      <c r="I23" s="335">
        <v>6400</v>
      </c>
      <c r="J23" s="335"/>
      <c r="K23" s="335"/>
      <c r="L23" s="335"/>
      <c r="M23" s="337">
        <f>+IF(AND(E23=0,F23=0,G23=0,H23=0,I23=0),O,AVERAGEIF(E23:I23,"&lt;&gt;"))</f>
        <v>6000</v>
      </c>
      <c r="N23" s="335">
        <f t="shared" si="0"/>
        <v>6000</v>
      </c>
      <c r="O23" s="335">
        <f t="shared" si="1"/>
        <v>48000</v>
      </c>
      <c r="P23" s="332"/>
    </row>
    <row r="24" spans="1:16" ht="21.95" customHeight="1" x14ac:dyDescent="0.2">
      <c r="A24" s="341" t="s">
        <v>314</v>
      </c>
      <c r="B24" s="341" t="s">
        <v>315</v>
      </c>
      <c r="C24" s="334">
        <v>5</v>
      </c>
      <c r="D24" s="331" t="s">
        <v>300</v>
      </c>
      <c r="E24" s="335">
        <v>750</v>
      </c>
      <c r="F24" s="335">
        <v>1200</v>
      </c>
      <c r="G24" s="335">
        <v>1250</v>
      </c>
      <c r="H24" s="335"/>
      <c r="I24" s="335"/>
      <c r="J24" s="335"/>
      <c r="K24" s="335"/>
      <c r="L24" s="335"/>
      <c r="M24" s="337">
        <f>+IF(AND(E24=0,F24=0,G24=0,H24=0,I24=0),O,AVERAGEIF(E24:I24,"&lt;&gt;"))</f>
        <v>1066.6666666666667</v>
      </c>
      <c r="N24" s="335">
        <f t="shared" si="0"/>
        <v>5333.3333333333339</v>
      </c>
      <c r="O24" s="335">
        <f t="shared" si="1"/>
        <v>42666.666666666672</v>
      </c>
      <c r="P24" s="332"/>
    </row>
    <row r="25" spans="1:16" ht="21.95" customHeight="1" x14ac:dyDescent="0.2">
      <c r="A25" s="341" t="s">
        <v>316</v>
      </c>
      <c r="B25" s="341" t="s">
        <v>317</v>
      </c>
      <c r="C25" s="334">
        <v>2</v>
      </c>
      <c r="D25" s="331" t="s">
        <v>300</v>
      </c>
      <c r="E25" s="335">
        <v>1500</v>
      </c>
      <c r="F25" s="335">
        <v>1600</v>
      </c>
      <c r="G25" s="335">
        <v>1650</v>
      </c>
      <c r="H25" s="335"/>
      <c r="I25" s="335"/>
      <c r="J25" s="335"/>
      <c r="K25" s="335"/>
      <c r="L25" s="335"/>
      <c r="M25" s="337">
        <f>+IF(AND(E25=0,F25=0,G25=0,H25=0,I25=0),O,AVERAGEIF(E25:I25,"&lt;&gt;"))</f>
        <v>1583.3333333333333</v>
      </c>
      <c r="N25" s="335">
        <f t="shared" si="0"/>
        <v>3166.6666666666665</v>
      </c>
      <c r="O25" s="335">
        <f t="shared" si="1"/>
        <v>25333.333333333332</v>
      </c>
      <c r="P25" s="332"/>
    </row>
    <row r="26" spans="1:16" ht="21.95" customHeight="1" x14ac:dyDescent="0.2">
      <c r="A26" s="341" t="s">
        <v>318</v>
      </c>
      <c r="B26" s="341" t="s">
        <v>319</v>
      </c>
      <c r="C26" s="334">
        <v>1</v>
      </c>
      <c r="D26" s="331" t="s">
        <v>300</v>
      </c>
      <c r="E26" s="335">
        <v>2400</v>
      </c>
      <c r="F26" s="335">
        <f>350*8</f>
        <v>2800</v>
      </c>
      <c r="G26" s="335">
        <v>3600</v>
      </c>
      <c r="H26" s="335"/>
      <c r="I26" s="335"/>
      <c r="J26" s="335"/>
      <c r="K26" s="335"/>
      <c r="L26" s="335"/>
      <c r="M26" s="337">
        <f>+IF(AND(E26=0,F26=0,G26=0,H26=0,I26=0),O,AVERAGEIF(E26:I26,"&lt;&gt;"))</f>
        <v>2933.3333333333335</v>
      </c>
      <c r="N26" s="335">
        <f t="shared" si="0"/>
        <v>2933.3333333333335</v>
      </c>
      <c r="O26" s="335">
        <f t="shared" si="1"/>
        <v>23466.666666666668</v>
      </c>
      <c r="P26" s="332"/>
    </row>
    <row r="27" spans="1:16" ht="21.95" customHeight="1" x14ac:dyDescent="0.2">
      <c r="A27" s="341" t="s">
        <v>320</v>
      </c>
      <c r="B27" s="341" t="s">
        <v>4</v>
      </c>
      <c r="C27" s="334">
        <v>5</v>
      </c>
      <c r="D27" s="331" t="s">
        <v>300</v>
      </c>
      <c r="E27" s="335">
        <v>700</v>
      </c>
      <c r="F27" s="335">
        <v>800</v>
      </c>
      <c r="G27" s="335">
        <v>3100</v>
      </c>
      <c r="H27" s="335"/>
      <c r="I27" s="335"/>
      <c r="J27" s="335"/>
      <c r="K27" s="335"/>
      <c r="L27" s="335"/>
      <c r="M27" s="337">
        <f>+IF(AND(E27=0,F27=0,G27=0,H27=0,I27=0),O,AVERAGEIF(E27:I27,"&lt;&gt;"))</f>
        <v>1533.3333333333333</v>
      </c>
      <c r="N27" s="335">
        <f t="shared" si="0"/>
        <v>7666.6666666666661</v>
      </c>
      <c r="O27" s="335">
        <f t="shared" si="1"/>
        <v>61333.333333333328</v>
      </c>
      <c r="P27" s="332"/>
    </row>
    <row r="28" spans="1:16" ht="21.95" customHeight="1" x14ac:dyDescent="0.2">
      <c r="A28" s="341" t="s">
        <v>337</v>
      </c>
      <c r="B28" s="341" t="s">
        <v>4</v>
      </c>
      <c r="C28" s="334">
        <v>2</v>
      </c>
      <c r="D28" s="331" t="s">
        <v>300</v>
      </c>
      <c r="E28" s="335"/>
      <c r="F28" s="335"/>
      <c r="G28" s="335"/>
      <c r="H28" s="335">
        <v>2750</v>
      </c>
      <c r="I28" s="335">
        <v>2750</v>
      </c>
      <c r="J28" s="335"/>
      <c r="K28" s="335"/>
      <c r="L28" s="335"/>
      <c r="M28" s="337">
        <f>+IF(AND(E28=0,F28=0,G28=0,H28=0,I28=0),O,AVERAGEIF(E28:I28,"&lt;&gt;"))</f>
        <v>2750</v>
      </c>
      <c r="N28" s="335">
        <f t="shared" si="0"/>
        <v>5500</v>
      </c>
      <c r="O28" s="335">
        <f t="shared" si="1"/>
        <v>44000</v>
      </c>
      <c r="P28" s="332"/>
    </row>
    <row r="29" spans="1:16" ht="21.95" customHeight="1" x14ac:dyDescent="0.2">
      <c r="A29" s="341" t="s">
        <v>321</v>
      </c>
      <c r="B29" s="341" t="s">
        <v>4</v>
      </c>
      <c r="C29" s="334">
        <v>3</v>
      </c>
      <c r="D29" s="331" t="s">
        <v>300</v>
      </c>
      <c r="E29" s="335">
        <v>3200</v>
      </c>
      <c r="F29" s="335">
        <v>3000</v>
      </c>
      <c r="G29" s="335">
        <v>3000</v>
      </c>
      <c r="H29" s="335"/>
      <c r="I29" s="335"/>
      <c r="J29" s="335"/>
      <c r="K29" s="335"/>
      <c r="L29" s="335"/>
      <c r="M29" s="337">
        <f>+IF(AND(E29=0,F29=0,G29=0,H29=0,I29=0),O,AVERAGEIF(E29:I29,"&lt;&gt;"))</f>
        <v>3066.6666666666665</v>
      </c>
      <c r="N29" s="335">
        <f t="shared" si="0"/>
        <v>9200</v>
      </c>
      <c r="O29" s="335">
        <f t="shared" si="1"/>
        <v>73600</v>
      </c>
      <c r="P29" s="332"/>
    </row>
    <row r="30" spans="1:16" ht="21.95" customHeight="1" x14ac:dyDescent="0.2">
      <c r="A30" s="341" t="s">
        <v>322</v>
      </c>
      <c r="B30" s="341" t="s">
        <v>323</v>
      </c>
      <c r="C30" s="334">
        <v>0.5</v>
      </c>
      <c r="D30" s="331" t="s">
        <v>300</v>
      </c>
      <c r="E30" s="335">
        <v>800</v>
      </c>
      <c r="F30" s="335">
        <v>850</v>
      </c>
      <c r="G30" s="335">
        <v>950</v>
      </c>
      <c r="H30" s="335"/>
      <c r="I30" s="335"/>
      <c r="J30" s="335"/>
      <c r="K30" s="335"/>
      <c r="L30" s="335"/>
      <c r="M30" s="337">
        <f>+IF(AND(E30=0,F30=0,G30=0,H30=0,I30=0),O,AVERAGEIF(E30:I30,"&lt;&gt;"))</f>
        <v>866.66666666666663</v>
      </c>
      <c r="N30" s="335">
        <f t="shared" si="0"/>
        <v>433.33333333333331</v>
      </c>
      <c r="O30" s="335">
        <f t="shared" si="1"/>
        <v>3466.6666666666665</v>
      </c>
      <c r="P30" s="332"/>
    </row>
    <row r="31" spans="1:16" ht="21.95" customHeight="1" x14ac:dyDescent="0.2">
      <c r="A31" s="341" t="s">
        <v>324</v>
      </c>
      <c r="B31" s="341" t="s">
        <v>299</v>
      </c>
      <c r="C31" s="334">
        <v>3</v>
      </c>
      <c r="D31" s="331" t="s">
        <v>300</v>
      </c>
      <c r="E31" s="335">
        <v>6800</v>
      </c>
      <c r="F31" s="335">
        <v>6900</v>
      </c>
      <c r="G31" s="335">
        <v>6700</v>
      </c>
      <c r="H31" s="335"/>
      <c r="I31" s="335"/>
      <c r="J31" s="335"/>
      <c r="K31" s="335"/>
      <c r="L31" s="335"/>
      <c r="M31" s="337">
        <f>+IF(AND(E31=0,F31=0,G31=0,H31=0,I31=0),O,AVERAGEIF(E31:I31,"&lt;&gt;"))</f>
        <v>6800</v>
      </c>
      <c r="N31" s="335">
        <f t="shared" si="0"/>
        <v>20400</v>
      </c>
      <c r="O31" s="335">
        <f t="shared" si="1"/>
        <v>163200</v>
      </c>
      <c r="P31" s="332"/>
    </row>
    <row r="32" spans="1:16" ht="21.95" customHeight="1" x14ac:dyDescent="0.2">
      <c r="A32" s="341" t="s">
        <v>325</v>
      </c>
      <c r="B32" s="341" t="s">
        <v>299</v>
      </c>
      <c r="C32" s="334">
        <v>3</v>
      </c>
      <c r="D32" s="331" t="s">
        <v>300</v>
      </c>
      <c r="E32" s="335">
        <v>8900</v>
      </c>
      <c r="F32" s="335">
        <v>9000</v>
      </c>
      <c r="G32" s="335">
        <v>8200</v>
      </c>
      <c r="H32" s="335"/>
      <c r="I32" s="335"/>
      <c r="J32" s="335"/>
      <c r="K32" s="335"/>
      <c r="L32" s="335"/>
      <c r="M32" s="337">
        <f>+IF(AND(E32=0,F32=0,G32=0,H32=0,I32=0),O,AVERAGEIF(E32:I32,"&lt;&gt;"))</f>
        <v>8700</v>
      </c>
      <c r="N32" s="335">
        <f t="shared" si="0"/>
        <v>26100</v>
      </c>
      <c r="O32" s="335">
        <f t="shared" si="1"/>
        <v>208800</v>
      </c>
      <c r="P32" s="332"/>
    </row>
    <row r="33" spans="1:16" ht="37.5" customHeight="1" x14ac:dyDescent="0.2">
      <c r="A33" s="341"/>
      <c r="B33" s="341"/>
      <c r="C33" s="334"/>
      <c r="D33" s="331"/>
      <c r="E33" s="350" t="s">
        <v>326</v>
      </c>
      <c r="F33" s="350" t="s">
        <v>327</v>
      </c>
      <c r="G33" s="350" t="s">
        <v>328</v>
      </c>
      <c r="H33" s="338"/>
      <c r="I33" s="338"/>
      <c r="J33" s="338"/>
      <c r="K33" s="338"/>
      <c r="L33" s="338"/>
      <c r="M33" s="337"/>
      <c r="N33" s="335"/>
      <c r="O33" s="335">
        <f t="shared" si="1"/>
        <v>0</v>
      </c>
      <c r="P33" s="332"/>
    </row>
    <row r="34" spans="1:16" ht="25.5" customHeight="1" x14ac:dyDescent="0.2">
      <c r="A34" s="341" t="s">
        <v>329</v>
      </c>
      <c r="B34" s="341" t="s">
        <v>4</v>
      </c>
      <c r="C34" s="334">
        <f>300+(36000/8.5)</f>
        <v>4535.2941176470586</v>
      </c>
      <c r="D34" s="331" t="s">
        <v>300</v>
      </c>
      <c r="E34" s="335">
        <v>120</v>
      </c>
      <c r="F34" s="335">
        <v>100</v>
      </c>
      <c r="G34" s="335">
        <v>45</v>
      </c>
      <c r="H34" s="335"/>
      <c r="I34" s="335"/>
      <c r="J34" s="335"/>
      <c r="K34" s="335"/>
      <c r="L34" s="335"/>
      <c r="M34" s="337">
        <f>+IF(AND(E34=0,F34=0,G34=0,H34=0,I34=0),O,AVERAGEIF(E34:I34,"&lt;&gt;"))</f>
        <v>88.333333333333329</v>
      </c>
      <c r="N34" s="335">
        <f t="shared" ref="N34:N39" si="2">+M34*C34</f>
        <v>400617.6470588235</v>
      </c>
      <c r="O34" s="335">
        <f t="shared" si="1"/>
        <v>3204941.176470588</v>
      </c>
      <c r="P34" s="332"/>
    </row>
    <row r="35" spans="1:16" ht="25.5" customHeight="1" x14ac:dyDescent="0.2">
      <c r="A35" s="341" t="s">
        <v>341</v>
      </c>
      <c r="B35" s="341" t="s">
        <v>4</v>
      </c>
      <c r="C35" s="343">
        <v>2</v>
      </c>
      <c r="D35" s="331" t="s">
        <v>300</v>
      </c>
      <c r="E35" s="344"/>
      <c r="F35" s="344"/>
      <c r="G35" s="344"/>
      <c r="H35" s="344"/>
      <c r="I35" s="344"/>
      <c r="J35" s="344">
        <v>68000</v>
      </c>
      <c r="K35" s="344">
        <v>35000</v>
      </c>
      <c r="L35" s="344"/>
      <c r="M35" s="337">
        <f>+IF(AND(J35=0,K35=0,L35=0),O,AVERAGEIF(J35:L35,"&lt;&gt;"))</f>
        <v>51500</v>
      </c>
      <c r="N35" s="335">
        <f t="shared" si="2"/>
        <v>103000</v>
      </c>
      <c r="O35" s="335">
        <f>+N35*$P$8</f>
        <v>824000</v>
      </c>
      <c r="P35" s="332"/>
    </row>
    <row r="36" spans="1:16" ht="25.5" customHeight="1" x14ac:dyDescent="0.2">
      <c r="A36" s="341" t="s">
        <v>342</v>
      </c>
      <c r="B36" s="341" t="s">
        <v>4</v>
      </c>
      <c r="C36" s="343">
        <v>2</v>
      </c>
      <c r="D36" s="331" t="s">
        <v>300</v>
      </c>
      <c r="E36" s="344"/>
      <c r="F36" s="344"/>
      <c r="G36" s="344"/>
      <c r="H36" s="344"/>
      <c r="I36" s="344"/>
      <c r="J36" s="344">
        <v>89000</v>
      </c>
      <c r="K36" s="344">
        <v>35000</v>
      </c>
      <c r="L36" s="344"/>
      <c r="M36" s="337">
        <f>+IF(AND(J36=0,K36=0,L36=0),O,AVERAGEIF(J36:L36,"&lt;&gt;"))</f>
        <v>62000</v>
      </c>
      <c r="N36" s="335">
        <f t="shared" si="2"/>
        <v>124000</v>
      </c>
      <c r="O36" s="335">
        <f>+N36*$P$8</f>
        <v>992000</v>
      </c>
      <c r="P36" s="332"/>
    </row>
    <row r="37" spans="1:16" ht="25.5" customHeight="1" x14ac:dyDescent="0.2">
      <c r="A37" s="341" t="s">
        <v>343</v>
      </c>
      <c r="B37" s="341" t="s">
        <v>4</v>
      </c>
      <c r="C37" s="343">
        <v>1</v>
      </c>
      <c r="D37" s="331" t="s">
        <v>300</v>
      </c>
      <c r="E37" s="344"/>
      <c r="F37" s="344"/>
      <c r="G37" s="344"/>
      <c r="H37" s="344"/>
      <c r="I37" s="344"/>
      <c r="J37" s="344">
        <v>44000</v>
      </c>
      <c r="K37" s="344">
        <v>32500</v>
      </c>
      <c r="L37" s="344"/>
      <c r="M37" s="337">
        <f>+IF(AND(J37=0,K37=0,L37=0),O,AVERAGEIF(J37:L37,"&lt;&gt;"))</f>
        <v>38250</v>
      </c>
      <c r="N37" s="335">
        <f t="shared" si="2"/>
        <v>38250</v>
      </c>
      <c r="O37" s="335">
        <f>+N37*$P$8</f>
        <v>306000</v>
      </c>
      <c r="P37" s="332"/>
    </row>
    <row r="38" spans="1:16" ht="25.5" customHeight="1" x14ac:dyDescent="0.2">
      <c r="A38" s="341" t="s">
        <v>344</v>
      </c>
      <c r="B38" s="341" t="s">
        <v>4</v>
      </c>
      <c r="C38" s="343">
        <v>1</v>
      </c>
      <c r="D38" s="331" t="s">
        <v>300</v>
      </c>
      <c r="E38" s="344"/>
      <c r="F38" s="344"/>
      <c r="G38" s="344"/>
      <c r="H38" s="344"/>
      <c r="I38" s="344"/>
      <c r="J38" s="344">
        <v>51000</v>
      </c>
      <c r="K38" s="344">
        <v>32500</v>
      </c>
      <c r="L38" s="344"/>
      <c r="M38" s="337">
        <f>+IF(AND(J38=0,K38=0,L38=0),O,AVERAGEIF(J38:L38,"&lt;&gt;"))</f>
        <v>41750</v>
      </c>
      <c r="N38" s="335">
        <f t="shared" si="2"/>
        <v>41750</v>
      </c>
      <c r="O38" s="335">
        <f>+N38*$P$8</f>
        <v>334000</v>
      </c>
      <c r="P38" s="332"/>
    </row>
    <row r="39" spans="1:16" ht="21.95" customHeight="1" x14ac:dyDescent="0.2">
      <c r="A39" s="341" t="s">
        <v>345</v>
      </c>
      <c r="B39" s="341" t="s">
        <v>4</v>
      </c>
      <c r="C39" s="343">
        <v>1</v>
      </c>
      <c r="D39" s="331" t="s">
        <v>300</v>
      </c>
      <c r="E39" s="344"/>
      <c r="F39" s="344"/>
      <c r="G39" s="344"/>
      <c r="H39" s="344"/>
      <c r="I39" s="344"/>
      <c r="J39" s="344">
        <v>189000</v>
      </c>
      <c r="K39" s="344">
        <v>109000</v>
      </c>
      <c r="L39" s="344"/>
      <c r="M39" s="337">
        <f>+IF(AND(J39=0,K39=0,L39=0),O,AVERAGEIF(J39:L39,"&lt;&gt;"))</f>
        <v>149000</v>
      </c>
      <c r="N39" s="335">
        <f t="shared" si="2"/>
        <v>149000</v>
      </c>
      <c r="O39" s="335">
        <f>+N39*$P$8</f>
        <v>1192000</v>
      </c>
    </row>
    <row r="40" spans="1:16" ht="21.95" customHeight="1" x14ac:dyDescent="0.2">
      <c r="A40" s="349" t="s">
        <v>102</v>
      </c>
      <c r="B40" s="345"/>
      <c r="C40" s="345"/>
      <c r="D40" s="345"/>
      <c r="E40" s="346"/>
      <c r="F40" s="347"/>
      <c r="G40" s="346"/>
      <c r="H40" s="346"/>
      <c r="I40" s="346"/>
      <c r="J40" s="346"/>
      <c r="K40" s="346"/>
      <c r="L40" s="346"/>
      <c r="M40" s="348"/>
      <c r="N40" s="342">
        <f>SUM(N12:N39)</f>
        <v>1043963.4803921569</v>
      </c>
      <c r="O40" s="336">
        <f>SUM(O12:O39)</f>
        <v>8351707.8431372549</v>
      </c>
    </row>
    <row r="41" spans="1:16" x14ac:dyDescent="0.2">
      <c r="A41" s="333"/>
    </row>
    <row r="47" spans="1:16" ht="15.75" thickBot="1" x14ac:dyDescent="0.3">
      <c r="A47" s="322" t="s">
        <v>296</v>
      </c>
      <c r="B47" s="323"/>
      <c r="C47" s="281" t="e">
        <f>+#REF!</f>
        <v>#REF!</v>
      </c>
    </row>
    <row r="48" spans="1:16" ht="13.5" thickTop="1" x14ac:dyDescent="0.2"/>
  </sheetData>
  <mergeCells count="19">
    <mergeCell ref="A2:O2"/>
    <mergeCell ref="J10:J11"/>
    <mergeCell ref="K10:K11"/>
    <mergeCell ref="H10:H11"/>
    <mergeCell ref="G10:G11"/>
    <mergeCell ref="M10:M11"/>
    <mergeCell ref="I10:I11"/>
    <mergeCell ref="A10:A11"/>
    <mergeCell ref="B10:B11"/>
    <mergeCell ref="C10:C11"/>
    <mergeCell ref="A7:O7"/>
    <mergeCell ref="N10:N11"/>
    <mergeCell ref="O10:O11"/>
    <mergeCell ref="E10:E11"/>
    <mergeCell ref="D10:D11"/>
    <mergeCell ref="F10:F11"/>
    <mergeCell ref="A5:O5"/>
    <mergeCell ref="A4:O4"/>
    <mergeCell ref="A3:O3"/>
  </mergeCells>
  <pageMargins left="0.7" right="0.7" top="0.75" bottom="0.75" header="0.3" footer="0.3"/>
  <pageSetup orientation="portrait" r:id="rId1"/>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P35"/>
  <sheetViews>
    <sheetView topLeftCell="A22" workbookViewId="0">
      <selection activeCell="A35" sqref="A35"/>
    </sheetView>
  </sheetViews>
  <sheetFormatPr baseColWidth="10" defaultColWidth="11.375" defaultRowHeight="12.75" x14ac:dyDescent="0.25"/>
  <cols>
    <col min="1" max="1" width="21.125" style="831" customWidth="1"/>
    <col min="2" max="3" width="11.375" style="831"/>
    <col min="4" max="4" width="27.875" style="831" customWidth="1"/>
    <col min="5" max="9" width="11.375" style="831" customWidth="1"/>
    <col min="10" max="10" width="11.375" style="831"/>
    <col min="11" max="11" width="14.375" style="831" bestFit="1" customWidth="1"/>
    <col min="12" max="16384" width="11.375" style="831"/>
  </cols>
  <sheetData>
    <row r="6" spans="1:16" ht="23.25" customHeight="1" thickBot="1" x14ac:dyDescent="0.3">
      <c r="A6" s="1639" t="s">
        <v>969</v>
      </c>
      <c r="B6" s="1640"/>
      <c r="C6" s="1640"/>
      <c r="D6" s="1640"/>
      <c r="E6" s="1640"/>
      <c r="F6" s="1640"/>
      <c r="G6" s="1640"/>
      <c r="H6" s="1640"/>
      <c r="I6" s="1640"/>
      <c r="J6" s="1640"/>
      <c r="K6" s="1641"/>
    </row>
    <row r="7" spans="1:16" ht="24.95" customHeight="1" thickBot="1" x14ac:dyDescent="0.3">
      <c r="A7" s="1127" t="s">
        <v>970</v>
      </c>
      <c r="B7" s="1128" t="s">
        <v>133</v>
      </c>
      <c r="C7" s="1129" t="s">
        <v>971</v>
      </c>
      <c r="D7" s="1129" t="s">
        <v>972</v>
      </c>
      <c r="E7" s="1130" t="s">
        <v>973</v>
      </c>
      <c r="F7" s="1130" t="s">
        <v>974</v>
      </c>
      <c r="G7" s="1130" t="s">
        <v>975</v>
      </c>
      <c r="H7" s="1130" t="s">
        <v>976</v>
      </c>
      <c r="I7" s="1130" t="s">
        <v>977</v>
      </c>
      <c r="J7" s="1130" t="s">
        <v>616</v>
      </c>
      <c r="K7" s="1130" t="s">
        <v>701</v>
      </c>
      <c r="M7" s="1152" t="s">
        <v>970</v>
      </c>
      <c r="N7" s="1153" t="s">
        <v>3</v>
      </c>
      <c r="O7" s="1153" t="s">
        <v>971</v>
      </c>
      <c r="P7" s="1154" t="s">
        <v>972</v>
      </c>
    </row>
    <row r="8" spans="1:16" ht="24.95" customHeight="1" thickBot="1" x14ac:dyDescent="0.3">
      <c r="A8" s="1131" t="s">
        <v>978</v>
      </c>
      <c r="B8" s="1132"/>
      <c r="C8" s="1132" t="s">
        <v>764</v>
      </c>
      <c r="D8" s="1133"/>
      <c r="E8" s="1134"/>
      <c r="F8" s="1134"/>
      <c r="G8" s="1135">
        <v>6500</v>
      </c>
      <c r="H8" s="1135">
        <v>1770</v>
      </c>
      <c r="I8" s="1134"/>
      <c r="J8" s="1136">
        <f>+H8</f>
        <v>1770</v>
      </c>
      <c r="K8" s="1136">
        <f>+ROUNDDOWN(B8*J8,0)</f>
        <v>0</v>
      </c>
      <c r="M8" s="1155" t="s">
        <v>979</v>
      </c>
      <c r="N8" s="1167">
        <v>5</v>
      </c>
      <c r="O8" s="1157" t="s">
        <v>1028</v>
      </c>
      <c r="P8" s="1158" t="s">
        <v>1029</v>
      </c>
    </row>
    <row r="9" spans="1:16" ht="24.95" customHeight="1" thickBot="1" x14ac:dyDescent="0.3">
      <c r="A9" s="1131" t="s">
        <v>979</v>
      </c>
      <c r="B9" s="1132"/>
      <c r="C9" s="1132" t="s">
        <v>764</v>
      </c>
      <c r="D9" s="1133" t="s">
        <v>980</v>
      </c>
      <c r="E9" s="1134"/>
      <c r="F9" s="1135">
        <f>1610/12</f>
        <v>134.16666666666666</v>
      </c>
      <c r="G9" s="1135"/>
      <c r="H9" s="1135">
        <v>143.33333333333334</v>
      </c>
      <c r="I9" s="1134">
        <v>950</v>
      </c>
      <c r="J9" s="1136">
        <f>+AVERAGE(F9,H9)</f>
        <v>138.75</v>
      </c>
      <c r="K9" s="1136">
        <f t="shared" ref="K9:K29" si="0">+ROUNDDOWN(B9*J9,0)</f>
        <v>0</v>
      </c>
      <c r="M9" s="1159" t="s">
        <v>1030</v>
      </c>
      <c r="N9" s="1160">
        <v>3</v>
      </c>
      <c r="O9" s="1161" t="s">
        <v>1031</v>
      </c>
      <c r="P9" s="1162" t="s">
        <v>996</v>
      </c>
    </row>
    <row r="10" spans="1:16" ht="24.95" customHeight="1" thickBot="1" x14ac:dyDescent="0.3">
      <c r="A10" s="1131" t="s">
        <v>981</v>
      </c>
      <c r="B10" s="1132">
        <v>10</v>
      </c>
      <c r="C10" s="1132" t="s">
        <v>764</v>
      </c>
      <c r="D10" s="1133" t="s">
        <v>982</v>
      </c>
      <c r="E10" s="1134"/>
      <c r="F10" s="1134">
        <f>1690/12</f>
        <v>140.83333333333334</v>
      </c>
      <c r="G10" s="1135"/>
      <c r="H10" s="1135">
        <v>1270</v>
      </c>
      <c r="I10" s="1134">
        <v>195.83333333333334</v>
      </c>
      <c r="J10" s="1136">
        <f>+F10</f>
        <v>140.83333333333334</v>
      </c>
      <c r="K10" s="1136">
        <f t="shared" si="0"/>
        <v>1408</v>
      </c>
      <c r="M10" s="1155" t="s">
        <v>1030</v>
      </c>
      <c r="N10" s="1156">
        <v>3</v>
      </c>
      <c r="O10" s="1157" t="s">
        <v>1031</v>
      </c>
      <c r="P10" s="1158" t="s">
        <v>998</v>
      </c>
    </row>
    <row r="11" spans="1:16" ht="24.95" customHeight="1" thickBot="1" x14ac:dyDescent="0.3">
      <c r="A11" s="1131" t="s">
        <v>983</v>
      </c>
      <c r="B11" s="1132"/>
      <c r="C11" s="1132" t="s">
        <v>984</v>
      </c>
      <c r="D11" s="1133" t="s">
        <v>985</v>
      </c>
      <c r="E11" s="1134"/>
      <c r="F11" s="1134">
        <v>2430</v>
      </c>
      <c r="G11" s="1134"/>
      <c r="H11" s="1134">
        <v>3120</v>
      </c>
      <c r="I11" s="1134">
        <v>2900</v>
      </c>
      <c r="J11" s="1136">
        <f>+F11</f>
        <v>2430</v>
      </c>
      <c r="K11" s="1136">
        <f t="shared" si="0"/>
        <v>0</v>
      </c>
      <c r="M11" s="1159" t="s">
        <v>1030</v>
      </c>
      <c r="N11" s="1160">
        <v>3</v>
      </c>
      <c r="O11" s="1161" t="s">
        <v>1031</v>
      </c>
      <c r="P11" s="1162" t="s">
        <v>997</v>
      </c>
    </row>
    <row r="12" spans="1:16" ht="24.95" customHeight="1" thickBot="1" x14ac:dyDescent="0.3">
      <c r="A12" s="1131" t="s">
        <v>986</v>
      </c>
      <c r="B12" s="1132"/>
      <c r="C12" s="1132" t="s">
        <v>987</v>
      </c>
      <c r="D12" s="1133" t="s">
        <v>988</v>
      </c>
      <c r="E12" s="1134"/>
      <c r="F12" s="1134">
        <v>4820</v>
      </c>
      <c r="G12" s="1134"/>
      <c r="H12" s="1134"/>
      <c r="I12" s="1134">
        <v>5500</v>
      </c>
      <c r="J12" s="1136">
        <f>+F12</f>
        <v>4820</v>
      </c>
      <c r="K12" s="1136">
        <f t="shared" si="0"/>
        <v>0</v>
      </c>
      <c r="M12" s="1155" t="s">
        <v>999</v>
      </c>
      <c r="N12" s="1167">
        <v>1</v>
      </c>
      <c r="O12" s="1157" t="s">
        <v>1032</v>
      </c>
      <c r="P12" s="1158" t="s">
        <v>1001</v>
      </c>
    </row>
    <row r="13" spans="1:16" ht="24.95" customHeight="1" thickBot="1" x14ac:dyDescent="0.3">
      <c r="A13" s="1131" t="s">
        <v>989</v>
      </c>
      <c r="B13" s="1132"/>
      <c r="C13" s="1132" t="s">
        <v>764</v>
      </c>
      <c r="D13" s="1133" t="s">
        <v>990</v>
      </c>
      <c r="E13" s="1134"/>
      <c r="F13" s="1134">
        <v>667.33333333333337</v>
      </c>
      <c r="G13" s="1134"/>
      <c r="H13" s="1134">
        <v>359.6</v>
      </c>
      <c r="I13" s="1134">
        <v>388</v>
      </c>
      <c r="J13" s="1136">
        <f>+AVERAGE(H13:I13)</f>
        <v>373.8</v>
      </c>
      <c r="K13" s="1136">
        <f t="shared" si="0"/>
        <v>0</v>
      </c>
      <c r="M13" s="1159" t="s">
        <v>1033</v>
      </c>
      <c r="N13" s="1171">
        <v>10</v>
      </c>
      <c r="O13" s="1161" t="s">
        <v>1032</v>
      </c>
      <c r="P13" s="1162" t="s">
        <v>1034</v>
      </c>
    </row>
    <row r="14" spans="1:16" ht="24.95" customHeight="1" thickBot="1" x14ac:dyDescent="0.3">
      <c r="A14" s="1131" t="s">
        <v>991</v>
      </c>
      <c r="B14" s="1132"/>
      <c r="C14" s="1132" t="s">
        <v>764</v>
      </c>
      <c r="D14" s="1133" t="s">
        <v>992</v>
      </c>
      <c r="E14" s="1134"/>
      <c r="F14" s="1134">
        <v>191</v>
      </c>
      <c r="G14" s="1134"/>
      <c r="H14" s="1134">
        <v>189</v>
      </c>
      <c r="I14" s="1134">
        <v>194</v>
      </c>
      <c r="J14" s="1136">
        <f>+AVERAGE(F14:I14)</f>
        <v>191.33333333333334</v>
      </c>
      <c r="K14" s="1136">
        <f t="shared" si="0"/>
        <v>0</v>
      </c>
      <c r="M14" s="1155" t="s">
        <v>1035</v>
      </c>
      <c r="N14" s="1167">
        <v>10</v>
      </c>
      <c r="O14" s="1157" t="s">
        <v>1032</v>
      </c>
      <c r="P14" s="1158" t="s">
        <v>1034</v>
      </c>
    </row>
    <row r="15" spans="1:16" ht="24.95" customHeight="1" thickBot="1" x14ac:dyDescent="0.3">
      <c r="A15" s="1131" t="s">
        <v>991</v>
      </c>
      <c r="B15" s="1132"/>
      <c r="C15" s="1132" t="s">
        <v>764</v>
      </c>
      <c r="D15" s="1133" t="s">
        <v>993</v>
      </c>
      <c r="E15" s="1134"/>
      <c r="F15" s="1134">
        <v>477.5</v>
      </c>
      <c r="G15" s="1134"/>
      <c r="H15" s="1134">
        <v>449.5</v>
      </c>
      <c r="I15" s="1134">
        <v>485</v>
      </c>
      <c r="J15" s="1136">
        <f>+AVERAGE(F15:I15)</f>
        <v>470.66666666666669</v>
      </c>
      <c r="K15" s="1136">
        <f t="shared" si="0"/>
        <v>0</v>
      </c>
      <c r="M15" s="1159" t="s">
        <v>1010</v>
      </c>
      <c r="N15" s="1168">
        <v>1</v>
      </c>
      <c r="O15" s="1126" t="s">
        <v>1036</v>
      </c>
      <c r="P15" s="1162" t="s">
        <v>1037</v>
      </c>
    </row>
    <row r="16" spans="1:16" ht="24.95" customHeight="1" thickBot="1" x14ac:dyDescent="0.3">
      <c r="A16" s="1131"/>
      <c r="B16" s="1132"/>
      <c r="C16" s="1132"/>
      <c r="D16" s="1133"/>
      <c r="E16" s="1130" t="s">
        <v>866</v>
      </c>
      <c r="F16" s="1130" t="s">
        <v>994</v>
      </c>
      <c r="G16" s="1130" t="s">
        <v>346</v>
      </c>
      <c r="H16" s="1134"/>
      <c r="I16" s="1134"/>
      <c r="J16" s="1137"/>
      <c r="K16" s="1136"/>
      <c r="M16" s="1155" t="s">
        <v>1038</v>
      </c>
      <c r="N16" s="1169">
        <v>10</v>
      </c>
      <c r="O16" s="1163" t="s">
        <v>1032</v>
      </c>
      <c r="P16" s="1158" t="s">
        <v>1039</v>
      </c>
    </row>
    <row r="17" spans="1:16" ht="24.95" customHeight="1" thickBot="1" x14ac:dyDescent="0.3">
      <c r="A17" s="1131" t="s">
        <v>995</v>
      </c>
      <c r="B17" s="1172">
        <v>600</v>
      </c>
      <c r="C17" s="1132" t="s">
        <v>764</v>
      </c>
      <c r="D17" s="1133" t="s">
        <v>996</v>
      </c>
      <c r="E17" s="1134">
        <v>150</v>
      </c>
      <c r="F17" s="1134">
        <v>187.96</v>
      </c>
      <c r="G17" s="1134">
        <v>140</v>
      </c>
      <c r="H17" s="1134"/>
      <c r="I17" s="1134"/>
      <c r="J17" s="1136">
        <f>+AVERAGE(E17,G17)</f>
        <v>145</v>
      </c>
      <c r="K17" s="1136">
        <f t="shared" si="0"/>
        <v>87000</v>
      </c>
      <c r="M17" s="1159" t="s">
        <v>1040</v>
      </c>
      <c r="N17" s="1168">
        <v>10</v>
      </c>
      <c r="O17" s="1126" t="s">
        <v>1032</v>
      </c>
      <c r="P17" s="1162" t="s">
        <v>1039</v>
      </c>
    </row>
    <row r="18" spans="1:16" ht="24.95" customHeight="1" thickBot="1" x14ac:dyDescent="0.3">
      <c r="A18" s="1131" t="s">
        <v>995</v>
      </c>
      <c r="B18" s="1172">
        <v>600</v>
      </c>
      <c r="C18" s="1132" t="s">
        <v>764</v>
      </c>
      <c r="D18" s="1133" t="s">
        <v>997</v>
      </c>
      <c r="E18" s="1134">
        <v>150</v>
      </c>
      <c r="F18" s="1134">
        <v>187.96</v>
      </c>
      <c r="G18" s="1134">
        <v>140</v>
      </c>
      <c r="H18" s="1134"/>
      <c r="I18" s="1134"/>
      <c r="J18" s="1136">
        <f>+AVERAGE(E18,G18)</f>
        <v>145</v>
      </c>
      <c r="K18" s="1136">
        <f t="shared" si="0"/>
        <v>87000</v>
      </c>
      <c r="M18" s="1155" t="s">
        <v>1041</v>
      </c>
      <c r="N18" s="1169">
        <v>10</v>
      </c>
      <c r="O18" s="1163" t="s">
        <v>1032</v>
      </c>
      <c r="P18" s="1158" t="s">
        <v>1039</v>
      </c>
    </row>
    <row r="19" spans="1:16" ht="24.95" customHeight="1" thickBot="1" x14ac:dyDescent="0.3">
      <c r="A19" s="1131" t="s">
        <v>995</v>
      </c>
      <c r="B19" s="1172">
        <v>600</v>
      </c>
      <c r="C19" s="1132" t="s">
        <v>764</v>
      </c>
      <c r="D19" s="1133" t="s">
        <v>998</v>
      </c>
      <c r="E19" s="1134">
        <v>150</v>
      </c>
      <c r="F19" s="1134">
        <v>187.96</v>
      </c>
      <c r="G19" s="1134">
        <v>140</v>
      </c>
      <c r="H19" s="1134"/>
      <c r="I19" s="1134"/>
      <c r="J19" s="1136">
        <f>+AVERAGE(E19,G19)</f>
        <v>145</v>
      </c>
      <c r="K19" s="1136">
        <f t="shared" si="0"/>
        <v>87000</v>
      </c>
      <c r="M19" s="1164" t="s">
        <v>1042</v>
      </c>
      <c r="N19" s="1170">
        <v>10</v>
      </c>
      <c r="O19" s="1165" t="s">
        <v>1032</v>
      </c>
      <c r="P19" s="1166" t="s">
        <v>1039</v>
      </c>
    </row>
    <row r="20" spans="1:16" ht="24.95" customHeight="1" x14ac:dyDescent="0.25">
      <c r="A20" s="1131" t="s">
        <v>999</v>
      </c>
      <c r="B20" s="1132">
        <v>100</v>
      </c>
      <c r="C20" s="1132" t="s">
        <v>1000</v>
      </c>
      <c r="D20" s="1133" t="s">
        <v>1001</v>
      </c>
      <c r="E20" s="1134"/>
      <c r="F20" s="1134">
        <v>240</v>
      </c>
      <c r="G20" s="1134"/>
      <c r="H20" s="1134"/>
      <c r="I20" s="1134">
        <v>395</v>
      </c>
      <c r="J20" s="1136">
        <f>+F20</f>
        <v>240</v>
      </c>
      <c r="K20" s="1136">
        <f t="shared" si="0"/>
        <v>24000</v>
      </c>
    </row>
    <row r="21" spans="1:16" ht="24.95" customHeight="1" x14ac:dyDescent="0.25">
      <c r="A21" s="1131" t="s">
        <v>1002</v>
      </c>
      <c r="B21" s="1132">
        <v>1000</v>
      </c>
      <c r="C21" s="1132" t="s">
        <v>764</v>
      </c>
      <c r="D21" s="1133" t="s">
        <v>1003</v>
      </c>
      <c r="E21" s="1138">
        <v>645</v>
      </c>
      <c r="F21" s="1138"/>
      <c r="G21" s="1138"/>
      <c r="H21" s="1135">
        <f>75777/100</f>
        <v>757.77</v>
      </c>
      <c r="I21" s="1138">
        <v>380</v>
      </c>
      <c r="J21" s="1136">
        <f>+I21</f>
        <v>380</v>
      </c>
      <c r="K21" s="1136">
        <f t="shared" si="0"/>
        <v>380000</v>
      </c>
    </row>
    <row r="22" spans="1:16" ht="24.95" customHeight="1" x14ac:dyDescent="0.25">
      <c r="A22" s="1131" t="s">
        <v>1004</v>
      </c>
      <c r="B22" s="1132">
        <v>1000</v>
      </c>
      <c r="C22" s="1132" t="s">
        <v>764</v>
      </c>
      <c r="D22" s="1133" t="s">
        <v>1005</v>
      </c>
      <c r="E22" s="1134"/>
      <c r="F22" s="1134">
        <v>281.16666666666669</v>
      </c>
      <c r="G22" s="1134">
        <f>48777/100</f>
        <v>487.77</v>
      </c>
      <c r="H22" s="1134"/>
      <c r="I22" s="1134"/>
      <c r="J22" s="1136">
        <f>+F22</f>
        <v>281.16666666666669</v>
      </c>
      <c r="K22" s="1136">
        <f t="shared" si="0"/>
        <v>281166</v>
      </c>
    </row>
    <row r="23" spans="1:16" ht="24.95" customHeight="1" x14ac:dyDescent="0.25">
      <c r="A23" s="1139" t="s">
        <v>1006</v>
      </c>
      <c r="B23" s="852"/>
      <c r="C23" s="852" t="s">
        <v>1007</v>
      </c>
      <c r="D23" s="1133" t="s">
        <v>1008</v>
      </c>
      <c r="E23" s="1134">
        <v>18000</v>
      </c>
      <c r="F23" s="1134">
        <v>18300</v>
      </c>
      <c r="G23" s="1134">
        <v>19850</v>
      </c>
      <c r="H23" s="1134"/>
      <c r="I23" s="1134"/>
      <c r="J23" s="1136">
        <f>+AVERAGE(E23:F23)</f>
        <v>18150</v>
      </c>
      <c r="K23" s="1136">
        <f t="shared" si="0"/>
        <v>0</v>
      </c>
    </row>
    <row r="24" spans="1:16" ht="24.95" customHeight="1" x14ac:dyDescent="0.25">
      <c r="A24" s="1139"/>
      <c r="B24" s="852"/>
      <c r="C24" s="852"/>
      <c r="D24" s="1133"/>
      <c r="E24" s="1130" t="s">
        <v>1009</v>
      </c>
      <c r="F24" s="1130" t="s">
        <v>95</v>
      </c>
      <c r="G24" s="1130" t="s">
        <v>346</v>
      </c>
      <c r="H24" s="1134"/>
      <c r="I24" s="1134"/>
      <c r="J24" s="1137"/>
      <c r="K24" s="1136"/>
    </row>
    <row r="25" spans="1:16" ht="24.95" customHeight="1" x14ac:dyDescent="0.25">
      <c r="A25" s="1139" t="s">
        <v>1010</v>
      </c>
      <c r="B25" s="852">
        <v>100</v>
      </c>
      <c r="C25" s="852" t="s">
        <v>1000</v>
      </c>
      <c r="D25" s="1133" t="s">
        <v>1011</v>
      </c>
      <c r="E25" s="1134">
        <v>440</v>
      </c>
      <c r="F25" s="1140">
        <v>278</v>
      </c>
      <c r="G25" s="1140">
        <v>200</v>
      </c>
      <c r="H25" s="1134"/>
      <c r="I25" s="1134"/>
      <c r="J25" s="803">
        <f>+G25</f>
        <v>200</v>
      </c>
      <c r="K25" s="1136">
        <f t="shared" si="0"/>
        <v>20000</v>
      </c>
    </row>
    <row r="26" spans="1:16" ht="24.95" customHeight="1" x14ac:dyDescent="0.25">
      <c r="A26" s="1139" t="s">
        <v>1012</v>
      </c>
      <c r="B26" s="852"/>
      <c r="C26" s="852" t="s">
        <v>1000</v>
      </c>
      <c r="D26" s="1133" t="s">
        <v>1013</v>
      </c>
      <c r="E26" s="1135">
        <v>7400</v>
      </c>
      <c r="F26" s="1135">
        <v>6000</v>
      </c>
      <c r="G26" s="1135">
        <v>10900</v>
      </c>
      <c r="H26" s="1135">
        <v>5620</v>
      </c>
      <c r="I26" s="1135">
        <v>5200</v>
      </c>
      <c r="J26" s="1136">
        <f>+I26</f>
        <v>5200</v>
      </c>
      <c r="K26" s="1136">
        <f t="shared" si="0"/>
        <v>0</v>
      </c>
    </row>
    <row r="27" spans="1:16" ht="24.95" customHeight="1" x14ac:dyDescent="0.25">
      <c r="A27" s="1139" t="s">
        <v>1014</v>
      </c>
      <c r="B27" s="852"/>
      <c r="C27" s="852" t="s">
        <v>1000</v>
      </c>
      <c r="D27" s="1133" t="s">
        <v>1013</v>
      </c>
      <c r="E27" s="1135">
        <v>5900</v>
      </c>
      <c r="F27" s="1135">
        <v>5900</v>
      </c>
      <c r="G27" s="1135">
        <v>4500</v>
      </c>
      <c r="H27" s="1135">
        <v>4640</v>
      </c>
      <c r="I27" s="1135">
        <v>3950</v>
      </c>
      <c r="J27" s="1136">
        <f>+I27</f>
        <v>3950</v>
      </c>
      <c r="K27" s="1136">
        <f t="shared" si="0"/>
        <v>0</v>
      </c>
    </row>
    <row r="28" spans="1:16" ht="24.95" customHeight="1" x14ac:dyDescent="0.25">
      <c r="A28" s="1139"/>
      <c r="B28" s="852"/>
      <c r="C28" s="852"/>
      <c r="D28" s="1133"/>
      <c r="E28" s="1135"/>
      <c r="F28" s="1135"/>
      <c r="G28" s="1135"/>
      <c r="H28" s="1130" t="s">
        <v>975</v>
      </c>
      <c r="I28" s="1135"/>
      <c r="J28" s="1137"/>
      <c r="K28" s="1136"/>
    </row>
    <row r="29" spans="1:16" ht="24.95" customHeight="1" x14ac:dyDescent="0.25">
      <c r="A29" s="1141" t="s">
        <v>1015</v>
      </c>
      <c r="B29" s="852"/>
      <c r="C29" s="852" t="s">
        <v>1000</v>
      </c>
      <c r="D29" s="1133" t="s">
        <v>1016</v>
      </c>
      <c r="E29" s="1134">
        <v>25500</v>
      </c>
      <c r="F29" s="1134"/>
      <c r="G29" s="1134">
        <v>21710</v>
      </c>
      <c r="H29" s="1134">
        <v>36900</v>
      </c>
      <c r="I29" s="1134"/>
      <c r="J29" s="1136">
        <f>+AVERAGE(E29:G29)</f>
        <v>23605</v>
      </c>
      <c r="K29" s="1136">
        <f t="shared" si="0"/>
        <v>0</v>
      </c>
    </row>
    <row r="30" spans="1:16" ht="24.95" customHeight="1" x14ac:dyDescent="0.25">
      <c r="A30" s="1139"/>
      <c r="B30" s="852"/>
      <c r="C30" s="852"/>
      <c r="D30" s="1143"/>
      <c r="E30" s="1130" t="s">
        <v>1017</v>
      </c>
      <c r="F30" s="1130" t="s">
        <v>1018</v>
      </c>
      <c r="G30" s="1130" t="s">
        <v>1019</v>
      </c>
      <c r="H30" s="1130" t="s">
        <v>1020</v>
      </c>
      <c r="I30" s="1144" t="s">
        <v>1021</v>
      </c>
      <c r="J30" s="1136"/>
      <c r="K30" s="1136"/>
    </row>
    <row r="31" spans="1:16" ht="24.95" customHeight="1" x14ac:dyDescent="0.25">
      <c r="A31" s="1139" t="s">
        <v>1022</v>
      </c>
      <c r="B31" s="852">
        <v>10</v>
      </c>
      <c r="C31" s="852" t="s">
        <v>1023</v>
      </c>
      <c r="D31" s="1137" t="s">
        <v>1024</v>
      </c>
      <c r="E31" s="1145">
        <f>+[8]Viveres!H55</f>
        <v>9250</v>
      </c>
      <c r="F31" s="1145">
        <f>+[8]Viveres!I55</f>
        <v>8950</v>
      </c>
      <c r="G31" s="1145">
        <f>+[8]Viveres!J55</f>
        <v>7050</v>
      </c>
      <c r="H31" s="1145"/>
      <c r="I31" s="1146">
        <v>4125</v>
      </c>
      <c r="J31" s="1142">
        <f>+I31</f>
        <v>4125</v>
      </c>
      <c r="K31" s="1147">
        <f>+ROUNDDOWN(B31*J31,0)</f>
        <v>41250</v>
      </c>
      <c r="L31" s="1148"/>
    </row>
    <row r="32" spans="1:16" ht="24.95" customHeight="1" x14ac:dyDescent="0.25">
      <c r="A32" s="1139" t="s">
        <v>1025</v>
      </c>
      <c r="B32" s="852">
        <v>10</v>
      </c>
      <c r="C32" s="852" t="s">
        <v>1023</v>
      </c>
      <c r="D32" s="1137" t="s">
        <v>1024</v>
      </c>
      <c r="E32" s="1145">
        <f>+[8]Viveres!H21</f>
        <v>5360</v>
      </c>
      <c r="F32" s="1145">
        <f>+[8]Viveres!I21</f>
        <v>7050</v>
      </c>
      <c r="G32" s="1145"/>
      <c r="H32" s="1145"/>
      <c r="I32" s="1146">
        <v>2850</v>
      </c>
      <c r="J32" s="1142">
        <f>+I32</f>
        <v>2850</v>
      </c>
      <c r="K32" s="1147">
        <f>+ROUNDDOWN(B32*J32,0)</f>
        <v>28500</v>
      </c>
      <c r="L32" s="1148"/>
    </row>
    <row r="33" spans="1:12" ht="24.95" customHeight="1" x14ac:dyDescent="0.25">
      <c r="A33" s="1139" t="s">
        <v>1026</v>
      </c>
      <c r="B33" s="852">
        <v>10</v>
      </c>
      <c r="C33" s="852" t="s">
        <v>1023</v>
      </c>
      <c r="D33" s="1137" t="s">
        <v>1024</v>
      </c>
      <c r="E33" s="1145">
        <v>3400</v>
      </c>
      <c r="F33" s="1145">
        <v>4400</v>
      </c>
      <c r="G33" s="1145"/>
      <c r="H33" s="1145"/>
      <c r="I33" s="1146">
        <v>1650</v>
      </c>
      <c r="J33" s="1142">
        <f>+I33</f>
        <v>1650</v>
      </c>
      <c r="K33" s="1147">
        <f>+ROUNDDOWN(B33*J33,0)</f>
        <v>16500</v>
      </c>
      <c r="L33" s="1148"/>
    </row>
    <row r="34" spans="1:12" ht="24.95" customHeight="1" x14ac:dyDescent="0.25">
      <c r="A34" s="1139" t="s">
        <v>1027</v>
      </c>
      <c r="B34" s="852">
        <v>10</v>
      </c>
      <c r="C34" s="852" t="s">
        <v>1023</v>
      </c>
      <c r="D34" s="1137" t="s">
        <v>1024</v>
      </c>
      <c r="E34" s="1145">
        <v>6900</v>
      </c>
      <c r="F34" s="1145">
        <v>7900</v>
      </c>
      <c r="G34" s="1145">
        <v>4400</v>
      </c>
      <c r="H34" s="1145"/>
      <c r="I34" s="1146">
        <v>2850</v>
      </c>
      <c r="J34" s="1142">
        <f>+I34</f>
        <v>2850</v>
      </c>
      <c r="K34" s="1147">
        <f>+ROUNDDOWN(B34*J34,0)</f>
        <v>28500</v>
      </c>
      <c r="L34" s="1148"/>
    </row>
    <row r="35" spans="1:12" ht="24" customHeight="1" x14ac:dyDescent="0.25">
      <c r="A35" s="1149" t="s">
        <v>701</v>
      </c>
      <c r="B35" s="1150"/>
      <c r="C35" s="1150"/>
      <c r="D35" s="1150"/>
      <c r="E35" s="1150"/>
      <c r="F35" s="1150"/>
      <c r="G35" s="1150"/>
      <c r="H35" s="1150"/>
      <c r="I35" s="1150"/>
      <c r="J35" s="1150"/>
      <c r="K35" s="1151">
        <f>SUM(K8:K34)</f>
        <v>1082324</v>
      </c>
    </row>
  </sheetData>
  <mergeCells count="1">
    <mergeCell ref="A6:K6"/>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E11"/>
  <sheetViews>
    <sheetView workbookViewId="0">
      <selection activeCell="B15" sqref="B15"/>
    </sheetView>
  </sheetViews>
  <sheetFormatPr baseColWidth="10" defaultRowHeight="15" x14ac:dyDescent="0.25"/>
  <sheetData>
    <row r="5" spans="1:5" ht="15.75" thickBot="1" x14ac:dyDescent="0.3"/>
    <row r="6" spans="1:5" ht="15.75" thickBot="1" x14ac:dyDescent="0.3">
      <c r="A6" s="1642" t="s">
        <v>960</v>
      </c>
      <c r="B6" s="1643"/>
      <c r="C6" s="1643"/>
      <c r="D6" s="1643"/>
      <c r="E6" s="1643"/>
    </row>
    <row r="7" spans="1:5" ht="89.25" customHeight="1" x14ac:dyDescent="0.25">
      <c r="A7" s="1115" t="s">
        <v>961</v>
      </c>
      <c r="B7" s="1644" t="s">
        <v>963</v>
      </c>
      <c r="C7" s="1644" t="s">
        <v>964</v>
      </c>
      <c r="D7" s="1644" t="s">
        <v>965</v>
      </c>
      <c r="E7" s="1646" t="s">
        <v>966</v>
      </c>
    </row>
    <row r="8" spans="1:5" ht="15.75" thickBot="1" x14ac:dyDescent="0.3">
      <c r="A8" s="1116" t="s">
        <v>962</v>
      </c>
      <c r="B8" s="1645"/>
      <c r="C8" s="1645"/>
      <c r="D8" s="1645"/>
      <c r="E8" s="1647"/>
    </row>
    <row r="9" spans="1:5" ht="15.75" thickBot="1" x14ac:dyDescent="0.3">
      <c r="A9" s="1117">
        <v>917</v>
      </c>
      <c r="B9" s="1118">
        <v>30</v>
      </c>
      <c r="C9" s="1118">
        <v>31</v>
      </c>
      <c r="D9" s="1118" t="s">
        <v>967</v>
      </c>
      <c r="E9" s="1119">
        <v>217</v>
      </c>
    </row>
    <row r="11" spans="1:5" x14ac:dyDescent="0.25">
      <c r="B11">
        <f>+B9*C9</f>
        <v>930</v>
      </c>
    </row>
  </sheetData>
  <mergeCells count="5">
    <mergeCell ref="A6:E6"/>
    <mergeCell ref="B7:B8"/>
    <mergeCell ref="C7:C8"/>
    <mergeCell ref="D7:D8"/>
    <mergeCell ref="E7:E8"/>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showGridLines="0" workbookViewId="0">
      <selection activeCell="F24" sqref="F24"/>
    </sheetView>
  </sheetViews>
  <sheetFormatPr baseColWidth="10" defaultRowHeight="15" x14ac:dyDescent="0.25"/>
  <cols>
    <col min="1" max="1" width="22.875" customWidth="1"/>
    <col min="8" max="9" width="17.75" customWidth="1"/>
    <col min="10" max="10" width="31.625" customWidth="1"/>
  </cols>
  <sheetData>
    <row r="1" spans="1:11" s="1226" customFormat="1" ht="15" customHeight="1" x14ac:dyDescent="0.25">
      <c r="A1" s="1449" t="s">
        <v>1109</v>
      </c>
      <c r="B1" s="1449"/>
      <c r="C1" s="1449"/>
      <c r="E1" s="1230"/>
    </row>
    <row r="2" spans="1:11" s="1226" customFormat="1" ht="15" customHeight="1" x14ac:dyDescent="0.25">
      <c r="A2" s="1449" t="s">
        <v>1076</v>
      </c>
      <c r="B2" s="1449"/>
      <c r="C2" s="1449"/>
      <c r="E2" s="1230"/>
    </row>
    <row r="3" spans="1:11" s="1226" customFormat="1" x14ac:dyDescent="0.25">
      <c r="A3" s="1449" t="s">
        <v>1122</v>
      </c>
      <c r="B3" s="1449"/>
      <c r="C3" s="1449"/>
      <c r="E3" s="1230"/>
    </row>
    <row r="4" spans="1:11" s="1226" customFormat="1" ht="15" customHeight="1" x14ac:dyDescent="0.25">
      <c r="A4" s="1449" t="s">
        <v>1075</v>
      </c>
      <c r="B4" s="1449"/>
      <c r="C4" s="1449"/>
      <c r="E4" s="1230"/>
    </row>
    <row r="5" spans="1:11" x14ac:dyDescent="0.25">
      <c r="A5" s="1173"/>
      <c r="B5" s="1173"/>
      <c r="C5" s="1173"/>
      <c r="D5" s="1173"/>
      <c r="E5" s="1173"/>
      <c r="F5" s="1173"/>
      <c r="G5" s="1173"/>
      <c r="H5" s="1173"/>
      <c r="I5" s="1173"/>
    </row>
    <row r="6" spans="1:11" ht="22.5" customHeight="1" x14ac:dyDescent="0.25">
      <c r="A6" s="1651" t="s">
        <v>1070</v>
      </c>
      <c r="B6" s="1651"/>
      <c r="C6" s="1651"/>
      <c r="D6" s="1651"/>
      <c r="E6" s="1651"/>
      <c r="F6" s="1651"/>
      <c r="G6" s="1651"/>
      <c r="H6" s="1651"/>
    </row>
    <row r="7" spans="1:11" ht="38.25" x14ac:dyDescent="0.25">
      <c r="A7" s="1213" t="s">
        <v>947</v>
      </c>
      <c r="B7" s="1213" t="s">
        <v>4</v>
      </c>
      <c r="C7" s="1213" t="s">
        <v>133</v>
      </c>
      <c r="D7" s="1216" t="s">
        <v>1088</v>
      </c>
      <c r="E7" s="1216" t="s">
        <v>1077</v>
      </c>
      <c r="F7" s="1216" t="s">
        <v>1089</v>
      </c>
      <c r="G7" s="1213" t="s">
        <v>949</v>
      </c>
      <c r="H7" s="1213" t="s">
        <v>701</v>
      </c>
      <c r="I7" s="1270" t="s">
        <v>1100</v>
      </c>
      <c r="J7" s="1270" t="s">
        <v>1101</v>
      </c>
    </row>
    <row r="8" spans="1:11" ht="22.5" customHeight="1" thickBot="1" x14ac:dyDescent="0.3">
      <c r="A8" s="1094" t="s">
        <v>1070</v>
      </c>
      <c r="B8" s="1174" t="s">
        <v>4</v>
      </c>
      <c r="C8" s="1179">
        <v>2000</v>
      </c>
      <c r="D8" s="1179">
        <v>2500</v>
      </c>
      <c r="E8" s="1179">
        <v>3000</v>
      </c>
      <c r="F8" s="1179">
        <v>3000</v>
      </c>
      <c r="G8" s="1176">
        <f>+F8</f>
        <v>3000</v>
      </c>
      <c r="H8" s="1176">
        <f>+C8*G8</f>
        <v>6000000</v>
      </c>
      <c r="I8" s="1176"/>
      <c r="J8" s="1176">
        <f>C8*I8</f>
        <v>0</v>
      </c>
    </row>
    <row r="9" spans="1:11" hidden="1" x14ac:dyDescent="0.25">
      <c r="A9" s="1177" t="s">
        <v>1043</v>
      </c>
      <c r="B9" s="1174" t="s">
        <v>4</v>
      </c>
      <c r="C9" s="1175">
        <v>0</v>
      </c>
      <c r="D9" s="1175"/>
      <c r="E9" s="1175"/>
      <c r="F9" s="1175"/>
      <c r="G9" s="1176">
        <v>0</v>
      </c>
      <c r="H9" s="1176">
        <f>+C9*G9</f>
        <v>0</v>
      </c>
      <c r="I9" s="1176"/>
      <c r="J9" s="1271">
        <f>+D9*H9</f>
        <v>0</v>
      </c>
    </row>
    <row r="10" spans="1:11" ht="15.75" thickBot="1" x14ac:dyDescent="0.3">
      <c r="A10" s="1648" t="s">
        <v>279</v>
      </c>
      <c r="B10" s="1649"/>
      <c r="C10" s="1649"/>
      <c r="D10" s="1649"/>
      <c r="E10" s="1649"/>
      <c r="F10" s="1649"/>
      <c r="G10" s="1650"/>
      <c r="H10" s="1214">
        <f>SUM(H8:H9)</f>
        <v>6000000</v>
      </c>
      <c r="J10" s="1272">
        <f>SUM(J8)</f>
        <v>0</v>
      </c>
      <c r="K10" t="s">
        <v>2</v>
      </c>
    </row>
    <row r="11" spans="1:11" x14ac:dyDescent="0.25">
      <c r="A11" s="1173"/>
      <c r="B11" s="1173"/>
      <c r="C11" s="1173"/>
      <c r="D11" s="1173"/>
      <c r="E11" s="1173"/>
      <c r="F11" s="1173"/>
      <c r="G11" s="1173"/>
      <c r="H11" s="1173"/>
      <c r="I11" s="1173"/>
    </row>
  </sheetData>
  <mergeCells count="6">
    <mergeCell ref="A10:G10"/>
    <mergeCell ref="A1:C1"/>
    <mergeCell ref="A2:C2"/>
    <mergeCell ref="A3:C3"/>
    <mergeCell ref="A4:C4"/>
    <mergeCell ref="A6:H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showGridLines="0" workbookViewId="0">
      <selection activeCell="E15" sqref="E15"/>
    </sheetView>
  </sheetViews>
  <sheetFormatPr baseColWidth="10" defaultRowHeight="15" x14ac:dyDescent="0.25"/>
  <cols>
    <col min="1" max="1" width="31.875" customWidth="1"/>
    <col min="4" max="4" width="18.75" customWidth="1"/>
    <col min="5" max="5" width="17.625" customWidth="1"/>
    <col min="6" max="6" width="17.125" customWidth="1"/>
    <col min="7" max="7" width="13.875" bestFit="1" customWidth="1"/>
  </cols>
  <sheetData>
    <row r="1" spans="1:7" s="1226" customFormat="1" ht="15" customHeight="1" x14ac:dyDescent="0.25">
      <c r="A1" s="1449" t="s">
        <v>1109</v>
      </c>
      <c r="B1" s="1449"/>
      <c r="C1" s="1449"/>
      <c r="E1" s="1230"/>
    </row>
    <row r="2" spans="1:7" s="1226" customFormat="1" ht="15" customHeight="1" x14ac:dyDescent="0.25">
      <c r="A2" s="1449" t="s">
        <v>1076</v>
      </c>
      <c r="B2" s="1449"/>
      <c r="C2" s="1449"/>
      <c r="E2" s="1230"/>
    </row>
    <row r="3" spans="1:7" s="1226" customFormat="1" x14ac:dyDescent="0.25">
      <c r="A3" s="1449" t="s">
        <v>1122</v>
      </c>
      <c r="B3" s="1449"/>
      <c r="C3" s="1449"/>
      <c r="E3" s="1230"/>
    </row>
    <row r="4" spans="1:7" s="1226" customFormat="1" ht="15" customHeight="1" x14ac:dyDescent="0.25">
      <c r="A4" s="1449" t="s">
        <v>1075</v>
      </c>
      <c r="B4" s="1449"/>
      <c r="C4" s="1449"/>
      <c r="E4" s="1230"/>
    </row>
    <row r="5" spans="1:7" x14ac:dyDescent="0.25">
      <c r="A5" s="1173"/>
      <c r="B5" s="1173"/>
      <c r="C5" s="1173"/>
      <c r="D5" s="1173"/>
    </row>
    <row r="6" spans="1:7" ht="22.5" customHeight="1" x14ac:dyDescent="0.25">
      <c r="A6" s="1651" t="s">
        <v>1066</v>
      </c>
      <c r="B6" s="1651"/>
      <c r="C6" s="1651"/>
      <c r="D6" s="1651"/>
    </row>
    <row r="7" spans="1:7" ht="25.5" x14ac:dyDescent="0.25">
      <c r="A7" s="1213" t="s">
        <v>947</v>
      </c>
      <c r="B7" s="1213" t="s">
        <v>133</v>
      </c>
      <c r="C7" s="1213" t="s">
        <v>1067</v>
      </c>
      <c r="D7" s="1213" t="s">
        <v>1068</v>
      </c>
      <c r="E7" s="1270" t="s">
        <v>1103</v>
      </c>
      <c r="F7" s="1270" t="s">
        <v>1104</v>
      </c>
    </row>
    <row r="8" spans="1:7" ht="60.75" customHeight="1" thickBot="1" x14ac:dyDescent="0.3">
      <c r="A8" s="1222" t="s">
        <v>1099</v>
      </c>
      <c r="B8" s="1174">
        <v>500</v>
      </c>
      <c r="C8" s="1179">
        <v>2000</v>
      </c>
      <c r="D8" s="1176">
        <f>+C8*B8</f>
        <v>1000000</v>
      </c>
      <c r="E8" s="1176"/>
      <c r="F8" s="1176">
        <f>B8*E8</f>
        <v>0</v>
      </c>
      <c r="G8" s="1219"/>
    </row>
    <row r="9" spans="1:7" hidden="1" x14ac:dyDescent="0.25">
      <c r="A9" s="1177" t="s">
        <v>1043</v>
      </c>
      <c r="B9" s="1174" t="s">
        <v>4</v>
      </c>
      <c r="C9" s="1175">
        <v>0</v>
      </c>
      <c r="D9" s="1176" t="e">
        <f>+C9*#REF!</f>
        <v>#REF!</v>
      </c>
      <c r="E9" s="1176"/>
      <c r="F9" s="1271" t="e">
        <f>+E9*#REF!</f>
        <v>#REF!</v>
      </c>
    </row>
    <row r="10" spans="1:7" ht="15.75" thickBot="1" x14ac:dyDescent="0.3">
      <c r="A10" s="1648" t="s">
        <v>279</v>
      </c>
      <c r="B10" s="1649"/>
      <c r="C10" s="1649"/>
      <c r="D10" s="1214">
        <f>D8</f>
        <v>1000000</v>
      </c>
      <c r="F10" s="1272">
        <f>SUM(F8)</f>
        <v>0</v>
      </c>
    </row>
    <row r="11" spans="1:7" x14ac:dyDescent="0.25">
      <c r="A11" s="1173"/>
      <c r="B11" s="1173"/>
      <c r="C11" s="1173"/>
      <c r="D11" s="1173"/>
    </row>
    <row r="12" spans="1:7" x14ac:dyDescent="0.25">
      <c r="A12" s="1173"/>
      <c r="B12" s="1173"/>
      <c r="C12" s="1173"/>
      <c r="D12" s="1173"/>
    </row>
    <row r="13" spans="1:7" x14ac:dyDescent="0.25">
      <c r="A13" s="1173"/>
      <c r="B13" s="1173"/>
      <c r="C13" s="1173"/>
      <c r="D13" s="1173"/>
    </row>
    <row r="14" spans="1:7" x14ac:dyDescent="0.25">
      <c r="A14" s="1173"/>
      <c r="B14" s="1173"/>
      <c r="C14" s="1173"/>
      <c r="D14" s="1173"/>
    </row>
  </sheetData>
  <mergeCells count="6">
    <mergeCell ref="A10:C10"/>
    <mergeCell ref="A1:C1"/>
    <mergeCell ref="A2:C2"/>
    <mergeCell ref="A3:C3"/>
    <mergeCell ref="A4:C4"/>
    <mergeCell ref="A6:D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workbookViewId="0">
      <selection activeCell="L18" sqref="L18:L21"/>
    </sheetView>
  </sheetViews>
  <sheetFormatPr baseColWidth="10" defaultColWidth="11.375" defaultRowHeight="11.25" x14ac:dyDescent="0.2"/>
  <cols>
    <col min="1" max="1" width="27.25" style="200" customWidth="1"/>
    <col min="2" max="3" width="14" style="200" customWidth="1"/>
    <col min="4" max="4" width="14.25" style="203" bestFit="1" customWidth="1"/>
    <col min="5" max="5" width="13" style="203" customWidth="1"/>
    <col min="6" max="6" width="13.125" style="204" customWidth="1"/>
    <col min="7" max="7" width="15.25" style="203" customWidth="1"/>
    <col min="8" max="8" width="12.25" style="203" customWidth="1"/>
    <col min="9" max="9" width="11.25" style="204" customWidth="1"/>
    <col min="10" max="10" width="7.875" style="200" customWidth="1"/>
    <col min="11" max="11" width="10" style="200" customWidth="1"/>
    <col min="12" max="12" width="13" style="203" customWidth="1"/>
    <col min="13" max="13" width="57.25" style="200" customWidth="1"/>
    <col min="14" max="16384" width="11.375" style="200"/>
  </cols>
  <sheetData>
    <row r="1" spans="1:13" x14ac:dyDescent="0.2">
      <c r="A1" s="1652" t="s">
        <v>180</v>
      </c>
      <c r="B1" s="1652"/>
      <c r="C1" s="1652"/>
      <c r="D1" s="1652"/>
      <c r="E1" s="1652"/>
      <c r="F1" s="1652"/>
      <c r="G1" s="1652"/>
      <c r="H1" s="1652"/>
      <c r="I1" s="1652"/>
      <c r="J1" s="1652"/>
      <c r="K1" s="1652"/>
      <c r="L1" s="1652"/>
    </row>
    <row r="2" spans="1:13" x14ac:dyDescent="0.2">
      <c r="A2" s="1652" t="s">
        <v>181</v>
      </c>
      <c r="B2" s="1652"/>
      <c r="C2" s="1652"/>
      <c r="D2" s="1652"/>
      <c r="E2" s="1652"/>
      <c r="F2" s="1652"/>
      <c r="G2" s="1652"/>
      <c r="H2" s="1652"/>
      <c r="I2" s="1652"/>
      <c r="J2" s="1652"/>
      <c r="K2" s="1652"/>
      <c r="L2" s="1652"/>
    </row>
    <row r="5" spans="1:13" x14ac:dyDescent="0.2">
      <c r="A5" s="1058" t="s">
        <v>71</v>
      </c>
      <c r="B5" s="1058" t="s">
        <v>182</v>
      </c>
      <c r="C5" s="1058" t="s">
        <v>641</v>
      </c>
      <c r="D5" s="1058" t="s">
        <v>183</v>
      </c>
      <c r="E5" s="1058" t="s">
        <v>184</v>
      </c>
      <c r="F5" s="1059" t="s">
        <v>185</v>
      </c>
      <c r="G5" s="1058" t="s">
        <v>186</v>
      </c>
      <c r="H5" s="1058" t="s">
        <v>187</v>
      </c>
      <c r="I5" s="1059" t="s">
        <v>185</v>
      </c>
      <c r="J5" s="1058" t="s">
        <v>5</v>
      </c>
      <c r="K5" s="1058" t="s">
        <v>188</v>
      </c>
      <c r="L5" s="1058" t="s">
        <v>189</v>
      </c>
    </row>
    <row r="6" spans="1:13" x14ac:dyDescent="0.2">
      <c r="A6" s="1058"/>
      <c r="B6" s="1058" t="s">
        <v>190</v>
      </c>
      <c r="C6" s="1058" t="s">
        <v>642</v>
      </c>
      <c r="D6" s="1058" t="s">
        <v>191</v>
      </c>
      <c r="E6" s="1058" t="s">
        <v>192</v>
      </c>
      <c r="F6" s="1059" t="s">
        <v>193</v>
      </c>
      <c r="G6" s="1058" t="s">
        <v>190</v>
      </c>
      <c r="H6" s="1058" t="s">
        <v>194</v>
      </c>
      <c r="I6" s="1059" t="s">
        <v>195</v>
      </c>
      <c r="J6" s="1060"/>
      <c r="K6" s="1060" t="s">
        <v>196</v>
      </c>
      <c r="L6" s="1058" t="s">
        <v>197</v>
      </c>
    </row>
    <row r="7" spans="1:13" x14ac:dyDescent="0.2">
      <c r="A7" s="1060"/>
      <c r="B7" s="1060"/>
      <c r="C7" s="1060"/>
      <c r="D7" s="1058" t="s">
        <v>198</v>
      </c>
      <c r="E7" s="1058"/>
      <c r="F7" s="1059" t="s">
        <v>199</v>
      </c>
      <c r="G7" s="1058" t="s">
        <v>200</v>
      </c>
      <c r="H7" s="1058" t="s">
        <v>200</v>
      </c>
      <c r="I7" s="1059" t="s">
        <v>199</v>
      </c>
      <c r="J7" s="1060"/>
      <c r="K7" s="1058" t="s">
        <v>199</v>
      </c>
      <c r="L7" s="1058" t="s">
        <v>199</v>
      </c>
    </row>
    <row r="8" spans="1:13" hidden="1" x14ac:dyDescent="0.2">
      <c r="A8" s="1061"/>
      <c r="B8" s="1061"/>
      <c r="C8" s="1061"/>
      <c r="D8" s="1062"/>
      <c r="E8" s="1062"/>
      <c r="F8" s="1063"/>
      <c r="G8" s="1062"/>
      <c r="H8" s="1062"/>
      <c r="I8" s="1063"/>
      <c r="J8" s="1061"/>
      <c r="K8" s="1061"/>
      <c r="L8" s="1062"/>
    </row>
    <row r="9" spans="1:13" hidden="1" x14ac:dyDescent="0.2">
      <c r="A9" s="1061" t="s">
        <v>201</v>
      </c>
      <c r="B9" s="1064">
        <f>+[9]Consolidado!C17</f>
        <v>2473785395.7878346</v>
      </c>
      <c r="C9" s="1064" t="s">
        <v>643</v>
      </c>
      <c r="D9" s="1065">
        <v>0.1</v>
      </c>
      <c r="E9" s="1066">
        <v>2.5000000000000001E-3</v>
      </c>
      <c r="F9" s="1063">
        <f>B9*D9</f>
        <v>247378539.57878348</v>
      </c>
      <c r="G9" s="1062">
        <v>1</v>
      </c>
      <c r="H9" s="1062">
        <v>4</v>
      </c>
      <c r="I9" s="1063">
        <f>F9*E9*H9</f>
        <v>2473785.3957878347</v>
      </c>
      <c r="J9" s="1063">
        <v>1.1599999999999999</v>
      </c>
      <c r="K9" s="1067">
        <f>(6000+5000)/2</f>
        <v>5500</v>
      </c>
      <c r="L9" s="1067">
        <f>(I9*J9)+K9</f>
        <v>2875091.0591138881</v>
      </c>
      <c r="M9" s="212"/>
    </row>
    <row r="10" spans="1:13" hidden="1" x14ac:dyDescent="0.2">
      <c r="A10" s="1061" t="s">
        <v>202</v>
      </c>
      <c r="B10" s="1064">
        <f>+[9]Consolidado!C29</f>
        <v>2479563179.7878346</v>
      </c>
      <c r="C10" s="1064" t="s">
        <v>644</v>
      </c>
      <c r="D10" s="1065">
        <v>0.1</v>
      </c>
      <c r="E10" s="1066">
        <v>7.4999999999999997E-3</v>
      </c>
      <c r="F10" s="1063">
        <f>B10*D10</f>
        <v>247956317.97878349</v>
      </c>
      <c r="G10" s="1062">
        <v>1</v>
      </c>
      <c r="H10" s="1062">
        <v>1.4</v>
      </c>
      <c r="I10" s="1063">
        <f>F10*E10*H10</f>
        <v>2603541.3387772264</v>
      </c>
      <c r="J10" s="1063">
        <v>1.1599999999999999</v>
      </c>
      <c r="K10" s="1067">
        <f>(6000+5000)/2</f>
        <v>5500</v>
      </c>
      <c r="L10" s="1067">
        <f>(I10*J10)+K10</f>
        <v>3025607.9529815824</v>
      </c>
    </row>
    <row r="11" spans="1:13" hidden="1" x14ac:dyDescent="0.2">
      <c r="A11" s="1061" t="s">
        <v>203</v>
      </c>
      <c r="B11" s="1064">
        <f>+B10</f>
        <v>2479563179.7878346</v>
      </c>
      <c r="C11" s="1064"/>
      <c r="D11" s="1065">
        <v>0.1</v>
      </c>
      <c r="E11" s="1066">
        <v>3.0000000000000001E-3</v>
      </c>
      <c r="F11" s="1063">
        <f>B11*D11</f>
        <v>247956317.97878349</v>
      </c>
      <c r="G11" s="1062">
        <v>1</v>
      </c>
      <c r="H11" s="1062">
        <v>1.4</v>
      </c>
      <c r="I11" s="1063">
        <f>F11*E11*H11</f>
        <v>1041416.5355108907</v>
      </c>
      <c r="J11" s="1063">
        <v>1.1599999999999999</v>
      </c>
      <c r="K11" s="1067">
        <f>(6000+5000)/2</f>
        <v>5500</v>
      </c>
      <c r="L11" s="1067">
        <f>(I11*J11)+K11</f>
        <v>1213543.181192633</v>
      </c>
    </row>
    <row r="12" spans="1:13" hidden="1" x14ac:dyDescent="0.2">
      <c r="A12" s="1061" t="s">
        <v>204</v>
      </c>
      <c r="B12" s="1064">
        <f>+B11</f>
        <v>2479563179.7878346</v>
      </c>
      <c r="C12" s="1064" t="s">
        <v>643</v>
      </c>
      <c r="D12" s="1065">
        <v>0.1</v>
      </c>
      <c r="E12" s="1066">
        <v>3.0000000000000001E-3</v>
      </c>
      <c r="F12" s="1063">
        <f>B12*D12</f>
        <v>247956317.97878349</v>
      </c>
      <c r="G12" s="1062">
        <v>1</v>
      </c>
      <c r="H12" s="1062">
        <v>1.4</v>
      </c>
      <c r="I12" s="1063">
        <f>F12*E12*H12</f>
        <v>1041416.5355108907</v>
      </c>
      <c r="J12" s="1063">
        <v>1.1599999999999999</v>
      </c>
      <c r="K12" s="1067">
        <f>(6000+5000)/2</f>
        <v>5500</v>
      </c>
      <c r="L12" s="1067">
        <f>(I12*J12)+K12</f>
        <v>1213543.181192633</v>
      </c>
    </row>
    <row r="13" spans="1:13" ht="22.5" hidden="1" x14ac:dyDescent="0.2">
      <c r="A13" s="1061" t="s">
        <v>205</v>
      </c>
      <c r="B13" s="1064">
        <f>B12*D13</f>
        <v>495912635.95756698</v>
      </c>
      <c r="C13" s="1068" t="s">
        <v>645</v>
      </c>
      <c r="D13" s="1065">
        <v>0.2</v>
      </c>
      <c r="E13" s="1066">
        <v>2.5000000000000001E-3</v>
      </c>
      <c r="F13" s="1063">
        <f>+B13</f>
        <v>495912635.95756698</v>
      </c>
      <c r="G13" s="1062">
        <v>1</v>
      </c>
      <c r="H13" s="1062">
        <v>1.4</v>
      </c>
      <c r="I13" s="1063">
        <f>F13*E13*H13</f>
        <v>1735694.2258514846</v>
      </c>
      <c r="J13" s="1063">
        <v>1.1599999999999999</v>
      </c>
      <c r="K13" s="1067">
        <f>(6000+5000)/2</f>
        <v>5500</v>
      </c>
      <c r="L13" s="1067">
        <v>0</v>
      </c>
    </row>
    <row r="14" spans="1:13" hidden="1" x14ac:dyDescent="0.2">
      <c r="A14" s="1061"/>
      <c r="B14" s="1061"/>
      <c r="C14" s="1061"/>
      <c r="D14" s="1062"/>
      <c r="E14" s="1062"/>
      <c r="F14" s="1063"/>
      <c r="G14" s="1062"/>
      <c r="H14" s="1062"/>
      <c r="I14" s="1063"/>
      <c r="J14" s="1061"/>
      <c r="K14" s="1061"/>
      <c r="L14" s="1069">
        <f>SUM(L9:L13)</f>
        <v>8327785.3744807355</v>
      </c>
    </row>
    <row r="15" spans="1:13" hidden="1" x14ac:dyDescent="0.2">
      <c r="A15" s="1061"/>
      <c r="B15" s="1061"/>
      <c r="C15" s="1061"/>
      <c r="D15" s="1062"/>
      <c r="E15" s="1062"/>
      <c r="F15" s="1063"/>
      <c r="G15" s="1062"/>
      <c r="H15" s="1062"/>
      <c r="I15" s="1063"/>
      <c r="J15" s="1061"/>
      <c r="K15" s="1061"/>
      <c r="L15" s="1062"/>
    </row>
    <row r="16" spans="1:13" hidden="1" x14ac:dyDescent="0.2">
      <c r="A16" s="1060"/>
      <c r="B16" s="1061"/>
      <c r="C16" s="1061"/>
      <c r="D16" s="1062"/>
      <c r="E16" s="1062"/>
      <c r="F16" s="1063"/>
      <c r="G16" s="1062"/>
      <c r="H16" s="1062"/>
      <c r="I16" s="1063"/>
      <c r="J16" s="1061"/>
      <c r="K16" s="1061"/>
      <c r="L16" s="1062"/>
    </row>
    <row r="17" spans="1:13" x14ac:dyDescent="0.2">
      <c r="A17" s="1061"/>
      <c r="B17" s="1061"/>
      <c r="C17" s="1061"/>
      <c r="D17" s="1062"/>
      <c r="E17" s="1062"/>
      <c r="F17" s="1063"/>
      <c r="G17" s="1062"/>
      <c r="H17" s="1062"/>
      <c r="I17" s="1063"/>
      <c r="J17" s="1061"/>
      <c r="K17" s="1061"/>
      <c r="L17" s="1062"/>
    </row>
    <row r="18" spans="1:13" x14ac:dyDescent="0.2">
      <c r="A18" s="1061" t="s">
        <v>201</v>
      </c>
      <c r="B18" s="1063">
        <f>+'Consolidado '!C25</f>
        <v>0</v>
      </c>
      <c r="C18" s="1063"/>
      <c r="D18" s="1071">
        <v>0.05</v>
      </c>
      <c r="E18" s="1056">
        <v>3.0000000000000001E-3</v>
      </c>
      <c r="F18" s="1070">
        <f>+B18*D18</f>
        <v>0</v>
      </c>
      <c r="G18" s="1062">
        <f>+'Consolidado '!B8*30</f>
        <v>30</v>
      </c>
      <c r="H18" s="1067">
        <f>G18+(3*365)</f>
        <v>1125</v>
      </c>
      <c r="I18" s="1070">
        <f>(F18*E18)*H18/366</f>
        <v>0</v>
      </c>
      <c r="J18" s="1063">
        <v>1.19</v>
      </c>
      <c r="K18" s="1067">
        <v>0</v>
      </c>
      <c r="L18" s="1063">
        <f>ROUNDDOWN((I18*J18)+K18,0)</f>
        <v>0</v>
      </c>
      <c r="M18" s="212"/>
    </row>
    <row r="19" spans="1:13" x14ac:dyDescent="0.2">
      <c r="A19" s="1061" t="s">
        <v>202</v>
      </c>
      <c r="B19" s="1063">
        <f>+B18</f>
        <v>0</v>
      </c>
      <c r="C19" s="1063"/>
      <c r="D19" s="1071">
        <v>0.1</v>
      </c>
      <c r="E19" s="1057">
        <v>4.0000000000000001E-3</v>
      </c>
      <c r="F19" s="1070">
        <f>+B19*D19</f>
        <v>0</v>
      </c>
      <c r="G19" s="1062">
        <f>+G18</f>
        <v>30</v>
      </c>
      <c r="H19" s="1067">
        <f>(G19+120)</f>
        <v>150</v>
      </c>
      <c r="I19" s="1070">
        <f>(F19*E19)*H19/366</f>
        <v>0</v>
      </c>
      <c r="J19" s="1063">
        <v>1.19</v>
      </c>
      <c r="K19" s="1067">
        <v>0</v>
      </c>
      <c r="L19" s="1063">
        <f>ROUNDDOWN((I19*J19)+K19,0)</f>
        <v>0</v>
      </c>
    </row>
    <row r="20" spans="1:13" x14ac:dyDescent="0.2">
      <c r="A20" s="1061" t="s">
        <v>203</v>
      </c>
      <c r="B20" s="1063">
        <f>+B19</f>
        <v>0</v>
      </c>
      <c r="C20" s="1063"/>
      <c r="D20" s="1055">
        <f>+D11</f>
        <v>0.1</v>
      </c>
      <c r="E20" s="1056">
        <v>4.0000000000000001E-3</v>
      </c>
      <c r="F20" s="1070">
        <f>+B20*D20</f>
        <v>0</v>
      </c>
      <c r="G20" s="1062">
        <f>+G19</f>
        <v>30</v>
      </c>
      <c r="H20" s="1067">
        <f>(G20+120)</f>
        <v>150</v>
      </c>
      <c r="I20" s="1070">
        <f>(F20*E20)*H20/366</f>
        <v>0</v>
      </c>
      <c r="J20" s="1063">
        <v>1.19</v>
      </c>
      <c r="K20" s="1067">
        <v>0</v>
      </c>
      <c r="L20" s="1063">
        <f>ROUNDDOWN((I20*J20)+K20,0)</f>
        <v>0</v>
      </c>
    </row>
    <row r="21" spans="1:13" x14ac:dyDescent="0.2">
      <c r="A21" s="1061" t="s">
        <v>204</v>
      </c>
      <c r="B21" s="1063">
        <f>+B20</f>
        <v>0</v>
      </c>
      <c r="C21" s="1063"/>
      <c r="D21" s="1071">
        <v>0.05</v>
      </c>
      <c r="E21" s="1056">
        <v>5.0000000000000001E-3</v>
      </c>
      <c r="F21" s="1070">
        <f>+B21*D21</f>
        <v>0</v>
      </c>
      <c r="G21" s="1062">
        <f>+G20</f>
        <v>30</v>
      </c>
      <c r="H21" s="1067">
        <f>+G21</f>
        <v>30</v>
      </c>
      <c r="I21" s="1070">
        <f>(F21*E21)*H21/366</f>
        <v>0</v>
      </c>
      <c r="J21" s="1063">
        <v>1.19</v>
      </c>
      <c r="K21" s="1067">
        <v>0</v>
      </c>
      <c r="L21" s="1063">
        <f>ROUNDDOWN((I21*J21)+K21,0)</f>
        <v>0</v>
      </c>
    </row>
    <row r="22" spans="1:13" x14ac:dyDescent="0.2">
      <c r="A22" s="1061" t="s">
        <v>205</v>
      </c>
      <c r="B22" s="1063">
        <f>B21*D22</f>
        <v>0</v>
      </c>
      <c r="C22" s="1063"/>
      <c r="D22" s="1055">
        <v>0.5</v>
      </c>
      <c r="E22" s="1056">
        <v>2.5000000000000001E-3</v>
      </c>
      <c r="F22" s="1063">
        <v>1939840070.2635238</v>
      </c>
      <c r="G22" s="1062">
        <f>6*30</f>
        <v>180</v>
      </c>
      <c r="H22" s="1067">
        <f>(180+120)</f>
        <v>300</v>
      </c>
      <c r="I22" s="1063">
        <f>(F22*E22)*H22/365</f>
        <v>3985972.7471168302</v>
      </c>
      <c r="J22" s="1063">
        <v>1.19</v>
      </c>
      <c r="K22" s="1067">
        <f>(6000+5000)/2</f>
        <v>5500</v>
      </c>
      <c r="L22" s="1063">
        <v>0</v>
      </c>
    </row>
    <row r="23" spans="1:13" x14ac:dyDescent="0.2">
      <c r="L23" s="201">
        <f>SUM(L18:L22)+K19</f>
        <v>0</v>
      </c>
    </row>
    <row r="24" spans="1:13" hidden="1" x14ac:dyDescent="0.2"/>
    <row r="25" spans="1:13" hidden="1" x14ac:dyDescent="0.2">
      <c r="K25" s="208"/>
      <c r="L25" s="204"/>
    </row>
    <row r="26" spans="1:13" hidden="1" x14ac:dyDescent="0.2"/>
    <row r="27" spans="1:13" hidden="1" x14ac:dyDescent="0.2">
      <c r="A27" s="202" t="s">
        <v>206</v>
      </c>
    </row>
    <row r="28" spans="1:13" hidden="1" x14ac:dyDescent="0.2"/>
    <row r="29" spans="1:13" hidden="1" x14ac:dyDescent="0.2">
      <c r="A29" s="200" t="s">
        <v>201</v>
      </c>
      <c r="B29" s="204">
        <v>46085496.729999997</v>
      </c>
      <c r="C29" s="204"/>
      <c r="D29" s="205">
        <v>0.1</v>
      </c>
      <c r="E29" s="206">
        <v>2.5000000000000001E-3</v>
      </c>
      <c r="F29" s="204">
        <f>B29*D29</f>
        <v>4608549.6729999995</v>
      </c>
      <c r="G29" s="203">
        <v>30</v>
      </c>
      <c r="H29" s="207">
        <f>G29+(3*365)</f>
        <v>1125</v>
      </c>
      <c r="I29" s="204">
        <f>(F29*E29)*H29/365</f>
        <v>35511.084809075342</v>
      </c>
      <c r="J29" s="204">
        <v>1.1599999999999999</v>
      </c>
      <c r="K29" s="207">
        <f>(6000+5000)/2</f>
        <v>5500</v>
      </c>
      <c r="L29" s="204">
        <f>(I29*J29)+K29</f>
        <v>46692.858378527395</v>
      </c>
      <c r="M29" s="212"/>
    </row>
    <row r="30" spans="1:13" hidden="1" x14ac:dyDescent="0.2">
      <c r="A30" s="200" t="s">
        <v>202</v>
      </c>
      <c r="B30" s="204">
        <v>46085496.729999997</v>
      </c>
      <c r="C30" s="204"/>
      <c r="D30" s="205">
        <f>+D21</f>
        <v>0.05</v>
      </c>
      <c r="E30" s="206">
        <f>+E21</f>
        <v>5.0000000000000001E-3</v>
      </c>
      <c r="F30" s="204">
        <f>B30*D30</f>
        <v>2304274.8364999997</v>
      </c>
      <c r="G30" s="203">
        <v>30</v>
      </c>
      <c r="H30" s="207">
        <f>(30+120)</f>
        <v>150</v>
      </c>
      <c r="I30" s="204">
        <f>(F30*E30)*H30/365</f>
        <v>4734.8113078767119</v>
      </c>
      <c r="J30" s="204">
        <v>1.1599999999999999</v>
      </c>
      <c r="K30" s="207">
        <f>(6000+5000)/2</f>
        <v>5500</v>
      </c>
      <c r="L30" s="204">
        <f>(I30*J30)+K30</f>
        <v>10992.381117136985</v>
      </c>
    </row>
    <row r="31" spans="1:13" hidden="1" x14ac:dyDescent="0.2">
      <c r="A31" s="200" t="s">
        <v>203</v>
      </c>
      <c r="B31" s="204">
        <v>46085496.729999997</v>
      </c>
      <c r="C31" s="204"/>
      <c r="D31" s="205">
        <v>0.1</v>
      </c>
      <c r="E31" s="206">
        <f>+E22</f>
        <v>2.5000000000000001E-3</v>
      </c>
      <c r="F31" s="204">
        <f>B31*D31</f>
        <v>4608549.6729999995</v>
      </c>
      <c r="G31" s="203">
        <v>30</v>
      </c>
      <c r="H31" s="207">
        <f>(30+120)</f>
        <v>150</v>
      </c>
      <c r="I31" s="204">
        <f>(F31*E31)*H31/365</f>
        <v>4734.8113078767119</v>
      </c>
      <c r="J31" s="204">
        <v>1.1599999999999999</v>
      </c>
      <c r="K31" s="207">
        <f>(6000+5000)/2</f>
        <v>5500</v>
      </c>
      <c r="L31" s="204">
        <f>(I31*J31)+K31</f>
        <v>10992.381117136985</v>
      </c>
    </row>
    <row r="32" spans="1:13" hidden="1" x14ac:dyDescent="0.2">
      <c r="A32" s="200" t="s">
        <v>204</v>
      </c>
      <c r="B32" s="204">
        <v>46085496.729999997</v>
      </c>
      <c r="C32" s="204"/>
      <c r="D32" s="205">
        <v>0.1</v>
      </c>
      <c r="E32" s="206">
        <v>3.0000000000000001E-3</v>
      </c>
      <c r="F32" s="204">
        <f>B32*D32</f>
        <v>4608549.6729999995</v>
      </c>
      <c r="G32" s="203">
        <v>30</v>
      </c>
      <c r="H32" s="207">
        <f>(30+120)</f>
        <v>150</v>
      </c>
      <c r="I32" s="204">
        <f>(F32*E32)*H32/365</f>
        <v>5681.7735694520543</v>
      </c>
      <c r="J32" s="204">
        <v>1.1599999999999999</v>
      </c>
      <c r="K32" s="207">
        <f>(6000+5000)/2</f>
        <v>5500</v>
      </c>
      <c r="L32" s="204">
        <f>(I32*J32)+K32</f>
        <v>12090.857340564384</v>
      </c>
    </row>
    <row r="33" spans="1:12" hidden="1" x14ac:dyDescent="0.2">
      <c r="A33" s="200" t="s">
        <v>205</v>
      </c>
      <c r="B33" s="204">
        <f>B32*D33</f>
        <v>9217099.345999999</v>
      </c>
      <c r="C33" s="204"/>
      <c r="D33" s="205">
        <v>0.2</v>
      </c>
      <c r="E33" s="206">
        <v>2.5000000000000001E-3</v>
      </c>
      <c r="F33" s="204">
        <f>+B33</f>
        <v>9217099.345999999</v>
      </c>
      <c r="G33" s="203">
        <v>30</v>
      </c>
      <c r="H33" s="207">
        <f>(30+120)</f>
        <v>150</v>
      </c>
      <c r="I33" s="204">
        <f>(F33*E33)*H33/365</f>
        <v>9469.6226157534238</v>
      </c>
      <c r="J33" s="204">
        <v>1.1599999999999999</v>
      </c>
      <c r="K33" s="207">
        <f>(6000+5000)/2</f>
        <v>5500</v>
      </c>
      <c r="L33" s="204">
        <f>(I33*J33)+K33</f>
        <v>16484.762234273971</v>
      </c>
    </row>
    <row r="34" spans="1:12" x14ac:dyDescent="0.2">
      <c r="L34" s="201"/>
    </row>
    <row r="35" spans="1:12" ht="15" x14ac:dyDescent="0.25">
      <c r="A35" s="202" t="s">
        <v>646</v>
      </c>
      <c r="B35" s="762">
        <v>430000644</v>
      </c>
      <c r="C35" s="762"/>
      <c r="D35" s="762">
        <v>388450898.78786826</v>
      </c>
    </row>
    <row r="36" spans="1:12" ht="15" x14ac:dyDescent="0.25">
      <c r="A36" s="763">
        <v>0.05</v>
      </c>
      <c r="B36" s="762">
        <f>+B35*5%</f>
        <v>21500032.200000003</v>
      </c>
      <c r="C36" s="762"/>
      <c r="D36" s="762">
        <f>+D35*5%</f>
        <v>19422544.939393412</v>
      </c>
    </row>
    <row r="37" spans="1:12" ht="15" x14ac:dyDescent="0.25">
      <c r="A37" s="764" t="s">
        <v>647</v>
      </c>
      <c r="B37" s="762">
        <f>+B36/12</f>
        <v>1791669.3500000003</v>
      </c>
      <c r="C37" s="762"/>
      <c r="D37" s="762">
        <f>+D36/12</f>
        <v>1618545.4116161177</v>
      </c>
    </row>
    <row r="38" spans="1:12" ht="15" x14ac:dyDescent="0.25">
      <c r="A38" s="764" t="s">
        <v>648</v>
      </c>
      <c r="B38" s="762">
        <f>+B37*4</f>
        <v>7166677.4000000013</v>
      </c>
      <c r="C38" s="762"/>
      <c r="D38" s="762">
        <f>+D37*4</f>
        <v>6474181.6464644708</v>
      </c>
    </row>
    <row r="39" spans="1:12" ht="15" x14ac:dyDescent="0.25">
      <c r="A39" s="764" t="s">
        <v>649</v>
      </c>
      <c r="B39" s="762">
        <f>+B38*1.16</f>
        <v>8313345.7840000009</v>
      </c>
      <c r="C39" s="762"/>
      <c r="D39" s="762">
        <f>+D38*1.16</f>
        <v>7510050.7098987857</v>
      </c>
    </row>
    <row r="42" spans="1:12" x14ac:dyDescent="0.2">
      <c r="G42" s="212" t="s">
        <v>186</v>
      </c>
    </row>
    <row r="43" spans="1:12" x14ac:dyDescent="0.2">
      <c r="A43" s="202" t="s">
        <v>650</v>
      </c>
      <c r="B43" s="200" t="s">
        <v>651</v>
      </c>
      <c r="C43" s="763">
        <v>0.1</v>
      </c>
      <c r="G43" s="203" t="s">
        <v>652</v>
      </c>
    </row>
  </sheetData>
  <mergeCells count="2">
    <mergeCell ref="A1:L1"/>
    <mergeCell ref="A2:L2"/>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3"/>
  <sheetViews>
    <sheetView topLeftCell="A34" workbookViewId="0">
      <selection activeCell="O51" sqref="O51"/>
    </sheetView>
  </sheetViews>
  <sheetFormatPr baseColWidth="10" defaultColWidth="11.375" defaultRowHeight="15" x14ac:dyDescent="0.25"/>
  <cols>
    <col min="1" max="1" width="37" style="213" customWidth="1"/>
    <col min="2" max="2" width="15.875" style="215" customWidth="1"/>
    <col min="3" max="4" width="8.625" style="215" customWidth="1"/>
    <col min="5" max="5" width="13.25" style="215" customWidth="1"/>
    <col min="6" max="6" width="12.125" style="215" customWidth="1"/>
    <col min="7" max="8" width="12.25" style="215" customWidth="1"/>
    <col min="9" max="14" width="13.875" style="213" hidden="1" customWidth="1"/>
    <col min="15" max="16" width="13.875" style="213" customWidth="1"/>
    <col min="17" max="17" width="11.375" style="283"/>
    <col min="18" max="16384" width="11.375" style="214"/>
  </cols>
  <sheetData>
    <row r="1" spans="1:18" x14ac:dyDescent="0.25">
      <c r="A1" s="1668" t="s">
        <v>0</v>
      </c>
      <c r="B1" s="1668"/>
      <c r="C1" s="1668"/>
      <c r="D1" s="1668"/>
      <c r="E1" s="1668"/>
      <c r="F1" s="1668"/>
      <c r="G1" s="1668"/>
      <c r="H1" s="1668"/>
      <c r="I1" s="1668"/>
      <c r="J1" s="1668"/>
      <c r="K1" s="1668"/>
      <c r="L1" s="1668"/>
      <c r="M1" s="1668"/>
      <c r="N1" s="1668"/>
      <c r="O1" s="1668"/>
      <c r="P1" s="1668"/>
    </row>
    <row r="2" spans="1:18" ht="6.75" customHeight="1" x14ac:dyDescent="0.25">
      <c r="A2" s="1669" t="s">
        <v>1</v>
      </c>
      <c r="B2" s="1669"/>
      <c r="C2" s="1669"/>
      <c r="D2" s="1669"/>
      <c r="E2" s="1669"/>
      <c r="F2" s="1669"/>
      <c r="G2" s="1669"/>
      <c r="H2" s="1669"/>
      <c r="I2" s="1669"/>
      <c r="J2" s="1669"/>
      <c r="K2" s="1669"/>
      <c r="L2" s="1669"/>
      <c r="M2" s="1669"/>
      <c r="N2" s="1669"/>
      <c r="O2" s="1669"/>
      <c r="P2" s="1669"/>
    </row>
    <row r="3" spans="1:18" ht="6.75" customHeight="1" x14ac:dyDescent="0.25">
      <c r="A3" s="1668" t="s">
        <v>12</v>
      </c>
      <c r="B3" s="1668"/>
      <c r="C3" s="1668"/>
      <c r="D3" s="1668"/>
      <c r="E3" s="1668"/>
      <c r="F3" s="1668"/>
      <c r="G3" s="1668"/>
      <c r="H3" s="1668"/>
      <c r="I3" s="1668"/>
      <c r="J3" s="1668"/>
      <c r="K3" s="1668"/>
      <c r="L3" s="1668"/>
      <c r="M3" s="1668"/>
      <c r="N3" s="1668"/>
      <c r="O3" s="1668"/>
      <c r="P3" s="1668"/>
    </row>
    <row r="4" spans="1:18" ht="6.75" customHeight="1" thickBot="1" x14ac:dyDescent="0.3">
      <c r="A4" s="293"/>
      <c r="B4" s="293"/>
      <c r="C4" s="293"/>
      <c r="D4" s="293"/>
      <c r="E4" s="293"/>
      <c r="F4" s="293"/>
      <c r="G4" s="293"/>
      <c r="H4" s="293"/>
      <c r="I4" s="293"/>
      <c r="J4" s="293"/>
      <c r="K4" s="293"/>
      <c r="L4" s="293"/>
      <c r="M4" s="293"/>
      <c r="N4" s="293"/>
      <c r="O4" s="293"/>
      <c r="P4" s="293"/>
    </row>
    <row r="5" spans="1:18" ht="15.75" hidden="1" thickBot="1" x14ac:dyDescent="0.3">
      <c r="A5" s="1670"/>
      <c r="B5" s="294"/>
      <c r="C5" s="294"/>
      <c r="D5" s="294"/>
      <c r="E5" s="294"/>
      <c r="F5" s="294"/>
      <c r="G5" s="295"/>
      <c r="H5" s="295"/>
      <c r="I5" s="1671">
        <v>2008</v>
      </c>
      <c r="J5" s="1664"/>
      <c r="K5" s="1664">
        <v>2009</v>
      </c>
      <c r="L5" s="1664"/>
      <c r="M5" s="1664">
        <v>2010</v>
      </c>
      <c r="N5" s="1664"/>
      <c r="O5" s="1664">
        <v>2011</v>
      </c>
      <c r="P5" s="1667"/>
    </row>
    <row r="6" spans="1:18" x14ac:dyDescent="0.25">
      <c r="A6" s="1670"/>
      <c r="B6" s="295"/>
      <c r="C6" s="295"/>
      <c r="D6" s="295"/>
      <c r="E6" s="295"/>
      <c r="F6" s="295"/>
      <c r="G6" s="1673" t="s">
        <v>281</v>
      </c>
      <c r="H6" s="1674"/>
      <c r="I6" s="1672">
        <v>7.6700000000000004E-2</v>
      </c>
      <c r="J6" s="1659"/>
      <c r="K6" s="1659">
        <v>0.02</v>
      </c>
      <c r="L6" s="1659"/>
      <c r="M6" s="1659">
        <v>3.1699999999999999E-2</v>
      </c>
      <c r="N6" s="1659"/>
      <c r="O6" s="1659"/>
      <c r="P6" s="1660"/>
    </row>
    <row r="7" spans="1:18" ht="18" customHeight="1" x14ac:dyDescent="0.25">
      <c r="A7" s="296"/>
      <c r="B7" s="294"/>
      <c r="C7" s="294"/>
      <c r="D7" s="294"/>
      <c r="E7" s="294"/>
      <c r="F7" s="294"/>
      <c r="G7" s="1656" t="s">
        <v>282</v>
      </c>
      <c r="H7" s="1657"/>
      <c r="I7" s="1661"/>
      <c r="J7" s="1662"/>
      <c r="K7" s="1662"/>
      <c r="L7" s="1662"/>
      <c r="M7" s="1662">
        <v>2.9000000000000001E-2</v>
      </c>
      <c r="N7" s="1662"/>
      <c r="O7" s="1662">
        <v>3.7699999999999997E-2</v>
      </c>
      <c r="P7" s="1663"/>
    </row>
    <row r="8" spans="1:18" ht="15.75" customHeight="1" thickBot="1" x14ac:dyDescent="0.3">
      <c r="A8" s="297"/>
      <c r="B8" s="295"/>
      <c r="C8" s="295"/>
      <c r="D8" s="295"/>
      <c r="E8" s="295"/>
      <c r="F8" s="295"/>
      <c r="G8" s="1665" t="s">
        <v>283</v>
      </c>
      <c r="H8" s="1666"/>
      <c r="I8" s="1658">
        <v>7.6700000000000004E-2</v>
      </c>
      <c r="J8" s="1654"/>
      <c r="K8" s="1654">
        <v>3.6425800000000001E-2</v>
      </c>
      <c r="L8" s="1654"/>
      <c r="M8" s="1654">
        <v>0.04</v>
      </c>
      <c r="N8" s="1654"/>
      <c r="O8" s="1654">
        <v>5.8000000000000003E-2</v>
      </c>
      <c r="P8" s="1655"/>
    </row>
    <row r="9" spans="1:18" ht="15" customHeight="1" x14ac:dyDescent="0.25">
      <c r="A9" s="1308" t="s">
        <v>211</v>
      </c>
      <c r="B9" s="1310" t="s">
        <v>13</v>
      </c>
      <c r="C9" s="1310"/>
      <c r="D9" s="1310"/>
      <c r="E9" s="1676" t="s">
        <v>14</v>
      </c>
      <c r="F9" s="1676"/>
      <c r="G9" s="1676"/>
      <c r="H9" s="1676"/>
      <c r="I9" s="1677" t="s">
        <v>15</v>
      </c>
      <c r="J9" s="1677"/>
      <c r="K9" s="1677"/>
      <c r="L9" s="1677"/>
      <c r="M9" s="1677"/>
      <c r="N9" s="1677"/>
      <c r="O9" s="1677"/>
      <c r="P9" s="1678"/>
    </row>
    <row r="10" spans="1:18" ht="15" customHeight="1" x14ac:dyDescent="0.25">
      <c r="A10" s="1675"/>
      <c r="B10" s="298"/>
      <c r="C10" s="298"/>
      <c r="D10" s="298"/>
      <c r="E10" s="299"/>
      <c r="F10" s="299"/>
      <c r="G10" s="299"/>
      <c r="H10" s="299"/>
      <c r="I10" s="1653">
        <v>2009</v>
      </c>
      <c r="J10" s="1653"/>
      <c r="K10" s="1653">
        <v>2010</v>
      </c>
      <c r="L10" s="1653"/>
      <c r="M10" s="1653">
        <v>2011</v>
      </c>
      <c r="N10" s="1653"/>
      <c r="O10" s="1653">
        <v>2012</v>
      </c>
      <c r="P10" s="1679"/>
    </row>
    <row r="11" spans="1:18" ht="24.75" thickBot="1" x14ac:dyDescent="0.3">
      <c r="A11" s="1309"/>
      <c r="B11" s="300" t="s">
        <v>17</v>
      </c>
      <c r="C11" s="300" t="s">
        <v>18</v>
      </c>
      <c r="D11" s="300" t="s">
        <v>19</v>
      </c>
      <c r="E11" s="301" t="s">
        <v>213</v>
      </c>
      <c r="F11" s="301" t="s">
        <v>20</v>
      </c>
      <c r="G11" s="302" t="s">
        <v>21</v>
      </c>
      <c r="H11" s="302" t="s">
        <v>214</v>
      </c>
      <c r="I11" s="303" t="s">
        <v>284</v>
      </c>
      <c r="J11" s="304" t="s">
        <v>285</v>
      </c>
      <c r="K11" s="303" t="s">
        <v>284</v>
      </c>
      <c r="L11" s="305" t="s">
        <v>285</v>
      </c>
      <c r="M11" s="303" t="s">
        <v>284</v>
      </c>
      <c r="N11" s="305" t="s">
        <v>285</v>
      </c>
      <c r="O11" s="303" t="s">
        <v>284</v>
      </c>
      <c r="P11" s="306" t="s">
        <v>285</v>
      </c>
    </row>
    <row r="12" spans="1:18" x14ac:dyDescent="0.25">
      <c r="A12" s="225" t="s">
        <v>217</v>
      </c>
      <c r="B12" s="226"/>
      <c r="C12" s="226"/>
      <c r="D12" s="226"/>
      <c r="E12" s="226"/>
      <c r="F12" s="226"/>
      <c r="G12" s="227"/>
      <c r="H12" s="227"/>
      <c r="I12" s="307"/>
      <c r="J12" s="307"/>
      <c r="K12" s="307"/>
      <c r="L12" s="307"/>
      <c r="M12" s="307"/>
      <c r="N12" s="307"/>
      <c r="O12" s="307"/>
      <c r="P12" s="308"/>
    </row>
    <row r="13" spans="1:18" x14ac:dyDescent="0.25">
      <c r="A13" s="231" t="s">
        <v>24</v>
      </c>
      <c r="B13" s="232" t="s">
        <v>23</v>
      </c>
      <c r="C13" s="232"/>
      <c r="D13" s="232"/>
      <c r="E13" s="232" t="s">
        <v>23</v>
      </c>
      <c r="F13" s="232"/>
      <c r="G13" s="233"/>
      <c r="H13" s="233"/>
      <c r="I13" s="309"/>
      <c r="J13" s="309">
        <f>+IF(I13&gt;(496900*2),0,59300)</f>
        <v>59300</v>
      </c>
      <c r="K13" s="310">
        <v>1523738</v>
      </c>
      <c r="L13" s="309">
        <f>+IF(K13&gt;(515000*2),0,61500)</f>
        <v>0</v>
      </c>
      <c r="M13" s="311">
        <f>+K13*1.029</f>
        <v>1567926.4019999998</v>
      </c>
      <c r="N13" s="309">
        <f>+IF(M13&gt;(535600*2),0,63600)</f>
        <v>0</v>
      </c>
      <c r="O13" s="311">
        <f>+M13*1.0377</f>
        <v>1627037.2273553999</v>
      </c>
      <c r="P13" s="309">
        <f>+IF(O13&gt;(566700*2),0,67800)</f>
        <v>0</v>
      </c>
      <c r="Q13" s="283">
        <f>+M13*3.77%</f>
        <v>59110.825355399989</v>
      </c>
      <c r="R13" s="312">
        <f>+M13+Q13</f>
        <v>1627037.2273553999</v>
      </c>
    </row>
    <row r="14" spans="1:18" x14ac:dyDescent="0.25">
      <c r="A14" s="231" t="s">
        <v>25</v>
      </c>
      <c r="B14" s="236"/>
      <c r="C14" s="236" t="s">
        <v>23</v>
      </c>
      <c r="D14" s="237"/>
      <c r="E14" s="237" t="s">
        <v>23</v>
      </c>
      <c r="F14" s="237"/>
      <c r="G14" s="237"/>
      <c r="H14" s="237"/>
      <c r="I14" s="310">
        <v>1915271.3085696001</v>
      </c>
      <c r="J14" s="309">
        <f t="shared" ref="J14:J68" si="0">+IF(I14&gt;(496900*2),0,59300)</f>
        <v>0</v>
      </c>
      <c r="K14" s="310">
        <v>1961909.7239133441</v>
      </c>
      <c r="L14" s="309">
        <f t="shared" ref="L14:L68" si="1">+IF(K14&gt;(515000*2),0,61500)</f>
        <v>0</v>
      </c>
      <c r="M14" s="311">
        <f t="shared" ref="M14:M64" si="2">+K14*1.029</f>
        <v>2018805.1059068309</v>
      </c>
      <c r="N14" s="309">
        <f t="shared" ref="N14:N68" si="3">+IF(M14&gt;(535600*2),0,63600)</f>
        <v>0</v>
      </c>
      <c r="O14" s="311">
        <f t="shared" ref="O14:O64" si="4">+M14*1.0377</f>
        <v>2094914.0583995185</v>
      </c>
      <c r="P14" s="309">
        <f t="shared" ref="P14:P68" si="5">+IF(O14&gt;(566700*2),0,67800)</f>
        <v>0</v>
      </c>
    </row>
    <row r="15" spans="1:18" x14ac:dyDescent="0.25">
      <c r="A15" s="231" t="s">
        <v>218</v>
      </c>
      <c r="B15" s="236"/>
      <c r="C15" s="236"/>
      <c r="D15" s="237" t="s">
        <v>23</v>
      </c>
      <c r="E15" s="237"/>
      <c r="F15" s="237" t="s">
        <v>23</v>
      </c>
      <c r="G15" s="237"/>
      <c r="H15" s="237"/>
      <c r="I15" s="310">
        <v>2992611.41964</v>
      </c>
      <c r="J15" s="309">
        <f t="shared" si="0"/>
        <v>0</v>
      </c>
      <c r="K15" s="310">
        <v>3082389.7622292</v>
      </c>
      <c r="L15" s="309">
        <f t="shared" si="1"/>
        <v>0</v>
      </c>
      <c r="M15" s="311">
        <f t="shared" si="2"/>
        <v>3171779.0653338465</v>
      </c>
      <c r="N15" s="309">
        <f t="shared" si="3"/>
        <v>0</v>
      </c>
      <c r="O15" s="311">
        <f t="shared" si="4"/>
        <v>3291355.1360969329</v>
      </c>
      <c r="P15" s="309">
        <f t="shared" si="5"/>
        <v>0</v>
      </c>
    </row>
    <row r="16" spans="1:18" x14ac:dyDescent="0.25">
      <c r="A16" s="231" t="s">
        <v>219</v>
      </c>
      <c r="B16" s="236"/>
      <c r="C16" s="236"/>
      <c r="D16" s="237" t="s">
        <v>23</v>
      </c>
      <c r="E16" s="237"/>
      <c r="F16" s="237"/>
      <c r="G16" s="237" t="s">
        <v>23</v>
      </c>
      <c r="H16" s="237"/>
      <c r="I16" s="310">
        <v>3202707.1773262499</v>
      </c>
      <c r="J16" s="309">
        <f t="shared" si="0"/>
        <v>0</v>
      </c>
      <c r="K16" s="310">
        <v>3298788.3926460375</v>
      </c>
      <c r="L16" s="309">
        <f t="shared" si="1"/>
        <v>0</v>
      </c>
      <c r="M16" s="311">
        <f t="shared" si="2"/>
        <v>3394453.2560327724</v>
      </c>
      <c r="N16" s="309">
        <f t="shared" si="3"/>
        <v>0</v>
      </c>
      <c r="O16" s="311">
        <f t="shared" si="4"/>
        <v>3522424.143785208</v>
      </c>
      <c r="P16" s="309">
        <f t="shared" si="5"/>
        <v>0</v>
      </c>
    </row>
    <row r="17" spans="1:16" s="214" customFormat="1" x14ac:dyDescent="0.25">
      <c r="A17" s="239" t="s">
        <v>220</v>
      </c>
      <c r="B17" s="236"/>
      <c r="C17" s="236" t="s">
        <v>23</v>
      </c>
      <c r="D17" s="237"/>
      <c r="E17" s="237"/>
      <c r="F17" s="237" t="s">
        <v>23</v>
      </c>
      <c r="G17" s="237"/>
      <c r="H17" s="237"/>
      <c r="I17" s="310">
        <v>2510202.9170806203</v>
      </c>
      <c r="J17" s="309">
        <f t="shared" si="0"/>
        <v>0</v>
      </c>
      <c r="K17" s="310">
        <v>2585509.0045930389</v>
      </c>
      <c r="L17" s="309">
        <f t="shared" si="1"/>
        <v>0</v>
      </c>
      <c r="M17" s="311">
        <f t="shared" si="2"/>
        <v>2660488.7657262366</v>
      </c>
      <c r="N17" s="309">
        <f t="shared" si="3"/>
        <v>0</v>
      </c>
      <c r="O17" s="311">
        <f t="shared" si="4"/>
        <v>2760789.1921941158</v>
      </c>
      <c r="P17" s="309">
        <f t="shared" si="5"/>
        <v>0</v>
      </c>
    </row>
    <row r="18" spans="1:16" s="214" customFormat="1" x14ac:dyDescent="0.25">
      <c r="A18" s="239" t="s">
        <v>26</v>
      </c>
      <c r="B18" s="236"/>
      <c r="C18" s="236" t="s">
        <v>23</v>
      </c>
      <c r="D18" s="237"/>
      <c r="E18" s="237"/>
      <c r="F18" s="237"/>
      <c r="G18" s="237"/>
      <c r="H18" s="237"/>
      <c r="I18" s="310">
        <v>1631632.0106740501</v>
      </c>
      <c r="J18" s="309">
        <f t="shared" si="0"/>
        <v>0</v>
      </c>
      <c r="K18" s="310">
        <v>1680580.9709942716</v>
      </c>
      <c r="L18" s="309">
        <f t="shared" si="1"/>
        <v>0</v>
      </c>
      <c r="M18" s="311">
        <f t="shared" si="2"/>
        <v>1729317.8191531054</v>
      </c>
      <c r="N18" s="309">
        <f t="shared" si="3"/>
        <v>0</v>
      </c>
      <c r="O18" s="311">
        <f t="shared" si="4"/>
        <v>1794513.1009351776</v>
      </c>
      <c r="P18" s="309">
        <f t="shared" si="5"/>
        <v>0</v>
      </c>
    </row>
    <row r="19" spans="1:16" s="214" customFormat="1" x14ac:dyDescent="0.25">
      <c r="A19" s="240" t="s">
        <v>27</v>
      </c>
      <c r="B19" s="236"/>
      <c r="C19" s="236"/>
      <c r="D19" s="237" t="s">
        <v>23</v>
      </c>
      <c r="E19" s="237"/>
      <c r="F19" s="237"/>
      <c r="G19" s="237"/>
      <c r="H19" s="237"/>
      <c r="I19" s="310">
        <v>957635.65428480005</v>
      </c>
      <c r="J19" s="309">
        <f t="shared" si="0"/>
        <v>59300</v>
      </c>
      <c r="K19" s="310">
        <v>986364.72391334409</v>
      </c>
      <c r="L19" s="309">
        <f t="shared" si="1"/>
        <v>61500</v>
      </c>
      <c r="M19" s="311">
        <f t="shared" si="2"/>
        <v>1014969.3009068309</v>
      </c>
      <c r="N19" s="309">
        <f t="shared" si="3"/>
        <v>63600</v>
      </c>
      <c r="O19" s="311">
        <f t="shared" si="4"/>
        <v>1053233.6435510186</v>
      </c>
      <c r="P19" s="309">
        <f t="shared" si="5"/>
        <v>67800</v>
      </c>
    </row>
    <row r="20" spans="1:16" s="214" customFormat="1" x14ac:dyDescent="0.25">
      <c r="A20" s="241" t="s">
        <v>221</v>
      </c>
      <c r="B20" s="242"/>
      <c r="C20" s="242"/>
      <c r="D20" s="243"/>
      <c r="E20" s="243"/>
      <c r="F20" s="243"/>
      <c r="G20" s="243"/>
      <c r="H20" s="243"/>
      <c r="I20" s="313"/>
      <c r="J20" s="314"/>
      <c r="K20" s="313"/>
      <c r="L20" s="314"/>
      <c r="M20" s="315"/>
      <c r="N20" s="314"/>
      <c r="O20" s="315"/>
      <c r="P20" s="316"/>
    </row>
    <row r="21" spans="1:16" s="214" customFormat="1" x14ac:dyDescent="0.25">
      <c r="A21" s="239" t="s">
        <v>222</v>
      </c>
      <c r="B21" s="236" t="s">
        <v>23</v>
      </c>
      <c r="C21" s="236"/>
      <c r="D21" s="237"/>
      <c r="E21" s="237"/>
      <c r="F21" s="237"/>
      <c r="G21" s="237"/>
      <c r="H21" s="237"/>
      <c r="I21" s="310"/>
      <c r="J21" s="309">
        <f t="shared" si="0"/>
        <v>59300</v>
      </c>
      <c r="K21" s="317">
        <v>635270</v>
      </c>
      <c r="L21" s="309">
        <f t="shared" si="1"/>
        <v>61500</v>
      </c>
      <c r="M21" s="311">
        <f t="shared" si="2"/>
        <v>653692.82999999996</v>
      </c>
      <c r="N21" s="309">
        <f t="shared" si="3"/>
        <v>63600</v>
      </c>
      <c r="O21" s="311">
        <f t="shared" si="4"/>
        <v>678337.04969100002</v>
      </c>
      <c r="P21" s="309">
        <f t="shared" si="5"/>
        <v>67800</v>
      </c>
    </row>
    <row r="22" spans="1:16" s="214" customFormat="1" x14ac:dyDescent="0.25">
      <c r="A22" s="239" t="s">
        <v>223</v>
      </c>
      <c r="B22" s="247"/>
      <c r="C22" s="237" t="s">
        <v>23</v>
      </c>
      <c r="D22" s="247"/>
      <c r="E22" s="247"/>
      <c r="F22" s="247"/>
      <c r="G22" s="247"/>
      <c r="H22" s="247"/>
      <c r="I22" s="310">
        <v>753061.10426747997</v>
      </c>
      <c r="J22" s="309">
        <f t="shared" si="0"/>
        <v>59300</v>
      </c>
      <c r="K22" s="317">
        <v>714366.96869775222</v>
      </c>
      <c r="L22" s="309">
        <f t="shared" si="1"/>
        <v>61500</v>
      </c>
      <c r="M22" s="311">
        <f t="shared" si="2"/>
        <v>735083.61078998703</v>
      </c>
      <c r="N22" s="309">
        <f t="shared" si="3"/>
        <v>63600</v>
      </c>
      <c r="O22" s="311">
        <f t="shared" si="4"/>
        <v>762796.2629167696</v>
      </c>
      <c r="P22" s="309">
        <f t="shared" si="5"/>
        <v>67800</v>
      </c>
    </row>
    <row r="23" spans="1:16" s="214" customFormat="1" x14ac:dyDescent="0.25">
      <c r="A23" s="239" t="s">
        <v>224</v>
      </c>
      <c r="B23" s="247"/>
      <c r="C23" s="237"/>
      <c r="D23" s="247" t="s">
        <v>23</v>
      </c>
      <c r="E23" s="247"/>
      <c r="F23" s="247"/>
      <c r="G23" s="247"/>
      <c r="H23" s="247"/>
      <c r="I23" s="310"/>
      <c r="J23" s="309">
        <f t="shared" si="0"/>
        <v>59300</v>
      </c>
      <c r="K23" s="317">
        <v>812648</v>
      </c>
      <c r="L23" s="309">
        <f t="shared" si="1"/>
        <v>61500</v>
      </c>
      <c r="M23" s="311">
        <f t="shared" si="2"/>
        <v>836214.7919999999</v>
      </c>
      <c r="N23" s="309">
        <f t="shared" si="3"/>
        <v>63600</v>
      </c>
      <c r="O23" s="311">
        <f t="shared" si="4"/>
        <v>867740.08965839993</v>
      </c>
      <c r="P23" s="309">
        <f t="shared" si="5"/>
        <v>67800</v>
      </c>
    </row>
    <row r="24" spans="1:16" s="214" customFormat="1" x14ac:dyDescent="0.25">
      <c r="A24" s="239" t="s">
        <v>225</v>
      </c>
      <c r="B24" s="247"/>
      <c r="C24" s="237"/>
      <c r="D24" s="247" t="s">
        <v>23</v>
      </c>
      <c r="E24" s="247"/>
      <c r="F24" s="247"/>
      <c r="G24" s="247"/>
      <c r="H24" s="247" t="s">
        <v>23</v>
      </c>
      <c r="I24" s="310"/>
      <c r="J24" s="309">
        <f t="shared" si="0"/>
        <v>59300</v>
      </c>
      <c r="K24" s="317">
        <v>1258666</v>
      </c>
      <c r="L24" s="309">
        <f t="shared" si="1"/>
        <v>0</v>
      </c>
      <c r="M24" s="311">
        <f t="shared" si="2"/>
        <v>1295167.3139999998</v>
      </c>
      <c r="N24" s="309">
        <f t="shared" si="3"/>
        <v>0</v>
      </c>
      <c r="O24" s="311">
        <f t="shared" si="4"/>
        <v>1343995.1217377998</v>
      </c>
      <c r="P24" s="309">
        <f t="shared" si="5"/>
        <v>0</v>
      </c>
    </row>
    <row r="25" spans="1:16" s="214" customFormat="1" x14ac:dyDescent="0.25">
      <c r="A25" s="241" t="s">
        <v>226</v>
      </c>
      <c r="B25" s="242"/>
      <c r="C25" s="242"/>
      <c r="D25" s="243"/>
      <c r="E25" s="243"/>
      <c r="F25" s="243"/>
      <c r="G25" s="243"/>
      <c r="H25" s="243"/>
      <c r="I25" s="313"/>
      <c r="J25" s="314">
        <f t="shared" si="0"/>
        <v>59300</v>
      </c>
      <c r="K25" s="313"/>
      <c r="L25" s="314"/>
      <c r="M25" s="315"/>
      <c r="N25" s="314"/>
      <c r="O25" s="315"/>
      <c r="P25" s="316"/>
    </row>
    <row r="26" spans="1:16" s="214" customFormat="1" x14ac:dyDescent="0.25">
      <c r="A26" s="249" t="s">
        <v>227</v>
      </c>
      <c r="B26" s="236" t="s">
        <v>23</v>
      </c>
      <c r="C26" s="236"/>
      <c r="D26" s="237"/>
      <c r="E26" s="237"/>
      <c r="F26" s="237"/>
      <c r="G26" s="237"/>
      <c r="H26" s="237"/>
      <c r="I26" s="310"/>
      <c r="J26" s="309">
        <f t="shared" si="0"/>
        <v>59300</v>
      </c>
      <c r="K26" s="317">
        <v>831194</v>
      </c>
      <c r="L26" s="309">
        <f t="shared" si="1"/>
        <v>61500</v>
      </c>
      <c r="M26" s="311">
        <f t="shared" si="2"/>
        <v>855298.62599999993</v>
      </c>
      <c r="N26" s="309">
        <f t="shared" si="3"/>
        <v>63600</v>
      </c>
      <c r="O26" s="311">
        <f t="shared" si="4"/>
        <v>887543.38420019997</v>
      </c>
      <c r="P26" s="309">
        <f t="shared" si="5"/>
        <v>67800</v>
      </c>
    </row>
    <row r="27" spans="1:16" s="214" customFormat="1" x14ac:dyDescent="0.25">
      <c r="A27" s="249" t="s">
        <v>228</v>
      </c>
      <c r="B27" s="247"/>
      <c r="C27" s="237" t="s">
        <v>23</v>
      </c>
      <c r="D27" s="247"/>
      <c r="E27" s="247"/>
      <c r="F27" s="247"/>
      <c r="G27" s="247"/>
      <c r="H27" s="247"/>
      <c r="I27" s="310">
        <v>941326.38033435005</v>
      </c>
      <c r="J27" s="309">
        <f t="shared" si="0"/>
        <v>59300</v>
      </c>
      <c r="K27" s="317">
        <v>1048808.0858721903</v>
      </c>
      <c r="L27" s="309">
        <f t="shared" si="1"/>
        <v>0</v>
      </c>
      <c r="M27" s="311">
        <f t="shared" si="2"/>
        <v>1079223.5203624838</v>
      </c>
      <c r="N27" s="309">
        <f t="shared" si="3"/>
        <v>0</v>
      </c>
      <c r="O27" s="311">
        <f t="shared" si="4"/>
        <v>1119910.2470801496</v>
      </c>
      <c r="P27" s="309">
        <f t="shared" si="5"/>
        <v>67800</v>
      </c>
    </row>
    <row r="28" spans="1:16" s="214" customFormat="1" x14ac:dyDescent="0.25">
      <c r="A28" s="249" t="s">
        <v>229</v>
      </c>
      <c r="B28" s="236"/>
      <c r="C28" s="236" t="s">
        <v>23</v>
      </c>
      <c r="D28" s="237"/>
      <c r="E28" s="237"/>
      <c r="F28" s="237"/>
      <c r="G28" s="237"/>
      <c r="H28" s="237" t="s">
        <v>23</v>
      </c>
      <c r="I28" s="310"/>
      <c r="J28" s="309">
        <f t="shared" si="0"/>
        <v>59300</v>
      </c>
      <c r="K28" s="317">
        <v>1424905</v>
      </c>
      <c r="L28" s="309">
        <f t="shared" si="1"/>
        <v>0</v>
      </c>
      <c r="M28" s="311">
        <f t="shared" si="2"/>
        <v>1466227.2449999999</v>
      </c>
      <c r="N28" s="309">
        <f t="shared" si="3"/>
        <v>0</v>
      </c>
      <c r="O28" s="311">
        <f t="shared" si="4"/>
        <v>1521504.0121364999</v>
      </c>
      <c r="P28" s="309">
        <f t="shared" si="5"/>
        <v>0</v>
      </c>
    </row>
    <row r="29" spans="1:16" s="214" customFormat="1" x14ac:dyDescent="0.25">
      <c r="A29" s="249" t="s">
        <v>230</v>
      </c>
      <c r="B29" s="237"/>
      <c r="C29" s="237"/>
      <c r="D29" s="237" t="s">
        <v>23</v>
      </c>
      <c r="E29" s="237"/>
      <c r="F29" s="237"/>
      <c r="G29" s="237"/>
      <c r="H29" s="237"/>
      <c r="I29" s="310">
        <v>1089519.0771465001</v>
      </c>
      <c r="J29" s="309">
        <f t="shared" si="0"/>
        <v>0</v>
      </c>
      <c r="K29" s="317">
        <v>1273554.8247304475</v>
      </c>
      <c r="L29" s="309">
        <f t="shared" si="1"/>
        <v>0</v>
      </c>
      <c r="M29" s="311">
        <f t="shared" si="2"/>
        <v>1310487.9146476304</v>
      </c>
      <c r="N29" s="309">
        <f t="shared" si="3"/>
        <v>0</v>
      </c>
      <c r="O29" s="311">
        <f t="shared" si="4"/>
        <v>1359893.3090298462</v>
      </c>
      <c r="P29" s="309">
        <f t="shared" si="5"/>
        <v>0</v>
      </c>
    </row>
    <row r="30" spans="1:16" s="214" customFormat="1" x14ac:dyDescent="0.25">
      <c r="A30" s="250" t="s">
        <v>16</v>
      </c>
      <c r="B30" s="242"/>
      <c r="C30" s="242"/>
      <c r="D30" s="243"/>
      <c r="E30" s="243"/>
      <c r="F30" s="243"/>
      <c r="G30" s="243"/>
      <c r="H30" s="243"/>
      <c r="I30" s="313"/>
      <c r="J30" s="314"/>
      <c r="K30" s="313"/>
      <c r="L30" s="314"/>
      <c r="M30" s="315"/>
      <c r="N30" s="314"/>
      <c r="O30" s="315"/>
      <c r="P30" s="316"/>
    </row>
    <row r="31" spans="1:16" s="214" customFormat="1" x14ac:dyDescent="0.25">
      <c r="A31" s="239" t="s">
        <v>28</v>
      </c>
      <c r="B31" s="236" t="s">
        <v>23</v>
      </c>
      <c r="C31" s="236"/>
      <c r="D31" s="237"/>
      <c r="E31" s="237" t="s">
        <v>23</v>
      </c>
      <c r="F31" s="237"/>
      <c r="G31" s="237"/>
      <c r="H31" s="237"/>
      <c r="I31" s="310"/>
      <c r="J31" s="309">
        <f t="shared" si="0"/>
        <v>59300</v>
      </c>
      <c r="K31" s="317">
        <v>1535296</v>
      </c>
      <c r="L31" s="309">
        <f t="shared" si="1"/>
        <v>0</v>
      </c>
      <c r="M31" s="311">
        <f t="shared" si="2"/>
        <v>1579819.5839999998</v>
      </c>
      <c r="N31" s="309">
        <f t="shared" si="3"/>
        <v>0</v>
      </c>
      <c r="O31" s="311">
        <f t="shared" si="4"/>
        <v>1639378.7823168</v>
      </c>
      <c r="P31" s="309">
        <f t="shared" si="5"/>
        <v>0</v>
      </c>
    </row>
    <row r="32" spans="1:16" s="214" customFormat="1" x14ac:dyDescent="0.25">
      <c r="A32" s="239" t="s">
        <v>29</v>
      </c>
      <c r="B32" s="236" t="s">
        <v>23</v>
      </c>
      <c r="C32" s="236"/>
      <c r="D32" s="237"/>
      <c r="E32" s="237" t="s">
        <v>23</v>
      </c>
      <c r="F32" s="237"/>
      <c r="G32" s="237"/>
      <c r="H32" s="237" t="s">
        <v>23</v>
      </c>
      <c r="I32" s="310"/>
      <c r="J32" s="309">
        <f t="shared" si="0"/>
        <v>59300</v>
      </c>
      <c r="K32" s="317">
        <v>2015049</v>
      </c>
      <c r="L32" s="309">
        <f t="shared" si="1"/>
        <v>0</v>
      </c>
      <c r="M32" s="311">
        <f t="shared" si="2"/>
        <v>2073485.4209999999</v>
      </c>
      <c r="N32" s="309">
        <f t="shared" si="3"/>
        <v>0</v>
      </c>
      <c r="O32" s="311">
        <f t="shared" si="4"/>
        <v>2151655.8213717001</v>
      </c>
      <c r="P32" s="309">
        <f t="shared" si="5"/>
        <v>0</v>
      </c>
    </row>
    <row r="33" spans="1:17" x14ac:dyDescent="0.25">
      <c r="A33" s="239" t="s">
        <v>31</v>
      </c>
      <c r="B33" s="236"/>
      <c r="C33" s="236" t="s">
        <v>23</v>
      </c>
      <c r="D33" s="237"/>
      <c r="E33" s="237" t="s">
        <v>23</v>
      </c>
      <c r="F33" s="237"/>
      <c r="G33" s="237"/>
      <c r="H33" s="237"/>
      <c r="I33" s="310">
        <v>1506121.0628184902</v>
      </c>
      <c r="J33" s="309">
        <f t="shared" si="0"/>
        <v>0</v>
      </c>
      <c r="K33" s="317">
        <v>1610313.8473515224</v>
      </c>
      <c r="L33" s="309">
        <f t="shared" si="1"/>
        <v>0</v>
      </c>
      <c r="M33" s="311">
        <f t="shared" si="2"/>
        <v>1657012.9489247163</v>
      </c>
      <c r="N33" s="309">
        <f t="shared" si="3"/>
        <v>0</v>
      </c>
      <c r="O33" s="311">
        <f t="shared" si="4"/>
        <v>1719482.3370991782</v>
      </c>
      <c r="P33" s="309">
        <f t="shared" si="5"/>
        <v>0</v>
      </c>
      <c r="Q33" s="283">
        <f>+[10]R.H.!$D$11-O33</f>
        <v>450155.98305342207</v>
      </c>
    </row>
    <row r="34" spans="1:17" x14ac:dyDescent="0.25">
      <c r="A34" s="239" t="s">
        <v>231</v>
      </c>
      <c r="B34" s="236"/>
      <c r="C34" s="236"/>
      <c r="D34" s="237" t="s">
        <v>23</v>
      </c>
      <c r="E34" s="237" t="s">
        <v>23</v>
      </c>
      <c r="F34" s="237"/>
      <c r="G34" s="237"/>
      <c r="H34" s="237"/>
      <c r="I34" s="310"/>
      <c r="J34" s="309">
        <f t="shared" si="0"/>
        <v>59300</v>
      </c>
      <c r="K34" s="317">
        <v>1784567.5</v>
      </c>
      <c r="L34" s="309">
        <f t="shared" si="1"/>
        <v>0</v>
      </c>
      <c r="M34" s="311">
        <f t="shared" si="2"/>
        <v>1836319.9574999998</v>
      </c>
      <c r="N34" s="309">
        <f t="shared" si="3"/>
        <v>0</v>
      </c>
      <c r="O34" s="311">
        <f t="shared" si="4"/>
        <v>1905549.2198977498</v>
      </c>
      <c r="P34" s="309">
        <f t="shared" si="5"/>
        <v>0</v>
      </c>
    </row>
    <row r="35" spans="1:17" x14ac:dyDescent="0.25">
      <c r="A35" s="239" t="s">
        <v>233</v>
      </c>
      <c r="B35" s="236" t="s">
        <v>23</v>
      </c>
      <c r="C35" s="236"/>
      <c r="D35" s="237"/>
      <c r="E35" s="237"/>
      <c r="F35" s="237" t="s">
        <v>23</v>
      </c>
      <c r="G35" s="237"/>
      <c r="H35" s="237"/>
      <c r="I35" s="310"/>
      <c r="J35" s="309">
        <f t="shared" si="0"/>
        <v>59300</v>
      </c>
      <c r="K35" s="317">
        <v>2144996</v>
      </c>
      <c r="L35" s="309">
        <f t="shared" si="1"/>
        <v>0</v>
      </c>
      <c r="M35" s="311">
        <f t="shared" si="2"/>
        <v>2207200.8839999996</v>
      </c>
      <c r="N35" s="309">
        <f t="shared" si="3"/>
        <v>0</v>
      </c>
      <c r="O35" s="311">
        <f t="shared" si="4"/>
        <v>2290412.3573267995</v>
      </c>
      <c r="P35" s="309">
        <f t="shared" si="5"/>
        <v>0</v>
      </c>
    </row>
    <row r="36" spans="1:17" x14ac:dyDescent="0.25">
      <c r="A36" s="239" t="s">
        <v>234</v>
      </c>
      <c r="B36" s="236" t="s">
        <v>23</v>
      </c>
      <c r="C36" s="236"/>
      <c r="D36" s="237"/>
      <c r="E36" s="237"/>
      <c r="F36" s="237" t="s">
        <v>23</v>
      </c>
      <c r="G36" s="237"/>
      <c r="H36" s="237" t="s">
        <v>23</v>
      </c>
      <c r="I36" s="310"/>
      <c r="J36" s="309">
        <f t="shared" si="0"/>
        <v>59300</v>
      </c>
      <c r="K36" s="317">
        <v>2681245</v>
      </c>
      <c r="L36" s="309">
        <f t="shared" si="1"/>
        <v>0</v>
      </c>
      <c r="M36" s="311">
        <f t="shared" si="2"/>
        <v>2759001.105</v>
      </c>
      <c r="N36" s="309">
        <f t="shared" si="3"/>
        <v>0</v>
      </c>
      <c r="O36" s="311">
        <f t="shared" si="4"/>
        <v>2863015.4466585</v>
      </c>
      <c r="P36" s="309">
        <f t="shared" si="5"/>
        <v>0</v>
      </c>
    </row>
    <row r="37" spans="1:17" x14ac:dyDescent="0.25">
      <c r="A37" s="239" t="s">
        <v>235</v>
      </c>
      <c r="B37" s="236"/>
      <c r="C37" s="236" t="s">
        <v>30</v>
      </c>
      <c r="D37" s="237"/>
      <c r="E37" s="237"/>
      <c r="F37" s="237" t="s">
        <v>23</v>
      </c>
      <c r="G37" s="237"/>
      <c r="H37" s="237"/>
      <c r="I37" s="310">
        <v>2259182.1670859698</v>
      </c>
      <c r="J37" s="309">
        <f t="shared" si="0"/>
        <v>0</v>
      </c>
      <c r="K37" s="317">
        <v>2326957.632098549</v>
      </c>
      <c r="L37" s="309">
        <f t="shared" si="1"/>
        <v>0</v>
      </c>
      <c r="M37" s="311">
        <f t="shared" si="2"/>
        <v>2394439.4034294067</v>
      </c>
      <c r="N37" s="309">
        <f t="shared" si="3"/>
        <v>0</v>
      </c>
      <c r="O37" s="311">
        <f t="shared" si="4"/>
        <v>2484709.7689386955</v>
      </c>
      <c r="P37" s="309">
        <f t="shared" si="5"/>
        <v>0</v>
      </c>
    </row>
    <row r="38" spans="1:17" x14ac:dyDescent="0.25">
      <c r="A38" s="239" t="s">
        <v>236</v>
      </c>
      <c r="B38" s="236"/>
      <c r="C38" s="236"/>
      <c r="D38" s="237" t="s">
        <v>23</v>
      </c>
      <c r="E38" s="237"/>
      <c r="F38" s="237" t="s">
        <v>23</v>
      </c>
      <c r="G38" s="237"/>
      <c r="H38" s="237"/>
      <c r="I38" s="310"/>
      <c r="J38" s="309">
        <f t="shared" si="0"/>
        <v>59300</v>
      </c>
      <c r="K38" s="317">
        <v>2681245</v>
      </c>
      <c r="L38" s="309">
        <f t="shared" si="1"/>
        <v>0</v>
      </c>
      <c r="M38" s="311">
        <f t="shared" si="2"/>
        <v>2759001.105</v>
      </c>
      <c r="N38" s="309">
        <f t="shared" si="3"/>
        <v>0</v>
      </c>
      <c r="O38" s="311">
        <f t="shared" si="4"/>
        <v>2863015.4466585</v>
      </c>
      <c r="P38" s="309">
        <f t="shared" si="5"/>
        <v>0</v>
      </c>
    </row>
    <row r="39" spans="1:17" x14ac:dyDescent="0.25">
      <c r="A39" s="239" t="s">
        <v>237</v>
      </c>
      <c r="B39" s="236"/>
      <c r="C39" s="236"/>
      <c r="D39" s="237" t="s">
        <v>23</v>
      </c>
      <c r="E39" s="237"/>
      <c r="F39" s="237" t="s">
        <v>23</v>
      </c>
      <c r="G39" s="237"/>
      <c r="H39" s="237" t="s">
        <v>23</v>
      </c>
      <c r="I39" s="310"/>
      <c r="J39" s="309">
        <f t="shared" si="0"/>
        <v>59300</v>
      </c>
      <c r="K39" s="317">
        <v>3002995</v>
      </c>
      <c r="L39" s="309">
        <f t="shared" si="1"/>
        <v>0</v>
      </c>
      <c r="M39" s="311">
        <f t="shared" si="2"/>
        <v>3090081.8549999995</v>
      </c>
      <c r="N39" s="309">
        <f t="shared" si="3"/>
        <v>0</v>
      </c>
      <c r="O39" s="311">
        <f t="shared" si="4"/>
        <v>3206577.9409334995</v>
      </c>
      <c r="P39" s="309">
        <f t="shared" si="5"/>
        <v>0</v>
      </c>
    </row>
    <row r="40" spans="1:17" x14ac:dyDescent="0.25">
      <c r="A40" s="239" t="s">
        <v>238</v>
      </c>
      <c r="B40" s="236" t="s">
        <v>23</v>
      </c>
      <c r="C40" s="236"/>
      <c r="D40" s="237"/>
      <c r="E40" s="237"/>
      <c r="F40" s="237"/>
      <c r="G40" s="237" t="s">
        <v>23</v>
      </c>
      <c r="H40" s="237"/>
      <c r="I40" s="310"/>
      <c r="J40" s="309">
        <f t="shared" si="0"/>
        <v>59300</v>
      </c>
      <c r="K40" s="317">
        <v>2788495</v>
      </c>
      <c r="L40" s="309">
        <f t="shared" si="1"/>
        <v>0</v>
      </c>
      <c r="M40" s="311">
        <f t="shared" si="2"/>
        <v>2869361.355</v>
      </c>
      <c r="N40" s="309">
        <f t="shared" si="3"/>
        <v>0</v>
      </c>
      <c r="O40" s="311">
        <f t="shared" si="4"/>
        <v>2977536.2780835</v>
      </c>
      <c r="P40" s="309">
        <f t="shared" si="5"/>
        <v>0</v>
      </c>
    </row>
    <row r="41" spans="1:17" x14ac:dyDescent="0.25">
      <c r="A41" s="239" t="s">
        <v>239</v>
      </c>
      <c r="B41" s="236" t="s">
        <v>23</v>
      </c>
      <c r="C41" s="236"/>
      <c r="D41" s="237"/>
      <c r="E41" s="237"/>
      <c r="F41" s="237"/>
      <c r="G41" s="237" t="s">
        <v>23</v>
      </c>
      <c r="H41" s="237" t="s">
        <v>23</v>
      </c>
      <c r="I41" s="310"/>
      <c r="J41" s="309">
        <f t="shared" si="0"/>
        <v>59300</v>
      </c>
      <c r="K41" s="317">
        <v>3217494</v>
      </c>
      <c r="L41" s="309">
        <f t="shared" si="1"/>
        <v>0</v>
      </c>
      <c r="M41" s="311">
        <f t="shared" si="2"/>
        <v>3310801.3259999999</v>
      </c>
      <c r="N41" s="309">
        <f t="shared" si="3"/>
        <v>0</v>
      </c>
      <c r="O41" s="311">
        <f t="shared" si="4"/>
        <v>3435618.5359902</v>
      </c>
      <c r="P41" s="309">
        <f t="shared" si="5"/>
        <v>0</v>
      </c>
    </row>
    <row r="42" spans="1:17" x14ac:dyDescent="0.25">
      <c r="A42" s="239" t="s">
        <v>240</v>
      </c>
      <c r="B42" s="236"/>
      <c r="C42" s="236"/>
      <c r="D42" s="237" t="s">
        <v>23</v>
      </c>
      <c r="E42" s="237"/>
      <c r="F42" s="237"/>
      <c r="G42" s="237" t="s">
        <v>23</v>
      </c>
      <c r="H42" s="237"/>
      <c r="I42" s="310">
        <v>2886732.3234978905</v>
      </c>
      <c r="J42" s="309">
        <f t="shared" si="0"/>
        <v>0</v>
      </c>
      <c r="K42" s="317">
        <v>3095414.1466014134</v>
      </c>
      <c r="L42" s="309">
        <f t="shared" si="1"/>
        <v>0</v>
      </c>
      <c r="M42" s="311">
        <f t="shared" si="2"/>
        <v>3185181.156852854</v>
      </c>
      <c r="N42" s="309">
        <f t="shared" si="3"/>
        <v>0</v>
      </c>
      <c r="O42" s="311">
        <f t="shared" si="4"/>
        <v>3305262.4864662066</v>
      </c>
      <c r="P42" s="309">
        <f t="shared" si="5"/>
        <v>0</v>
      </c>
    </row>
    <row r="43" spans="1:17" x14ac:dyDescent="0.25">
      <c r="A43" s="239" t="s">
        <v>241</v>
      </c>
      <c r="B43" s="236"/>
      <c r="C43" s="236"/>
      <c r="D43" s="237" t="s">
        <v>23</v>
      </c>
      <c r="E43" s="237"/>
      <c r="F43" s="237"/>
      <c r="G43" s="237" t="s">
        <v>23</v>
      </c>
      <c r="H43" s="237" t="s">
        <v>23</v>
      </c>
      <c r="I43" s="310"/>
      <c r="J43" s="309">
        <f t="shared" si="0"/>
        <v>59300</v>
      </c>
      <c r="K43" s="317">
        <v>3753743</v>
      </c>
      <c r="L43" s="309">
        <f t="shared" si="1"/>
        <v>0</v>
      </c>
      <c r="M43" s="311">
        <f t="shared" si="2"/>
        <v>3862601.5469999998</v>
      </c>
      <c r="N43" s="309">
        <f t="shared" si="3"/>
        <v>0</v>
      </c>
      <c r="O43" s="311">
        <f t="shared" si="4"/>
        <v>4008221.6253219</v>
      </c>
      <c r="P43" s="309">
        <f t="shared" si="5"/>
        <v>0</v>
      </c>
    </row>
    <row r="44" spans="1:17" x14ac:dyDescent="0.25">
      <c r="A44" s="250" t="s">
        <v>242</v>
      </c>
      <c r="B44" s="242"/>
      <c r="C44" s="242"/>
      <c r="D44" s="243"/>
      <c r="E44" s="243"/>
      <c r="F44" s="243"/>
      <c r="G44" s="243"/>
      <c r="H44" s="243"/>
      <c r="I44" s="313"/>
      <c r="J44" s="314"/>
      <c r="K44" s="313"/>
      <c r="L44" s="314"/>
      <c r="M44" s="315"/>
      <c r="N44" s="314"/>
      <c r="O44" s="315"/>
      <c r="P44" s="316"/>
    </row>
    <row r="45" spans="1:17" x14ac:dyDescent="0.25">
      <c r="A45" s="251" t="s">
        <v>32</v>
      </c>
      <c r="B45" s="236" t="s">
        <v>23</v>
      </c>
      <c r="C45" s="236"/>
      <c r="D45" s="237"/>
      <c r="E45" s="237" t="s">
        <v>23</v>
      </c>
      <c r="F45" s="237"/>
      <c r="G45" s="237"/>
      <c r="H45" s="237"/>
      <c r="I45" s="310"/>
      <c r="J45" s="309">
        <f t="shared" si="0"/>
        <v>59300</v>
      </c>
      <c r="K45" s="317">
        <v>3366952</v>
      </c>
      <c r="L45" s="309">
        <f t="shared" si="1"/>
        <v>0</v>
      </c>
      <c r="M45" s="311">
        <f t="shared" si="2"/>
        <v>3464593.6079999995</v>
      </c>
      <c r="N45" s="309">
        <f t="shared" si="3"/>
        <v>0</v>
      </c>
      <c r="O45" s="311">
        <f t="shared" si="4"/>
        <v>3595208.7870215997</v>
      </c>
      <c r="P45" s="309">
        <f t="shared" si="5"/>
        <v>0</v>
      </c>
    </row>
    <row r="46" spans="1:17" x14ac:dyDescent="0.25">
      <c r="A46" s="251" t="s">
        <v>32</v>
      </c>
      <c r="B46" s="237"/>
      <c r="C46" s="237" t="s">
        <v>23</v>
      </c>
      <c r="D46" s="247"/>
      <c r="E46" s="247" t="s">
        <v>23</v>
      </c>
      <c r="F46" s="237"/>
      <c r="G46" s="237"/>
      <c r="H46" s="237"/>
      <c r="I46" s="310">
        <v>2070916.8910191001</v>
      </c>
      <c r="J46" s="309">
        <f t="shared" si="0"/>
        <v>0</v>
      </c>
      <c r="K46" s="317">
        <v>2813977.6988748368</v>
      </c>
      <c r="L46" s="309">
        <f t="shared" si="1"/>
        <v>0</v>
      </c>
      <c r="M46" s="311">
        <f t="shared" si="2"/>
        <v>2895583.052142207</v>
      </c>
      <c r="N46" s="309">
        <f t="shared" si="3"/>
        <v>0</v>
      </c>
      <c r="O46" s="311">
        <f t="shared" si="4"/>
        <v>3004746.5332079683</v>
      </c>
      <c r="P46" s="309">
        <f t="shared" si="5"/>
        <v>0</v>
      </c>
    </row>
    <row r="47" spans="1:17" x14ac:dyDescent="0.25">
      <c r="A47" s="251" t="s">
        <v>33</v>
      </c>
      <c r="B47" s="237"/>
      <c r="C47" s="237" t="s">
        <v>23</v>
      </c>
      <c r="D47" s="247"/>
      <c r="E47" s="247"/>
      <c r="F47" s="237" t="s">
        <v>23</v>
      </c>
      <c r="G47" s="237"/>
      <c r="H47" s="237"/>
      <c r="I47" s="310">
        <v>2864291.1749999998</v>
      </c>
      <c r="J47" s="309">
        <f t="shared" si="0"/>
        <v>0</v>
      </c>
      <c r="K47" s="317">
        <v>2950219.9102499997</v>
      </c>
      <c r="L47" s="309">
        <f t="shared" si="1"/>
        <v>0</v>
      </c>
      <c r="M47" s="311">
        <f t="shared" si="2"/>
        <v>3035776.2876472496</v>
      </c>
      <c r="N47" s="309">
        <f t="shared" si="3"/>
        <v>0</v>
      </c>
      <c r="O47" s="311">
        <f t="shared" si="4"/>
        <v>3150225.0536915511</v>
      </c>
      <c r="P47" s="309">
        <f t="shared" si="5"/>
        <v>0</v>
      </c>
    </row>
    <row r="48" spans="1:17" x14ac:dyDescent="0.25">
      <c r="A48" s="251" t="s">
        <v>32</v>
      </c>
      <c r="B48" s="236"/>
      <c r="C48" s="236"/>
      <c r="D48" s="237" t="s">
        <v>23</v>
      </c>
      <c r="E48" s="237" t="s">
        <v>23</v>
      </c>
      <c r="F48" s="237"/>
      <c r="G48" s="237"/>
      <c r="H48" s="237"/>
      <c r="I48" s="310"/>
      <c r="J48" s="309">
        <f t="shared" si="0"/>
        <v>59300</v>
      </c>
      <c r="K48" s="317">
        <v>3623238</v>
      </c>
      <c r="L48" s="309">
        <f t="shared" si="1"/>
        <v>0</v>
      </c>
      <c r="M48" s="311">
        <f t="shared" si="2"/>
        <v>3728311.9019999998</v>
      </c>
      <c r="N48" s="309">
        <f t="shared" si="3"/>
        <v>0</v>
      </c>
      <c r="O48" s="311">
        <f t="shared" si="4"/>
        <v>3868869.2607053998</v>
      </c>
      <c r="P48" s="309">
        <f t="shared" si="5"/>
        <v>0</v>
      </c>
    </row>
    <row r="49" spans="1:16" s="214" customFormat="1" x14ac:dyDescent="0.25">
      <c r="A49" s="251" t="s">
        <v>273</v>
      </c>
      <c r="B49" s="236" t="s">
        <v>23</v>
      </c>
      <c r="C49" s="236"/>
      <c r="D49" s="237"/>
      <c r="E49" s="237"/>
      <c r="F49" s="237"/>
      <c r="G49" s="237"/>
      <c r="H49" s="237"/>
      <c r="I49" s="310"/>
      <c r="J49" s="309">
        <f t="shared" si="0"/>
        <v>59300</v>
      </c>
      <c r="K49" s="317">
        <v>1700000</v>
      </c>
      <c r="L49" s="309">
        <f t="shared" si="1"/>
        <v>0</v>
      </c>
      <c r="M49" s="311">
        <f t="shared" si="2"/>
        <v>1749299.9999999998</v>
      </c>
      <c r="N49" s="309">
        <f t="shared" si="3"/>
        <v>0</v>
      </c>
      <c r="O49" s="311">
        <f t="shared" si="4"/>
        <v>1815248.6099999999</v>
      </c>
      <c r="P49" s="309">
        <f t="shared" si="5"/>
        <v>0</v>
      </c>
    </row>
    <row r="50" spans="1:16" s="214" customFormat="1" x14ac:dyDescent="0.25">
      <c r="A50" s="251" t="s">
        <v>273</v>
      </c>
      <c r="B50" s="236"/>
      <c r="C50" s="236" t="s">
        <v>23</v>
      </c>
      <c r="D50" s="237"/>
      <c r="E50" s="237"/>
      <c r="F50" s="237"/>
      <c r="G50" s="237"/>
      <c r="H50" s="237"/>
      <c r="I50" s="310"/>
      <c r="J50" s="309">
        <f t="shared" si="0"/>
        <v>59300</v>
      </c>
      <c r="K50" s="317">
        <v>1980000</v>
      </c>
      <c r="L50" s="309">
        <f t="shared" si="1"/>
        <v>0</v>
      </c>
      <c r="M50" s="311">
        <f t="shared" si="2"/>
        <v>2037419.9999999998</v>
      </c>
      <c r="N50" s="309">
        <f t="shared" si="3"/>
        <v>0</v>
      </c>
      <c r="O50" s="311">
        <f t="shared" si="4"/>
        <v>2114230.7339999997</v>
      </c>
      <c r="P50" s="309">
        <f t="shared" si="5"/>
        <v>0</v>
      </c>
    </row>
    <row r="51" spans="1:16" s="214" customFormat="1" x14ac:dyDescent="0.25">
      <c r="A51" s="239" t="s">
        <v>35</v>
      </c>
      <c r="B51" s="247"/>
      <c r="C51" s="237" t="s">
        <v>23</v>
      </c>
      <c r="D51" s="247"/>
      <c r="E51" s="247"/>
      <c r="F51" s="247"/>
      <c r="G51" s="247"/>
      <c r="H51" s="247"/>
      <c r="I51" s="310">
        <v>838091.59780500003</v>
      </c>
      <c r="J51" s="309">
        <f t="shared" si="0"/>
        <v>59300</v>
      </c>
      <c r="K51" s="317">
        <v>863234.34573915007</v>
      </c>
      <c r="L51" s="309">
        <f t="shared" si="1"/>
        <v>61500</v>
      </c>
      <c r="M51" s="311">
        <f t="shared" si="2"/>
        <v>888268.1417655854</v>
      </c>
      <c r="N51" s="309">
        <f t="shared" si="3"/>
        <v>63600</v>
      </c>
      <c r="O51" s="311">
        <f t="shared" si="4"/>
        <v>921755.85071014799</v>
      </c>
      <c r="P51" s="309">
        <f t="shared" si="5"/>
        <v>67800</v>
      </c>
    </row>
    <row r="52" spans="1:16" s="214" customFormat="1" x14ac:dyDescent="0.25">
      <c r="A52" s="239" t="s">
        <v>34</v>
      </c>
      <c r="B52" s="247"/>
      <c r="C52" s="237" t="s">
        <v>23</v>
      </c>
      <c r="D52" s="247"/>
      <c r="E52" s="247"/>
      <c r="F52" s="247"/>
      <c r="G52" s="247"/>
      <c r="H52" s="247"/>
      <c r="I52" s="310">
        <v>753061.10426747997</v>
      </c>
      <c r="J52" s="309">
        <f t="shared" si="0"/>
        <v>59300</v>
      </c>
      <c r="K52" s="317">
        <v>775652.93739550444</v>
      </c>
      <c r="L52" s="309">
        <f t="shared" si="1"/>
        <v>61500</v>
      </c>
      <c r="M52" s="311">
        <f t="shared" si="2"/>
        <v>798146.87257997401</v>
      </c>
      <c r="N52" s="309">
        <f t="shared" si="3"/>
        <v>63600</v>
      </c>
      <c r="O52" s="311">
        <f t="shared" si="4"/>
        <v>828237.0096762391</v>
      </c>
      <c r="P52" s="309">
        <f t="shared" si="5"/>
        <v>67800</v>
      </c>
    </row>
    <row r="53" spans="1:16" s="214" customFormat="1" x14ac:dyDescent="0.25">
      <c r="A53" s="251" t="s">
        <v>44</v>
      </c>
      <c r="B53" s="237"/>
      <c r="C53" s="237"/>
      <c r="D53" s="237" t="s">
        <v>23</v>
      </c>
      <c r="E53" s="237"/>
      <c r="F53" s="237" t="s">
        <v>23</v>
      </c>
      <c r="G53" s="237"/>
      <c r="H53" s="237"/>
      <c r="I53" s="310">
        <v>3295628.793050895</v>
      </c>
      <c r="J53" s="309">
        <f t="shared" si="0"/>
        <v>0</v>
      </c>
      <c r="K53" s="317">
        <v>3394497.6568424217</v>
      </c>
      <c r="L53" s="309">
        <f t="shared" si="1"/>
        <v>0</v>
      </c>
      <c r="M53" s="311">
        <f t="shared" si="2"/>
        <v>3492938.0888908515</v>
      </c>
      <c r="N53" s="309">
        <f t="shared" si="3"/>
        <v>0</v>
      </c>
      <c r="O53" s="311">
        <f t="shared" si="4"/>
        <v>3624621.854842037</v>
      </c>
      <c r="P53" s="309">
        <f t="shared" si="5"/>
        <v>0</v>
      </c>
    </row>
    <row r="54" spans="1:16" s="214" customFormat="1" x14ac:dyDescent="0.25">
      <c r="A54" s="251" t="s">
        <v>45</v>
      </c>
      <c r="B54" s="237"/>
      <c r="C54" s="237" t="s">
        <v>23</v>
      </c>
      <c r="D54" s="237"/>
      <c r="E54" s="237"/>
      <c r="F54" s="237"/>
      <c r="G54" s="237"/>
      <c r="H54" s="237"/>
      <c r="I54" s="310">
        <v>2259182.1670859698</v>
      </c>
      <c r="J54" s="309">
        <f t="shared" si="0"/>
        <v>0</v>
      </c>
      <c r="K54" s="317">
        <v>2326957.632098549</v>
      </c>
      <c r="L54" s="309">
        <f t="shared" si="1"/>
        <v>0</v>
      </c>
      <c r="M54" s="311">
        <f t="shared" si="2"/>
        <v>2394439.4034294067</v>
      </c>
      <c r="N54" s="309">
        <f t="shared" si="3"/>
        <v>0</v>
      </c>
      <c r="O54" s="311">
        <f t="shared" si="4"/>
        <v>2484709.7689386955</v>
      </c>
      <c r="P54" s="309">
        <f t="shared" si="5"/>
        <v>0</v>
      </c>
    </row>
    <row r="55" spans="1:16" s="214" customFormat="1" x14ac:dyDescent="0.25">
      <c r="A55" s="250" t="s">
        <v>243</v>
      </c>
      <c r="B55" s="252"/>
      <c r="C55" s="243"/>
      <c r="D55" s="252"/>
      <c r="E55" s="252"/>
      <c r="F55" s="252"/>
      <c r="G55" s="252"/>
      <c r="H55" s="252"/>
      <c r="I55" s="313"/>
      <c r="J55" s="314">
        <f t="shared" si="0"/>
        <v>59300</v>
      </c>
      <c r="K55" s="313"/>
      <c r="L55" s="314"/>
      <c r="M55" s="315"/>
      <c r="N55" s="314"/>
      <c r="O55" s="315"/>
      <c r="P55" s="316"/>
    </row>
    <row r="56" spans="1:16" s="214" customFormat="1" x14ac:dyDescent="0.25">
      <c r="A56" s="239" t="s">
        <v>36</v>
      </c>
      <c r="B56" s="247"/>
      <c r="C56" s="237" t="s">
        <v>23</v>
      </c>
      <c r="D56" s="247"/>
      <c r="E56" s="247"/>
      <c r="F56" s="247"/>
      <c r="G56" s="247"/>
      <c r="H56" s="247"/>
      <c r="I56" s="310">
        <v>838091.59780500003</v>
      </c>
      <c r="J56" s="309">
        <f t="shared" si="0"/>
        <v>59300</v>
      </c>
      <c r="K56" s="317">
        <v>866460.67286957498</v>
      </c>
      <c r="L56" s="309">
        <f t="shared" si="1"/>
        <v>61500</v>
      </c>
      <c r="M56" s="311">
        <f t="shared" si="2"/>
        <v>891588.03238279256</v>
      </c>
      <c r="N56" s="309">
        <f t="shared" si="3"/>
        <v>63600</v>
      </c>
      <c r="O56" s="311">
        <f t="shared" si="4"/>
        <v>925200.90120362386</v>
      </c>
      <c r="P56" s="309">
        <f t="shared" si="5"/>
        <v>67800</v>
      </c>
    </row>
    <row r="57" spans="1:16" s="214" customFormat="1" ht="29.25" x14ac:dyDescent="0.25">
      <c r="A57" s="318" t="s">
        <v>286</v>
      </c>
      <c r="B57" s="247"/>
      <c r="C57" s="237" t="s">
        <v>23</v>
      </c>
      <c r="D57" s="247"/>
      <c r="E57" s="247"/>
      <c r="F57" s="247"/>
      <c r="G57" s="247"/>
      <c r="H57" s="247"/>
      <c r="I57" s="310"/>
      <c r="J57" s="309">
        <f t="shared" si="0"/>
        <v>59300</v>
      </c>
      <c r="K57" s="317">
        <v>918924</v>
      </c>
      <c r="L57" s="309">
        <f t="shared" si="1"/>
        <v>61500</v>
      </c>
      <c r="M57" s="311">
        <f t="shared" si="2"/>
        <v>945572.79599999997</v>
      </c>
      <c r="N57" s="309">
        <f t="shared" si="3"/>
        <v>63600</v>
      </c>
      <c r="O57" s="311">
        <f t="shared" si="4"/>
        <v>981220.89040919999</v>
      </c>
      <c r="P57" s="309">
        <f t="shared" si="5"/>
        <v>67800</v>
      </c>
    </row>
    <row r="58" spans="1:16" s="214" customFormat="1" x14ac:dyDescent="0.25">
      <c r="A58" s="239" t="s">
        <v>37</v>
      </c>
      <c r="B58" s="247"/>
      <c r="C58" s="237" t="s">
        <v>23</v>
      </c>
      <c r="D58" s="247"/>
      <c r="E58" s="247"/>
      <c r="F58" s="247"/>
      <c r="G58" s="247"/>
      <c r="H58" s="247"/>
      <c r="I58" s="310">
        <v>838091.59780500003</v>
      </c>
      <c r="J58" s="309">
        <f t="shared" si="0"/>
        <v>59300</v>
      </c>
      <c r="K58" s="317">
        <v>863234.34573915007</v>
      </c>
      <c r="L58" s="309">
        <f t="shared" si="1"/>
        <v>61500</v>
      </c>
      <c r="M58" s="311">
        <f t="shared" si="2"/>
        <v>888268.1417655854</v>
      </c>
      <c r="N58" s="309">
        <f t="shared" si="3"/>
        <v>63600</v>
      </c>
      <c r="O58" s="311">
        <f t="shared" si="4"/>
        <v>921755.85071014799</v>
      </c>
      <c r="P58" s="309">
        <f t="shared" si="5"/>
        <v>67800</v>
      </c>
    </row>
    <row r="59" spans="1:16" s="214" customFormat="1" x14ac:dyDescent="0.25">
      <c r="A59" s="239" t="s">
        <v>38</v>
      </c>
      <c r="B59" s="247"/>
      <c r="C59" s="237" t="s">
        <v>23</v>
      </c>
      <c r="D59" s="247"/>
      <c r="E59" s="247"/>
      <c r="F59" s="247"/>
      <c r="G59" s="247"/>
      <c r="H59" s="247"/>
      <c r="I59" s="310">
        <v>515572.41149999999</v>
      </c>
      <c r="J59" s="309">
        <f t="shared" si="0"/>
        <v>59300</v>
      </c>
      <c r="K59" s="317">
        <v>531039.58384500002</v>
      </c>
      <c r="L59" s="309">
        <f t="shared" si="1"/>
        <v>61500</v>
      </c>
      <c r="M59" s="311">
        <f t="shared" si="2"/>
        <v>546439.73177650501</v>
      </c>
      <c r="N59" s="309">
        <f t="shared" si="3"/>
        <v>63600</v>
      </c>
      <c r="O59" s="311">
        <f t="shared" si="4"/>
        <v>567040.50966447929</v>
      </c>
      <c r="P59" s="309">
        <f t="shared" si="5"/>
        <v>67800</v>
      </c>
    </row>
    <row r="60" spans="1:16" s="214" customFormat="1" ht="29.25" x14ac:dyDescent="0.25">
      <c r="A60" s="318" t="s">
        <v>287</v>
      </c>
      <c r="B60" s="247" t="s">
        <v>23</v>
      </c>
      <c r="C60" s="237"/>
      <c r="D60" s="247"/>
      <c r="E60" s="247"/>
      <c r="F60" s="247"/>
      <c r="G60" s="247"/>
      <c r="H60" s="247"/>
      <c r="I60" s="310"/>
      <c r="J60" s="309">
        <f t="shared" si="0"/>
        <v>59300</v>
      </c>
      <c r="K60" s="317">
        <v>613625</v>
      </c>
      <c r="L60" s="309">
        <f t="shared" si="1"/>
        <v>61500</v>
      </c>
      <c r="M60" s="311">
        <f t="shared" si="2"/>
        <v>631420.125</v>
      </c>
      <c r="N60" s="309">
        <f t="shared" si="3"/>
        <v>63600</v>
      </c>
      <c r="O60" s="311">
        <f t="shared" si="4"/>
        <v>655224.66371250001</v>
      </c>
      <c r="P60" s="309">
        <f t="shared" si="5"/>
        <v>67800</v>
      </c>
    </row>
    <row r="61" spans="1:16" s="214" customFormat="1" ht="29.25" x14ac:dyDescent="0.25">
      <c r="A61" s="318" t="s">
        <v>245</v>
      </c>
      <c r="B61" s="247"/>
      <c r="C61" s="237" t="s">
        <v>23</v>
      </c>
      <c r="D61" s="247"/>
      <c r="E61" s="247"/>
      <c r="F61" s="247"/>
      <c r="G61" s="247"/>
      <c r="H61" s="247"/>
      <c r="I61" s="310"/>
      <c r="J61" s="309">
        <f t="shared" si="0"/>
        <v>59300</v>
      </c>
      <c r="K61" s="317">
        <v>642292</v>
      </c>
      <c r="L61" s="309">
        <f t="shared" si="1"/>
        <v>61500</v>
      </c>
      <c r="M61" s="311">
        <f t="shared" si="2"/>
        <v>660918.46799999999</v>
      </c>
      <c r="N61" s="309">
        <f t="shared" si="3"/>
        <v>63600</v>
      </c>
      <c r="O61" s="311">
        <f t="shared" si="4"/>
        <v>685835.09424360003</v>
      </c>
      <c r="P61" s="309">
        <f t="shared" si="5"/>
        <v>67800</v>
      </c>
    </row>
    <row r="62" spans="1:16" s="214" customFormat="1" ht="29.25" x14ac:dyDescent="0.25">
      <c r="A62" s="318" t="s">
        <v>245</v>
      </c>
      <c r="B62" s="247"/>
      <c r="C62" s="237"/>
      <c r="D62" s="247" t="s">
        <v>23</v>
      </c>
      <c r="E62" s="247"/>
      <c r="F62" s="247"/>
      <c r="G62" s="247"/>
      <c r="H62" s="247"/>
      <c r="I62" s="310"/>
      <c r="J62" s="309">
        <f t="shared" si="0"/>
        <v>59300</v>
      </c>
      <c r="K62" s="317">
        <v>674184</v>
      </c>
      <c r="L62" s="309">
        <f t="shared" si="1"/>
        <v>61500</v>
      </c>
      <c r="M62" s="311">
        <f t="shared" si="2"/>
        <v>693735.33599999989</v>
      </c>
      <c r="N62" s="309">
        <f t="shared" si="3"/>
        <v>63600</v>
      </c>
      <c r="O62" s="311">
        <f t="shared" si="4"/>
        <v>719889.15816719993</v>
      </c>
      <c r="P62" s="309">
        <f t="shared" si="5"/>
        <v>67800</v>
      </c>
    </row>
    <row r="63" spans="1:16" s="214" customFormat="1" x14ac:dyDescent="0.25">
      <c r="A63" s="250" t="s">
        <v>246</v>
      </c>
      <c r="B63" s="252"/>
      <c r="C63" s="243"/>
      <c r="D63" s="252"/>
      <c r="E63" s="252"/>
      <c r="F63" s="252"/>
      <c r="G63" s="252"/>
      <c r="H63" s="252"/>
      <c r="I63" s="313"/>
      <c r="J63" s="314"/>
      <c r="K63" s="313"/>
      <c r="L63" s="314"/>
      <c r="M63" s="315"/>
      <c r="N63" s="314"/>
      <c r="O63" s="315"/>
      <c r="P63" s="316"/>
    </row>
    <row r="64" spans="1:16" s="214" customFormat="1" x14ac:dyDescent="0.25">
      <c r="A64" s="253" t="s">
        <v>39</v>
      </c>
      <c r="B64" s="247"/>
      <c r="C64" s="237" t="s">
        <v>23</v>
      </c>
      <c r="D64" s="247"/>
      <c r="E64" s="247"/>
      <c r="F64" s="247"/>
      <c r="G64" s="247"/>
      <c r="H64" s="247"/>
      <c r="I64" s="310">
        <v>837931.1974992</v>
      </c>
      <c r="J64" s="309">
        <f t="shared" si="0"/>
        <v>59300</v>
      </c>
      <c r="K64" s="317">
        <v>863069.13342417602</v>
      </c>
      <c r="L64" s="309">
        <f t="shared" si="1"/>
        <v>61500</v>
      </c>
      <c r="M64" s="311">
        <f t="shared" si="2"/>
        <v>888098.13829347701</v>
      </c>
      <c r="N64" s="309">
        <f t="shared" si="3"/>
        <v>63600</v>
      </c>
      <c r="O64" s="311">
        <f t="shared" si="4"/>
        <v>921579.43810714118</v>
      </c>
      <c r="P64" s="309">
        <f t="shared" si="5"/>
        <v>67800</v>
      </c>
    </row>
    <row r="65" spans="1:16" s="214" customFormat="1" x14ac:dyDescent="0.25">
      <c r="A65" s="239" t="s">
        <v>40</v>
      </c>
      <c r="B65" s="247"/>
      <c r="C65" s="237"/>
      <c r="D65" s="237" t="s">
        <v>23</v>
      </c>
      <c r="E65" s="237"/>
      <c r="F65" s="247"/>
      <c r="G65" s="247"/>
      <c r="H65" s="247"/>
      <c r="I65" s="310">
        <v>496900</v>
      </c>
      <c r="J65" s="309">
        <f t="shared" si="0"/>
        <v>59300</v>
      </c>
      <c r="K65" s="317">
        <v>515000</v>
      </c>
      <c r="L65" s="309">
        <f t="shared" si="1"/>
        <v>61500</v>
      </c>
      <c r="M65" s="311">
        <f>+K65*1.04</f>
        <v>535600</v>
      </c>
      <c r="N65" s="309">
        <f t="shared" si="3"/>
        <v>63600</v>
      </c>
      <c r="O65" s="311">
        <v>566700</v>
      </c>
      <c r="P65" s="309">
        <f t="shared" si="5"/>
        <v>67800</v>
      </c>
    </row>
    <row r="66" spans="1:16" s="214" customFormat="1" x14ac:dyDescent="0.25">
      <c r="A66" s="239" t="s">
        <v>41</v>
      </c>
      <c r="B66" s="237" t="s">
        <v>23</v>
      </c>
      <c r="C66" s="237"/>
      <c r="D66" s="237"/>
      <c r="E66" s="237"/>
      <c r="F66" s="247"/>
      <c r="G66" s="247"/>
      <c r="H66" s="247"/>
      <c r="I66" s="310">
        <v>496900</v>
      </c>
      <c r="J66" s="309">
        <f t="shared" si="0"/>
        <v>59300</v>
      </c>
      <c r="K66" s="317">
        <v>515000</v>
      </c>
      <c r="L66" s="309">
        <f t="shared" si="1"/>
        <v>61500</v>
      </c>
      <c r="M66" s="311">
        <f>+K66*1.04</f>
        <v>535600</v>
      </c>
      <c r="N66" s="309">
        <f t="shared" si="3"/>
        <v>63600</v>
      </c>
      <c r="O66" s="311">
        <v>566700</v>
      </c>
      <c r="P66" s="309">
        <f t="shared" si="5"/>
        <v>67800</v>
      </c>
    </row>
    <row r="67" spans="1:16" s="214" customFormat="1" x14ac:dyDescent="0.25">
      <c r="A67" s="239" t="s">
        <v>42</v>
      </c>
      <c r="B67" s="237"/>
      <c r="C67" s="237" t="s">
        <v>23</v>
      </c>
      <c r="D67" s="237"/>
      <c r="E67" s="237"/>
      <c r="F67" s="247"/>
      <c r="G67" s="247"/>
      <c r="H67" s="247"/>
      <c r="I67" s="310">
        <v>496900</v>
      </c>
      <c r="J67" s="309">
        <f t="shared" si="0"/>
        <v>59300</v>
      </c>
      <c r="K67" s="317">
        <v>515000</v>
      </c>
      <c r="L67" s="309">
        <f t="shared" si="1"/>
        <v>61500</v>
      </c>
      <c r="M67" s="311">
        <f>+K67*1.04</f>
        <v>535600</v>
      </c>
      <c r="N67" s="309">
        <f t="shared" si="3"/>
        <v>63600</v>
      </c>
      <c r="O67" s="311">
        <v>566700</v>
      </c>
      <c r="P67" s="309">
        <f t="shared" si="5"/>
        <v>67800</v>
      </c>
    </row>
    <row r="68" spans="1:16" s="214" customFormat="1" x14ac:dyDescent="0.25">
      <c r="A68" s="239" t="s">
        <v>43</v>
      </c>
      <c r="B68" s="237"/>
      <c r="C68" s="237" t="s">
        <v>23</v>
      </c>
      <c r="D68" s="237"/>
      <c r="E68" s="237"/>
      <c r="F68" s="247"/>
      <c r="G68" s="247"/>
      <c r="H68" s="247"/>
      <c r="I68" s="310">
        <v>496900</v>
      </c>
      <c r="J68" s="309">
        <f t="shared" si="0"/>
        <v>59300</v>
      </c>
      <c r="K68" s="317">
        <v>515000</v>
      </c>
      <c r="L68" s="309">
        <f t="shared" si="1"/>
        <v>61500</v>
      </c>
      <c r="M68" s="311">
        <f>+K68*1.04</f>
        <v>535600</v>
      </c>
      <c r="N68" s="309">
        <f t="shared" si="3"/>
        <v>63600</v>
      </c>
      <c r="O68" s="311">
        <v>566700</v>
      </c>
      <c r="P68" s="309">
        <f t="shared" si="5"/>
        <v>67800</v>
      </c>
    </row>
    <row r="72" spans="1:16" s="214" customFormat="1" ht="26.25" x14ac:dyDescent="0.25">
      <c r="A72" s="319" t="s">
        <v>288</v>
      </c>
      <c r="B72" s="215"/>
      <c r="C72" s="215"/>
      <c r="D72" s="215"/>
      <c r="E72" s="215"/>
      <c r="F72" s="215"/>
      <c r="G72" s="215"/>
      <c r="H72" s="215"/>
      <c r="I72" s="213"/>
      <c r="J72" s="213"/>
      <c r="K72" s="213"/>
      <c r="L72" s="213"/>
      <c r="M72" s="213"/>
      <c r="N72" s="213"/>
      <c r="O72" s="213"/>
      <c r="P72" s="213"/>
    </row>
    <row r="73" spans="1:16" s="214" customFormat="1" ht="25.5" x14ac:dyDescent="0.25">
      <c r="A73" s="320" t="s">
        <v>289</v>
      </c>
      <c r="B73" s="215"/>
      <c r="C73" s="215"/>
      <c r="D73" s="215"/>
      <c r="E73" s="215"/>
      <c r="F73" s="215"/>
      <c r="G73" s="215"/>
      <c r="H73" s="215"/>
      <c r="I73" s="321"/>
      <c r="J73" s="213"/>
      <c r="K73" s="213"/>
      <c r="L73" s="213"/>
      <c r="M73" s="213"/>
      <c r="N73" s="213"/>
      <c r="O73" s="213"/>
      <c r="P73" s="213"/>
    </row>
  </sheetData>
  <mergeCells count="31">
    <mergeCell ref="O5:P5"/>
    <mergeCell ref="K10:L10"/>
    <mergeCell ref="A1:P1"/>
    <mergeCell ref="A2:P2"/>
    <mergeCell ref="A3:P3"/>
    <mergeCell ref="A5:A6"/>
    <mergeCell ref="I5:J5"/>
    <mergeCell ref="I6:J6"/>
    <mergeCell ref="M5:N5"/>
    <mergeCell ref="G6:H6"/>
    <mergeCell ref="A9:A11"/>
    <mergeCell ref="B9:D9"/>
    <mergeCell ref="E9:H9"/>
    <mergeCell ref="I9:P9"/>
    <mergeCell ref="I10:J10"/>
    <mergeCell ref="O10:P10"/>
    <mergeCell ref="K5:L5"/>
    <mergeCell ref="G8:H8"/>
    <mergeCell ref="K6:L6"/>
    <mergeCell ref="K8:L8"/>
    <mergeCell ref="M8:N8"/>
    <mergeCell ref="M10:N10"/>
    <mergeCell ref="O8:P8"/>
    <mergeCell ref="G7:H7"/>
    <mergeCell ref="I8:J8"/>
    <mergeCell ref="M6:N6"/>
    <mergeCell ref="O6:P6"/>
    <mergeCell ref="I7:J7"/>
    <mergeCell ref="K7:L7"/>
    <mergeCell ref="O7:P7"/>
    <mergeCell ref="M7:N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38</vt:i4>
      </vt:variant>
      <vt:variant>
        <vt:lpstr>Rangos con nombre</vt:lpstr>
      </vt:variant>
      <vt:variant>
        <vt:i4>6</vt:i4>
      </vt:variant>
    </vt:vector>
  </HeadingPairs>
  <TitlesOfParts>
    <vt:vector size="44" baseType="lpstr">
      <vt:lpstr>SALARIO (2)</vt:lpstr>
      <vt:lpstr>KIT agrop..</vt:lpstr>
      <vt:lpstr>ELECTROD - Gerencia</vt:lpstr>
      <vt:lpstr>Insumos</vt:lpstr>
      <vt:lpstr>Herram.</vt:lpstr>
      <vt:lpstr>Partic (3)</vt:lpstr>
      <vt:lpstr>Partic (2)</vt:lpstr>
      <vt:lpstr>Consolidado  (2)</vt:lpstr>
      <vt:lpstr>Consolidado </vt:lpstr>
      <vt:lpstr>Hoja1 (3)</vt:lpstr>
      <vt:lpstr>Hoja1</vt:lpstr>
      <vt:lpstr>RH</vt:lpstr>
      <vt:lpstr>Paquete_FV</vt:lpstr>
      <vt:lpstr>Dotac</vt:lpstr>
      <vt:lpstr>Actividades</vt:lpstr>
      <vt:lpstr>Transporte</vt:lpstr>
      <vt:lpstr>Dotacion</vt:lpstr>
      <vt:lpstr>Alqul_Equip</vt:lpstr>
      <vt:lpstr>Vit_Mez</vt:lpstr>
      <vt:lpstr>Transp</vt:lpstr>
      <vt:lpstr>Alquiact</vt:lpstr>
      <vt:lpstr>KitBebe</vt:lpstr>
      <vt:lpstr>Kitescolar</vt:lpstr>
      <vt:lpstr>Gtodesp</vt:lpstr>
      <vt:lpstr>Papelería </vt:lpstr>
      <vt:lpstr>Compota</vt:lpstr>
      <vt:lpstr>Bodeg y Log</vt:lpstr>
      <vt:lpstr>Bodega</vt:lpstr>
      <vt:lpstr>E. Precios</vt:lpstr>
      <vt:lpstr>Grupos</vt:lpstr>
      <vt:lpstr>Alimentacion</vt:lpstr>
      <vt:lpstr>PAPELERIA</vt:lpstr>
      <vt:lpstr>Hoja4</vt:lpstr>
      <vt:lpstr>Hoja3</vt:lpstr>
      <vt:lpstr>Refrigerios</vt:lpstr>
      <vt:lpstr>Gestión documental</vt:lpstr>
      <vt:lpstr>Poliza</vt:lpstr>
      <vt:lpstr>SALARIOS</vt:lpstr>
      <vt:lpstr>Alquiact!Área_de_impresión</vt:lpstr>
      <vt:lpstr>'Papelería '!Área_de_impresión</vt:lpstr>
      <vt:lpstr>'Partic (3)'!Área_de_impresión</vt:lpstr>
      <vt:lpstr>'SALARIO (2)'!Área_de_impresión</vt:lpstr>
      <vt:lpstr>Vit_Mez!Área_de_impresión</vt:lpstr>
      <vt:lpstr>'Papelería '!Títulos_a_imprimir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mx</dc:creator>
  <cp:lastModifiedBy>Usuario de Windows</cp:lastModifiedBy>
  <cp:lastPrinted>2017-01-13T18:57:33Z</cp:lastPrinted>
  <dcterms:created xsi:type="dcterms:W3CDTF">2009-09-16T17:30:52Z</dcterms:created>
  <dcterms:modified xsi:type="dcterms:W3CDTF">2019-09-27T19:59:05Z</dcterms:modified>
</cp:coreProperties>
</file>