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EsteLibro"/>
  <mc:AlternateContent xmlns:mc="http://schemas.openxmlformats.org/markup-compatibility/2006">
    <mc:Choice Requires="x15">
      <x15ac:absPath xmlns:x15ac="http://schemas.microsoft.com/office/spreadsheetml/2010/11/ac" url="C:\Users\etarazona\Desktop\EVALUACIÓN IP06 MONTO\INFORME EVALUACIÓN FINAL\"/>
    </mc:Choice>
  </mc:AlternateContent>
  <xr:revisionPtr revIDLastSave="0" documentId="8_{0F93BD35-E62C-4368-AE6C-2341FD0C9CD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OA" sheetId="6" r:id="rId1"/>
    <sheet name="Puntajes" sheetId="14" state="hidden" r:id="rId2"/>
    <sheet name="Capacidad Financiera" sheetId="4" r:id="rId3"/>
    <sheet name="Puntaje Exp" sheetId="17" r:id="rId4"/>
    <sheet name="Puntaje CT" sheetId="16" r:id="rId5"/>
    <sheet name="Puntaje CF" sheetId="18" r:id="rId6"/>
    <sheet name="Saldo CtosEjecución" sheetId="19" r:id="rId7"/>
    <sheet name="Cap Organización" sheetId="20" r:id="rId8"/>
    <sheet name="Capacidad Residual" sheetId="5" r:id="rId9"/>
    <sheet name="PO" sheetId="7" state="hidden" r:id="rId10"/>
  </sheet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2">'Capacidad Financiera'!$B$1:$AF$12</definedName>
    <definedName name="_xlnm.Print_Area" localSheetId="8">'Capacidad Residual'!$C$2:$S$10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2" hidden="1">'Capacidad Financiera'!$B$1:$AD$11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7" l="1"/>
  <c r="K12" i="4" l="1"/>
  <c r="C9" i="19" l="1"/>
  <c r="C9" i="17"/>
  <c r="R12" i="4" l="1"/>
  <c r="D11" i="17"/>
  <c r="E12" i="17"/>
  <c r="D12" i="17"/>
  <c r="D13" i="17"/>
  <c r="E13" i="17"/>
  <c r="Y12" i="4" l="1"/>
  <c r="I12" i="4"/>
  <c r="J12" i="4"/>
  <c r="W12" i="4"/>
  <c r="J13" i="17"/>
  <c r="H13" i="17"/>
  <c r="G12" i="17"/>
  <c r="I12" i="17" s="1"/>
  <c r="E11" i="17"/>
  <c r="G11" i="17" s="1"/>
  <c r="G13" i="17"/>
  <c r="I13" i="17" s="1"/>
  <c r="J12" i="17"/>
  <c r="H12" i="17"/>
  <c r="D13" i="16"/>
  <c r="F13" i="16" s="1"/>
  <c r="S12" i="4" l="1"/>
  <c r="T12" i="4" s="1"/>
  <c r="H11" i="17"/>
  <c r="J11" i="17"/>
  <c r="I11" i="17"/>
  <c r="E9" i="18" l="1"/>
  <c r="D9" i="17" l="1"/>
  <c r="C9" i="16"/>
  <c r="D9" i="16" l="1"/>
  <c r="I9" i="17" l="1"/>
  <c r="V9" i="4"/>
  <c r="AB12" i="4" l="1"/>
  <c r="C9" i="20" l="1"/>
  <c r="C4" i="20"/>
  <c r="D9" i="20" l="1"/>
  <c r="C4" i="19"/>
  <c r="D9" i="19" l="1"/>
  <c r="C9" i="18"/>
  <c r="C4" i="18"/>
  <c r="D9" i="18" l="1"/>
  <c r="F9" i="18" s="1"/>
  <c r="C4" i="17"/>
  <c r="H9" i="18" l="1"/>
  <c r="C4" i="16"/>
  <c r="C4" i="5"/>
  <c r="F10" i="5" l="1"/>
  <c r="G10" i="5" l="1"/>
  <c r="H10" i="5"/>
  <c r="J10" i="5" l="1"/>
  <c r="C10" i="5" l="1"/>
  <c r="B101" i="7"/>
  <c r="K10" i="5" l="1"/>
  <c r="L10" i="5"/>
  <c r="Q10" i="5"/>
  <c r="O10" i="5"/>
  <c r="P10" i="5"/>
  <c r="E10" i="5"/>
  <c r="D10" i="5"/>
  <c r="D12" i="16"/>
  <c r="F12" i="16" s="1"/>
  <c r="Q12" i="4"/>
  <c r="N10" i="5"/>
  <c r="AA12" i="4"/>
  <c r="R10" i="5" l="1"/>
  <c r="S10" i="5" s="1"/>
  <c r="D11" i="16"/>
  <c r="F11" i="16" s="1"/>
  <c r="U12" i="4"/>
  <c r="V12" i="4" s="1"/>
</calcChain>
</file>

<file path=xl/sharedStrings.xml><?xml version="1.0" encoding="utf-8"?>
<sst xmlns="http://schemas.openxmlformats.org/spreadsheetml/2006/main" count="258" uniqueCount="205">
  <si>
    <t>N</t>
  </si>
  <si>
    <t>PLAZO</t>
  </si>
  <si>
    <t>(%)</t>
  </si>
  <si>
    <t>En Pesos Colombianos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</si>
  <si>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</si>
  <si>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</si>
  <si>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</si>
  <si>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</si>
  <si>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</si>
  <si>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</si>
  <si>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</si>
  <si>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</si>
  <si>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</si>
  <si>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</si>
  <si>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</si>
  <si>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</si>
  <si>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</si>
  <si>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</si>
  <si>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</si>
  <si>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</si>
  <si>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</si>
  <si>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</si>
  <si>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</si>
  <si>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</si>
  <si>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</si>
  <si>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</si>
  <si>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</si>
  <si>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</si>
  <si>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</si>
  <si>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</si>
  <si>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</si>
  <si>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</si>
  <si>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</si>
  <si>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</si>
  <si>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</si>
  <si>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</si>
  <si>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</si>
  <si>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</si>
  <si>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</si>
  <si>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</si>
  <si>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</si>
  <si>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</si>
  <si>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</si>
  <si>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</si>
  <si>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</si>
  <si>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</si>
  <si>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</si>
  <si>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</si>
  <si>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</si>
  <si>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</si>
  <si>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</si>
  <si>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</si>
  <si>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</si>
  <si>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</si>
  <si>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</si>
  <si>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</si>
  <si>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</si>
  <si>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</si>
  <si>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</si>
  <si>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</si>
  <si>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</si>
  <si>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</si>
  <si>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</si>
  <si>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</si>
  <si>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</si>
  <si>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</si>
  <si>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</si>
  <si>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</si>
  <si>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</si>
  <si>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</si>
  <si>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</si>
  <si>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</si>
  <si>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</si>
  <si>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</si>
  <si>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</si>
  <si>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</si>
  <si>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</si>
  <si>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</si>
  <si>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</si>
  <si>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</si>
  <si>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</si>
  <si>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</si>
  <si>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</si>
  <si>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</si>
  <si>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</si>
  <si>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</si>
  <si>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</si>
  <si>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</si>
  <si>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</si>
  <si>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</si>
  <si>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</si>
  <si>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</si>
  <si>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</si>
  <si>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</si>
  <si>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</si>
  <si>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</si>
  <si>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</si>
  <si>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</si>
  <si>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</si>
  <si>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</si>
  <si>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</si>
  <si>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</si>
  <si>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</si>
  <si>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</si>
  <si>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</si>
  <si>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</si>
  <si>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</si>
  <si>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</si>
  <si>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</si>
  <si>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</si>
  <si>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</si>
  <si>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</si>
  <si>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</si>
  <si>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</si>
  <si>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</si>
  <si>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</si>
  <si>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</si>
  <si>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</si>
  <si>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</si>
  <si>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</si>
  <si>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</si>
  <si>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</si>
  <si>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</si>
  <si>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</si>
  <si>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</si>
  <si>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</si>
  <si>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</si>
  <si>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</si>
  <si>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</si>
  <si>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</si>
  <si>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</si>
  <si>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</si>
  <si>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</si>
  <si>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</si>
  <si>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</si>
  <si>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</si>
  <si>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</si>
  <si>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</si>
  <si>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</si>
  <si>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</si>
  <si>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</si>
  <si>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</si>
  <si>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</si>
  <si>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</si>
  <si>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</si>
  <si>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</si>
  <si>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</si>
  <si>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</si>
  <si>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</si>
  <si>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</si>
  <si>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</si>
  <si>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</si>
  <si>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</si>
  <si>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</si>
  <si>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</si>
  <si>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</si>
  <si>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</si>
  <si>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</si>
  <si>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</si>
  <si>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</si>
  <si>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</si>
  <si>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</si>
  <si>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</si>
  <si>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</si>
  <si>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</si>
  <si>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</si>
  <si>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</si>
  <si>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</si>
  <si>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</si>
  <si>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</si>
  <si>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</si>
  <si>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</si>
  <si>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</si>
  <si>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</si>
  <si>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</si>
  <si>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</si>
  <si>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</si>
  <si>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</si>
  <si>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</si>
  <si>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</si>
  <si>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</si>
  <si>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</si>
  <si>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</si>
  <si>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</si>
  <si>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</si>
  <si>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</si>
  <si>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</si>
  <si>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</si>
  <si>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</si>
  <si>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</si>
  <si>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</si>
  <si>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</si>
  <si>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</si>
  <si>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</si>
  <si>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>OBSERVACIONES</t>
  </si>
  <si>
    <t>Fórmula: P=AT-PT &gt;= (10%*PO)</t>
  </si>
  <si>
    <t>HABIL</t>
  </si>
  <si>
    <t>Fórmula: CT=AC-PC&gt;=10(PO/ni)</t>
  </si>
  <si>
    <t>Fórmula: Liquidez=AC/PC&gt;=1,00</t>
  </si>
  <si>
    <t>SMMLV 2023</t>
  </si>
  <si>
    <t>CARLOS DEL RIO DIAZ</t>
  </si>
  <si>
    <t>10%*PO</t>
  </si>
  <si>
    <r>
      <t xml:space="preserve">Formula: CO * </t>
    </r>
    <r>
      <rPr>
        <b/>
        <sz val="8"/>
        <rFont val="Calibri"/>
        <family val="2"/>
      </rPr>
      <t>[(E+CT+CF)/100] - SCE</t>
    </r>
  </si>
  <si>
    <t>CONTRATACION PÚBLICA No. IP-DT-SAN-006-2023</t>
  </si>
  <si>
    <t>DIRECCIÓN TERRITORIAL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</si>
</sst>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_ ;_ * \-#,##0_ ;_ * &quot;-&quot;_ ;_ @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 * #,##0_ ;_ * \-#,##0_ ;_ * &quot;-&quot;??_ ;_ @_ "/>
    <numFmt numFmtId="170" formatCode="0.0%"/>
    <numFmt numFmtId="171" formatCode="#,##0.0"/>
    <numFmt numFmtId="172" formatCode="_ * #,##0.0_ ;_ * \-#,##0.0_ ;_ * &quot;-&quot;??_ ;_ @_ "/>
  </numFmts>
  <fonts count="3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2">
    <xf numFmtId="0" fontId="0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0" fontId="1" fillId="0" borderId="0"/>
    <xf numFmtId="0" fontId="23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239">
    <xf numFmtId="0" fontId="0" fillId="0" borderId="0" xfId="0"/>
    <xf numFmtId="0" fontId="5" fillId="0" borderId="0" xfId="0" applyFont="1"/>
    <xf numFmtId="0" fontId="6" fillId="2" borderId="5" xfId="0" applyFont="1" applyFill="1" applyBorder="1" applyAlignment="1">
      <alignment horizontal="center" vertical="center" textRotation="90" wrapText="1"/>
    </xf>
    <xf numFmtId="3" fontId="6" fillId="2" borderId="5" xfId="0" applyNumberFormat="1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vertical="center" wrapText="1"/>
    </xf>
    <xf numFmtId="3" fontId="0" fillId="0" borderId="0" xfId="0" applyNumberFormat="1"/>
    <xf numFmtId="169" fontId="9" fillId="0" borderId="0" xfId="1" applyNumberFormat="1" applyFont="1" applyFill="1" applyAlignment="1">
      <alignment vertical="center" wrapText="1"/>
    </xf>
    <xf numFmtId="168" fontId="14" fillId="5" borderId="8" xfId="1" applyFont="1" applyFill="1" applyBorder="1" applyAlignment="1">
      <alignment horizontal="center" vertical="center"/>
    </xf>
    <xf numFmtId="0" fontId="11" fillId="3" borderId="2" xfId="0" quotePrefix="1" applyFont="1" applyFill="1" applyBorder="1" applyAlignment="1">
      <alignment horizontal="left" vertical="center" wrapText="1"/>
    </xf>
    <xf numFmtId="0" fontId="11" fillId="3" borderId="1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166" fontId="17" fillId="6" borderId="5" xfId="1" applyNumberFormat="1" applyFont="1" applyFill="1" applyBorder="1" applyAlignment="1">
      <alignment horizontal="center" vertical="center" wrapText="1"/>
    </xf>
    <xf numFmtId="169" fontId="17" fillId="7" borderId="13" xfId="1" applyNumberFormat="1" applyFont="1" applyFill="1" applyBorder="1" applyAlignment="1">
      <alignment horizontal="center" vertical="center"/>
    </xf>
    <xf numFmtId="168" fontId="2" fillId="7" borderId="13" xfId="1" applyFont="1" applyFill="1" applyBorder="1" applyAlignment="1">
      <alignment horizontal="center" vertical="center"/>
    </xf>
    <xf numFmtId="168" fontId="11" fillId="0" borderId="5" xfId="1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4" fontId="14" fillId="3" borderId="13" xfId="3" applyNumberFormat="1" applyFont="1" applyFill="1" applyBorder="1" applyAlignment="1">
      <alignment horizontal="center" vertical="center" wrapText="1"/>
    </xf>
    <xf numFmtId="0" fontId="14" fillId="3" borderId="13" xfId="3" applyFont="1" applyFill="1" applyBorder="1" applyAlignment="1">
      <alignment horizontal="center" vertical="center" wrapText="1"/>
    </xf>
    <xf numFmtId="10" fontId="20" fillId="6" borderId="5" xfId="3" applyNumberFormat="1" applyFont="1" applyFill="1" applyBorder="1" applyAlignment="1">
      <alignment horizontal="center" vertical="center" wrapText="1"/>
    </xf>
    <xf numFmtId="0" fontId="20" fillId="7" borderId="19" xfId="4" applyFont="1" applyFill="1" applyBorder="1" applyAlignment="1">
      <alignment horizontal="center" vertical="center" wrapText="1"/>
    </xf>
    <xf numFmtId="168" fontId="20" fillId="7" borderId="13" xfId="1" applyFont="1" applyFill="1" applyBorder="1" applyAlignment="1">
      <alignment horizontal="center" vertical="center" wrapText="1"/>
    </xf>
    <xf numFmtId="10" fontId="20" fillId="7" borderId="13" xfId="3" applyNumberFormat="1" applyFont="1" applyFill="1" applyBorder="1" applyAlignment="1">
      <alignment horizontal="center" vertical="center" wrapText="1"/>
    </xf>
    <xf numFmtId="168" fontId="20" fillId="7" borderId="13" xfId="3" applyNumberFormat="1" applyFont="1" applyFill="1" applyBorder="1" applyAlignment="1">
      <alignment horizontal="center" vertical="center" wrapText="1"/>
    </xf>
    <xf numFmtId="169" fontId="20" fillId="7" borderId="13" xfId="1" applyNumberFormat="1" applyFont="1" applyFill="1" applyBorder="1" applyAlignment="1">
      <alignment horizontal="center" vertical="center" wrapText="1"/>
    </xf>
    <xf numFmtId="0" fontId="21" fillId="6" borderId="12" xfId="4" applyFont="1" applyFill="1" applyBorder="1" applyAlignment="1">
      <alignment horizontal="center" vertical="center" wrapText="1"/>
    </xf>
    <xf numFmtId="169" fontId="17" fillId="11" borderId="13" xfId="1" applyNumberFormat="1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vertical="center" wrapText="1"/>
    </xf>
    <xf numFmtId="167" fontId="11" fillId="3" borderId="15" xfId="2" applyFont="1" applyFill="1" applyBorder="1" applyAlignment="1">
      <alignment vertical="center" wrapText="1"/>
    </xf>
    <xf numFmtId="0" fontId="11" fillId="3" borderId="10" xfId="0" applyFont="1" applyFill="1" applyBorder="1" applyAlignment="1">
      <alignment vertical="center" wrapText="1"/>
    </xf>
    <xf numFmtId="167" fontId="11" fillId="3" borderId="11" xfId="2" applyFont="1" applyFill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167" fontId="11" fillId="3" borderId="25" xfId="2" applyFont="1" applyFill="1" applyBorder="1" applyAlignment="1">
      <alignment vertical="center" wrapText="1"/>
    </xf>
    <xf numFmtId="0" fontId="4" fillId="0" borderId="14" xfId="0" applyFont="1" applyBorder="1"/>
    <xf numFmtId="0" fontId="11" fillId="4" borderId="18" xfId="0" applyFont="1" applyFill="1" applyBorder="1" applyAlignment="1">
      <alignment horizontal="center" vertical="center"/>
    </xf>
    <xf numFmtId="0" fontId="11" fillId="4" borderId="18" xfId="0" quotePrefix="1" applyFont="1" applyFill="1" applyBorder="1" applyAlignment="1">
      <alignment horizontal="center" vertical="center"/>
    </xf>
    <xf numFmtId="166" fontId="11" fillId="4" borderId="18" xfId="0" applyNumberFormat="1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8" fontId="22" fillId="10" borderId="5" xfId="1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168" fontId="11" fillId="3" borderId="9" xfId="1" applyFont="1" applyFill="1" applyBorder="1" applyAlignment="1">
      <alignment horizontal="center" vertical="center" wrapText="1"/>
    </xf>
    <xf numFmtId="170" fontId="12" fillId="0" borderId="5" xfId="5" applyNumberFormat="1" applyFont="1" applyFill="1" applyBorder="1" applyAlignment="1">
      <alignment horizontal="center" vertical="center" wrapText="1"/>
    </xf>
    <xf numFmtId="0" fontId="2" fillId="0" borderId="34" xfId="0" applyFont="1" applyBorder="1"/>
    <xf numFmtId="0" fontId="14" fillId="11" borderId="13" xfId="3" applyFont="1" applyFill="1" applyBorder="1" applyAlignment="1">
      <alignment horizontal="center" vertical="center" wrapText="1"/>
    </xf>
    <xf numFmtId="0" fontId="14" fillId="3" borderId="37" xfId="3" applyFont="1" applyFill="1" applyBorder="1" applyAlignment="1">
      <alignment horizontal="center" vertical="center" wrapText="1"/>
    </xf>
    <xf numFmtId="0" fontId="14" fillId="11" borderId="37" xfId="3" applyFont="1" applyFill="1" applyBorder="1" applyAlignment="1">
      <alignment horizontal="center" vertical="center" wrapText="1"/>
    </xf>
    <xf numFmtId="168" fontId="21" fillId="0" borderId="40" xfId="1" applyFont="1" applyFill="1" applyBorder="1" applyAlignment="1">
      <alignment horizontal="center" vertical="center" wrapText="1"/>
    </xf>
    <xf numFmtId="0" fontId="3" fillId="10" borderId="0" xfId="0" applyFont="1" applyFill="1"/>
    <xf numFmtId="0" fontId="2" fillId="10" borderId="0" xfId="0" applyFont="1" applyFill="1"/>
    <xf numFmtId="0" fontId="3" fillId="10" borderId="0" xfId="0" applyFont="1" applyFill="1" applyAlignment="1">
      <alignment horizontal="center"/>
    </xf>
    <xf numFmtId="168" fontId="3" fillId="10" borderId="0" xfId="1" applyFont="1" applyFill="1" applyAlignment="1">
      <alignment horizontal="center"/>
    </xf>
    <xf numFmtId="166" fontId="3" fillId="10" borderId="0" xfId="0" applyNumberFormat="1" applyFont="1" applyFill="1" applyAlignment="1">
      <alignment horizontal="center"/>
    </xf>
    <xf numFmtId="9" fontId="11" fillId="10" borderId="4" xfId="0" applyNumberFormat="1" applyFont="1" applyFill="1" applyBorder="1" applyAlignment="1">
      <alignment vertical="center"/>
    </xf>
    <xf numFmtId="9" fontId="11" fillId="10" borderId="1" xfId="0" applyNumberFormat="1" applyFont="1" applyFill="1" applyBorder="1" applyAlignment="1">
      <alignment vertical="center"/>
    </xf>
    <xf numFmtId="9" fontId="11" fillId="10" borderId="0" xfId="0" applyNumberFormat="1" applyFont="1" applyFill="1" applyAlignment="1">
      <alignment vertical="center"/>
    </xf>
    <xf numFmtId="0" fontId="3" fillId="10" borderId="1" xfId="0" applyFont="1" applyFill="1" applyBorder="1"/>
    <xf numFmtId="0" fontId="3" fillId="10" borderId="7" xfId="0" applyFont="1" applyFill="1" applyBorder="1"/>
    <xf numFmtId="0" fontId="5" fillId="6" borderId="3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168" fontId="0" fillId="10" borderId="0" xfId="1" applyFont="1" applyFill="1" applyAlignment="1">
      <alignment horizontal="center" vertical="center"/>
    </xf>
    <xf numFmtId="0" fontId="0" fillId="10" borderId="0" xfId="0" applyFill="1"/>
    <xf numFmtId="0" fontId="2" fillId="10" borderId="0" xfId="0" applyFont="1" applyFill="1" applyAlignment="1">
      <alignment horizontal="center" vertical="center"/>
    </xf>
    <xf numFmtId="9" fontId="0" fillId="10" borderId="0" xfId="0" applyNumberFormat="1" applyFill="1"/>
    <xf numFmtId="167" fontId="0" fillId="10" borderId="0" xfId="2" applyFont="1" applyFill="1" applyAlignment="1">
      <alignment horizontal="center" vertical="center"/>
    </xf>
    <xf numFmtId="167" fontId="0" fillId="10" borderId="0" xfId="0" applyNumberFormat="1" applyFill="1"/>
    <xf numFmtId="164" fontId="0" fillId="10" borderId="0" xfId="0" applyNumberFormat="1" applyFill="1"/>
    <xf numFmtId="0" fontId="21" fillId="10" borderId="0" xfId="0" applyFont="1" applyFill="1"/>
    <xf numFmtId="168" fontId="21" fillId="10" borderId="0" xfId="1" applyFont="1" applyFill="1" applyBorder="1"/>
    <xf numFmtId="9" fontId="21" fillId="10" borderId="0" xfId="5" applyFont="1" applyFill="1" applyBorder="1"/>
    <xf numFmtId="0" fontId="21" fillId="10" borderId="0" xfId="0" applyFont="1" applyFill="1" applyAlignment="1">
      <alignment horizontal="center" vertical="center" wrapText="1"/>
    </xf>
    <xf numFmtId="10" fontId="20" fillId="10" borderId="0" xfId="3" applyNumberFormat="1" applyFont="1" applyFill="1" applyAlignment="1">
      <alignment horizontal="center" vertical="center" wrapText="1"/>
    </xf>
    <xf numFmtId="168" fontId="20" fillId="10" borderId="0" xfId="3" applyNumberFormat="1" applyFont="1" applyFill="1" applyAlignment="1">
      <alignment horizontal="center" vertical="center" wrapText="1"/>
    </xf>
    <xf numFmtId="4" fontId="20" fillId="10" borderId="0" xfId="3" applyNumberFormat="1" applyFont="1" applyFill="1" applyAlignment="1">
      <alignment horizontal="center" vertical="center" wrapText="1"/>
    </xf>
    <xf numFmtId="169" fontId="17" fillId="10" borderId="0" xfId="1" applyNumberFormat="1" applyFont="1" applyFill="1" applyBorder="1" applyAlignment="1">
      <alignment horizontal="center" vertical="center"/>
    </xf>
    <xf numFmtId="171" fontId="20" fillId="10" borderId="0" xfId="3" applyNumberFormat="1" applyFont="1" applyFill="1" applyAlignment="1">
      <alignment horizontal="center" vertical="center" wrapText="1"/>
    </xf>
    <xf numFmtId="168" fontId="0" fillId="10" borderId="0" xfId="1" applyFont="1" applyFill="1"/>
    <xf numFmtId="9" fontId="0" fillId="10" borderId="0" xfId="5" applyFont="1" applyFill="1"/>
    <xf numFmtId="168" fontId="2" fillId="10" borderId="0" xfId="1" applyFont="1" applyFill="1" applyAlignment="1">
      <alignment horizontal="center" vertical="center"/>
    </xf>
    <xf numFmtId="9" fontId="2" fillId="10" borderId="0" xfId="5" applyFont="1" applyFill="1" applyAlignment="1">
      <alignment horizontal="center" vertical="center"/>
    </xf>
    <xf numFmtId="9" fontId="11" fillId="10" borderId="1" xfId="0" applyNumberFormat="1" applyFont="1" applyFill="1" applyBorder="1" applyAlignment="1">
      <alignment horizontal="center" vertical="center"/>
    </xf>
    <xf numFmtId="169" fontId="17" fillId="7" borderId="21" xfId="1" applyNumberFormat="1" applyFont="1" applyFill="1" applyBorder="1" applyAlignment="1">
      <alignment horizontal="center" vertical="center"/>
    </xf>
    <xf numFmtId="168" fontId="20" fillId="7" borderId="40" xfId="3" applyNumberFormat="1" applyFont="1" applyFill="1" applyBorder="1" applyAlignment="1">
      <alignment horizontal="center" vertical="center" wrapText="1"/>
    </xf>
    <xf numFmtId="0" fontId="0" fillId="10" borderId="41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10" borderId="43" xfId="0" applyFill="1" applyBorder="1" applyAlignment="1">
      <alignment horizontal="center" vertical="center"/>
    </xf>
    <xf numFmtId="0" fontId="1" fillId="10" borderId="43" xfId="0" applyFont="1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1" fillId="10" borderId="44" xfId="0" applyFont="1" applyFill="1" applyBorder="1" applyAlignment="1">
      <alignment horizontal="center" vertical="center"/>
    </xf>
    <xf numFmtId="2" fontId="0" fillId="10" borderId="44" xfId="0" applyNumberFormat="1" applyFill="1" applyBorder="1" applyAlignment="1">
      <alignment horizontal="center" vertical="center"/>
    </xf>
    <xf numFmtId="2" fontId="0" fillId="10" borderId="42" xfId="0" applyNumberForma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2" fillId="9" borderId="31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66" fontId="3" fillId="10" borderId="0" xfId="0" applyNumberFormat="1" applyFont="1" applyFill="1" applyAlignment="1">
      <alignment horizontal="center" vertical="center"/>
    </xf>
    <xf numFmtId="3" fontId="20" fillId="7" borderId="40" xfId="1" applyNumberFormat="1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/>
    </xf>
    <xf numFmtId="167" fontId="0" fillId="10" borderId="16" xfId="2" applyFont="1" applyFill="1" applyBorder="1" applyAlignment="1">
      <alignment horizontal="center" vertical="center"/>
    </xf>
    <xf numFmtId="10" fontId="20" fillId="6" borderId="40" xfId="3" applyNumberFormat="1" applyFont="1" applyFill="1" applyBorder="1" applyAlignment="1">
      <alignment horizontal="center" vertical="center" wrapText="1"/>
    </xf>
    <xf numFmtId="168" fontId="20" fillId="6" borderId="15" xfId="1" applyFont="1" applyFill="1" applyBorder="1" applyAlignment="1">
      <alignment horizontal="center" vertical="center" wrapText="1"/>
    </xf>
    <xf numFmtId="0" fontId="2" fillId="10" borderId="28" xfId="0" applyFont="1" applyFill="1" applyBorder="1" applyAlignment="1">
      <alignment horizontal="center" vertical="center"/>
    </xf>
    <xf numFmtId="0" fontId="14" fillId="13" borderId="13" xfId="3" applyFont="1" applyFill="1" applyBorder="1" applyAlignment="1">
      <alignment horizontal="center" vertical="center" wrapText="1"/>
    </xf>
    <xf numFmtId="0" fontId="14" fillId="13" borderId="14" xfId="3" applyFont="1" applyFill="1" applyBorder="1" applyAlignment="1">
      <alignment horizontal="center" vertical="center" wrapText="1"/>
    </xf>
    <xf numFmtId="0" fontId="14" fillId="13" borderId="39" xfId="3" applyFont="1" applyFill="1" applyBorder="1" applyAlignment="1">
      <alignment horizontal="center" vertical="center" wrapText="1"/>
    </xf>
    <xf numFmtId="0" fontId="14" fillId="13" borderId="36" xfId="3" applyFont="1" applyFill="1" applyBorder="1" applyAlignment="1">
      <alignment horizontal="center" vertical="center" wrapText="1"/>
    </xf>
    <xf numFmtId="4" fontId="20" fillId="6" borderId="40" xfId="1" applyNumberFormat="1" applyFont="1" applyFill="1" applyBorder="1" applyAlignment="1">
      <alignment horizontal="center" vertical="center" wrapText="1"/>
    </xf>
    <xf numFmtId="4" fontId="20" fillId="6" borderId="6" xfId="1" applyNumberFormat="1" applyFont="1" applyFill="1" applyBorder="1" applyAlignment="1">
      <alignment horizontal="center" vertical="center" wrapText="1"/>
    </xf>
    <xf numFmtId="4" fontId="20" fillId="6" borderId="15" xfId="1" applyNumberFormat="1" applyFont="1" applyFill="1" applyBorder="1" applyAlignment="1">
      <alignment horizontal="center" vertical="center" wrapText="1"/>
    </xf>
    <xf numFmtId="4" fontId="20" fillId="6" borderId="5" xfId="1" applyNumberFormat="1" applyFont="1" applyFill="1" applyBorder="1" applyAlignment="1">
      <alignment horizontal="center" vertical="center" wrapText="1"/>
    </xf>
    <xf numFmtId="0" fontId="2" fillId="14" borderId="14" xfId="3" applyFont="1" applyFill="1" applyBorder="1" applyAlignment="1">
      <alignment horizontal="center" vertical="center" wrapText="1"/>
    </xf>
    <xf numFmtId="167" fontId="20" fillId="6" borderId="5" xfId="2" applyFont="1" applyFill="1" applyBorder="1" applyAlignment="1">
      <alignment horizontal="center" vertical="center" wrapText="1"/>
    </xf>
    <xf numFmtId="168" fontId="14" fillId="5" borderId="8" xfId="1" applyFont="1" applyFill="1" applyBorder="1" applyAlignment="1">
      <alignment horizontal="center" vertical="center" wrapText="1"/>
    </xf>
    <xf numFmtId="0" fontId="18" fillId="9" borderId="35" xfId="0" applyFont="1" applyFill="1" applyBorder="1" applyAlignment="1">
      <alignment horizontal="center" vertical="center" wrapText="1"/>
    </xf>
    <xf numFmtId="9" fontId="0" fillId="10" borderId="0" xfId="5" applyFont="1" applyFill="1" applyAlignment="1">
      <alignment horizontal="center" vertical="center"/>
    </xf>
    <xf numFmtId="9" fontId="15" fillId="15" borderId="13" xfId="5" applyFont="1" applyFill="1" applyBorder="1" applyAlignment="1">
      <alignment horizontal="center" vertical="center" wrapText="1"/>
    </xf>
    <xf numFmtId="168" fontId="11" fillId="15" borderId="13" xfId="1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165" fontId="0" fillId="10" borderId="0" xfId="0" applyNumberFormat="1" applyFill="1"/>
    <xf numFmtId="172" fontId="14" fillId="5" borderId="8" xfId="1" applyNumberFormat="1" applyFont="1" applyFill="1" applyBorder="1" applyAlignment="1">
      <alignment horizontal="center" vertical="center" wrapText="1"/>
    </xf>
    <xf numFmtId="172" fontId="14" fillId="5" borderId="8" xfId="1" applyNumberFormat="1" applyFont="1" applyFill="1" applyBorder="1" applyAlignment="1">
      <alignment horizontal="center" vertical="center"/>
    </xf>
    <xf numFmtId="0" fontId="16" fillId="15" borderId="13" xfId="0" applyFont="1" applyFill="1" applyBorder="1" applyAlignment="1">
      <alignment horizontal="center" vertical="center" wrapText="1"/>
    </xf>
    <xf numFmtId="168" fontId="11" fillId="6" borderId="5" xfId="1" applyFont="1" applyFill="1" applyBorder="1" applyAlignment="1">
      <alignment horizontal="center" vertical="center" wrapText="1"/>
    </xf>
    <xf numFmtId="168" fontId="11" fillId="6" borderId="40" xfId="1" applyFont="1" applyFill="1" applyBorder="1" applyAlignment="1">
      <alignment horizontal="center" vertical="center" wrapText="1"/>
    </xf>
    <xf numFmtId="0" fontId="20" fillId="10" borderId="19" xfId="4" applyFont="1" applyFill="1" applyBorder="1" applyAlignment="1">
      <alignment horizontal="center" vertical="center" wrapText="1"/>
    </xf>
    <xf numFmtId="168" fontId="20" fillId="10" borderId="13" xfId="1" applyFont="1" applyFill="1" applyBorder="1" applyAlignment="1">
      <alignment horizontal="center" vertical="center" wrapText="1"/>
    </xf>
    <xf numFmtId="0" fontId="20" fillId="6" borderId="12" xfId="4" applyFont="1" applyFill="1" applyBorder="1" applyAlignment="1">
      <alignment horizontal="center" vertical="center" wrapText="1"/>
    </xf>
    <xf numFmtId="168" fontId="20" fillId="0" borderId="40" xfId="1" applyFont="1" applyFill="1" applyBorder="1" applyAlignment="1">
      <alignment horizontal="center" vertical="center" wrapText="1"/>
    </xf>
    <xf numFmtId="167" fontId="20" fillId="6" borderId="6" xfId="2" applyFont="1" applyFill="1" applyBorder="1" applyAlignment="1">
      <alignment horizontal="center" vertical="center" wrapText="1"/>
    </xf>
    <xf numFmtId="0" fontId="1" fillId="10" borderId="0" xfId="0" applyFont="1" applyFill="1" applyAlignment="1">
      <alignment vertical="top" wrapText="1"/>
    </xf>
    <xf numFmtId="168" fontId="20" fillId="6" borderId="6" xfId="1" applyFont="1" applyFill="1" applyBorder="1" applyAlignment="1">
      <alignment horizontal="right" vertical="center" wrapText="1"/>
    </xf>
    <xf numFmtId="168" fontId="20" fillId="0" borderId="37" xfId="1" applyFont="1" applyFill="1" applyBorder="1" applyAlignment="1">
      <alignment horizontal="right" vertical="center" wrapText="1"/>
    </xf>
    <xf numFmtId="0" fontId="2" fillId="10" borderId="16" xfId="0" applyFont="1" applyFill="1" applyBorder="1" applyAlignment="1">
      <alignment horizontal="center" vertical="center"/>
    </xf>
    <xf numFmtId="0" fontId="14" fillId="13" borderId="31" xfId="3" applyFont="1" applyFill="1" applyBorder="1" applyAlignment="1">
      <alignment horizontal="center" vertical="center" wrapText="1"/>
    </xf>
    <xf numFmtId="0" fontId="14" fillId="13" borderId="8" xfId="3" applyFont="1" applyFill="1" applyBorder="1" applyAlignment="1">
      <alignment horizontal="center" vertical="center" wrapText="1"/>
    </xf>
    <xf numFmtId="0" fontId="2" fillId="10" borderId="40" xfId="0" applyFont="1" applyFill="1" applyBorder="1" applyAlignment="1">
      <alignment horizontal="left"/>
    </xf>
    <xf numFmtId="166" fontId="3" fillId="0" borderId="0" xfId="0" applyNumberFormat="1" applyFont="1" applyAlignment="1">
      <alignment horizontal="center"/>
    </xf>
    <xf numFmtId="0" fontId="2" fillId="0" borderId="21" xfId="0" applyFont="1" applyBorder="1" applyAlignment="1">
      <alignment horizontal="center" vertical="center"/>
    </xf>
    <xf numFmtId="167" fontId="20" fillId="0" borderId="6" xfId="2" applyFont="1" applyFill="1" applyBorder="1" applyAlignment="1">
      <alignment horizontal="center" vertical="center" wrapText="1"/>
    </xf>
    <xf numFmtId="4" fontId="20" fillId="0" borderId="15" xfId="1" applyNumberFormat="1" applyFont="1" applyFill="1" applyBorder="1" applyAlignment="1">
      <alignment horizontal="center" vertical="center" wrapText="1"/>
    </xf>
    <xf numFmtId="0" fontId="20" fillId="0" borderId="19" xfId="4" applyFont="1" applyBorder="1" applyAlignment="1">
      <alignment horizontal="center" vertical="center" wrapText="1"/>
    </xf>
    <xf numFmtId="168" fontId="20" fillId="0" borderId="13" xfId="1" applyFont="1" applyFill="1" applyBorder="1" applyAlignment="1">
      <alignment horizontal="center" vertical="center" wrapText="1"/>
    </xf>
    <xf numFmtId="168" fontId="20" fillId="0" borderId="14" xfId="1" applyFont="1" applyFill="1" applyBorder="1" applyAlignment="1">
      <alignment horizontal="center" vertical="center" wrapText="1"/>
    </xf>
    <xf numFmtId="168" fontId="11" fillId="9" borderId="40" xfId="1" applyFont="1" applyFill="1" applyBorder="1" applyAlignment="1">
      <alignment horizontal="center" vertical="center" wrapText="1"/>
    </xf>
    <xf numFmtId="9" fontId="15" fillId="9" borderId="40" xfId="5" applyFont="1" applyFill="1" applyBorder="1" applyAlignment="1">
      <alignment horizontal="center" vertical="center" wrapText="1"/>
    </xf>
    <xf numFmtId="2" fontId="1" fillId="10" borderId="0" xfId="0" applyNumberFormat="1" applyFont="1" applyFill="1"/>
    <xf numFmtId="2" fontId="0" fillId="10" borderId="0" xfId="0" applyNumberFormat="1" applyFill="1"/>
    <xf numFmtId="0" fontId="2" fillId="10" borderId="30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14" fillId="3" borderId="17" xfId="0" applyFont="1" applyFill="1" applyBorder="1" applyAlignment="1">
      <alignment horizontal="center" vertical="center" textRotation="90" wrapText="1"/>
    </xf>
    <xf numFmtId="0" fontId="0" fillId="0" borderId="29" xfId="0" applyBorder="1" applyAlignment="1">
      <alignment textRotation="90"/>
    </xf>
    <xf numFmtId="0" fontId="11" fillId="12" borderId="17" xfId="0" applyFont="1" applyFill="1" applyBorder="1" applyAlignment="1">
      <alignment horizontal="center" vertical="center" textRotation="90"/>
    </xf>
    <xf numFmtId="0" fontId="11" fillId="12" borderId="29" xfId="0" applyFont="1" applyFill="1" applyBorder="1" applyAlignment="1">
      <alignment horizontal="center" vertical="center" textRotation="90"/>
    </xf>
    <xf numFmtId="0" fontId="11" fillId="12" borderId="28" xfId="0" applyFont="1" applyFill="1" applyBorder="1" applyAlignment="1">
      <alignment horizontal="center" vertical="center" textRotation="90"/>
    </xf>
    <xf numFmtId="0" fontId="11" fillId="3" borderId="29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4" fillId="3" borderId="4" xfId="0" quotePrefix="1" applyFont="1" applyFill="1" applyBorder="1" applyAlignment="1">
      <alignment horizontal="center" vertical="center" wrapText="1"/>
    </xf>
    <xf numFmtId="0" fontId="14" fillId="3" borderId="7" xfId="0" quotePrefix="1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166" fontId="11" fillId="12" borderId="17" xfId="0" applyNumberFormat="1" applyFont="1" applyFill="1" applyBorder="1" applyAlignment="1">
      <alignment horizontal="center" vertical="center" wrapText="1"/>
    </xf>
    <xf numFmtId="166" fontId="11" fillId="12" borderId="29" xfId="0" applyNumberFormat="1" applyFont="1" applyFill="1" applyBorder="1" applyAlignment="1">
      <alignment horizontal="center" vertical="center" wrapText="1"/>
    </xf>
    <xf numFmtId="166" fontId="11" fillId="12" borderId="28" xfId="0" applyNumberFormat="1" applyFont="1" applyFill="1" applyBorder="1" applyAlignment="1">
      <alignment horizontal="center" vertical="center" wrapText="1"/>
    </xf>
    <xf numFmtId="9" fontId="11" fillId="8" borderId="17" xfId="5" applyFont="1" applyFill="1" applyBorder="1" applyAlignment="1">
      <alignment horizontal="center" vertical="center" wrapText="1"/>
    </xf>
    <xf numFmtId="9" fontId="11" fillId="8" borderId="29" xfId="5" applyFont="1" applyFill="1" applyBorder="1" applyAlignment="1">
      <alignment horizontal="center" vertical="center" wrapText="1"/>
    </xf>
    <xf numFmtId="0" fontId="11" fillId="3" borderId="29" xfId="0" quotePrefix="1" applyFont="1" applyFill="1" applyBorder="1" applyAlignment="1">
      <alignment horizontal="center" vertical="center" wrapText="1"/>
    </xf>
    <xf numFmtId="168" fontId="11" fillId="3" borderId="29" xfId="1" applyFont="1" applyFill="1" applyBorder="1" applyAlignment="1">
      <alignment horizontal="center" vertical="center" wrapText="1"/>
    </xf>
    <xf numFmtId="166" fontId="11" fillId="4" borderId="30" xfId="0" applyNumberFormat="1" applyFont="1" applyFill="1" applyBorder="1" applyAlignment="1">
      <alignment horizontal="center" vertical="center" wrapText="1"/>
    </xf>
    <xf numFmtId="166" fontId="11" fillId="4" borderId="31" xfId="0" applyNumberFormat="1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" fillId="10" borderId="45" xfId="0" applyFont="1" applyFill="1" applyBorder="1" applyAlignment="1">
      <alignment horizontal="center" vertical="top" wrapText="1"/>
    </xf>
    <xf numFmtId="0" fontId="1" fillId="10" borderId="0" xfId="0" applyFont="1" applyFill="1" applyAlignment="1">
      <alignment horizontal="center" vertical="top" wrapText="1"/>
    </xf>
    <xf numFmtId="0" fontId="0" fillId="10" borderId="0" xfId="0" applyFill="1" applyAlignment="1">
      <alignment horizontal="center"/>
    </xf>
    <xf numFmtId="0" fontId="5" fillId="6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0" fontId="27" fillId="6" borderId="0" xfId="0" applyFont="1" applyFill="1" applyAlignment="1">
      <alignment horizontal="center"/>
    </xf>
    <xf numFmtId="166" fontId="11" fillId="3" borderId="29" xfId="0" applyNumberFormat="1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textRotation="90"/>
    </xf>
    <xf numFmtId="0" fontId="11" fillId="3" borderId="29" xfId="0" applyFont="1" applyFill="1" applyBorder="1" applyAlignment="1">
      <alignment horizontal="center" vertical="center" textRotation="90"/>
    </xf>
    <xf numFmtId="0" fontId="11" fillId="3" borderId="28" xfId="0" applyFont="1" applyFill="1" applyBorder="1" applyAlignment="1">
      <alignment horizontal="center" vertical="center" textRotation="90"/>
    </xf>
    <xf numFmtId="0" fontId="11" fillId="3" borderId="7" xfId="0" applyFont="1" applyFill="1" applyBorder="1" applyAlignment="1">
      <alignment horizontal="center" vertical="center" textRotation="90"/>
    </xf>
    <xf numFmtId="0" fontId="11" fillId="3" borderId="9" xfId="0" applyFont="1" applyFill="1" applyBorder="1" applyAlignment="1">
      <alignment horizontal="center" vertical="center" textRotation="90"/>
    </xf>
    <xf numFmtId="0" fontId="11" fillId="3" borderId="8" xfId="0" applyFont="1" applyFill="1" applyBorder="1" applyAlignment="1">
      <alignment horizontal="center" vertical="center" textRotation="90"/>
    </xf>
    <xf numFmtId="9" fontId="11" fillId="3" borderId="9" xfId="5" applyFont="1" applyFill="1" applyBorder="1" applyAlignment="1">
      <alignment horizontal="center" vertical="center" wrapText="1"/>
    </xf>
    <xf numFmtId="9" fontId="11" fillId="3" borderId="17" xfId="5" applyFont="1" applyFill="1" applyBorder="1" applyAlignment="1">
      <alignment horizontal="center" vertical="center" wrapText="1"/>
    </xf>
    <xf numFmtId="9" fontId="11" fillId="3" borderId="29" xfId="5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 vertical="center" wrapText="1"/>
    </xf>
    <xf numFmtId="0" fontId="14" fillId="13" borderId="37" xfId="3" applyFont="1" applyFill="1" applyBorder="1" applyAlignment="1">
      <alignment horizontal="center" vertical="center" wrapText="1"/>
    </xf>
    <xf numFmtId="0" fontId="14" fillId="13" borderId="27" xfId="3" applyFont="1" applyFill="1" applyBorder="1" applyAlignment="1">
      <alignment horizontal="center" vertical="center" wrapText="1"/>
    </xf>
    <xf numFmtId="0" fontId="25" fillId="10" borderId="0" xfId="0" applyFont="1" applyFill="1" applyAlignment="1">
      <alignment horizontal="center" vertical="center" wrapText="1"/>
    </xf>
    <xf numFmtId="0" fontId="28" fillId="10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14" fillId="13" borderId="32" xfId="4" applyFont="1" applyFill="1" applyBorder="1" applyAlignment="1">
      <alignment horizontal="center" vertical="center" textRotation="90" wrapText="1"/>
    </xf>
    <xf numFmtId="0" fontId="14" fillId="13" borderId="38" xfId="4" applyFont="1" applyFill="1" applyBorder="1" applyAlignment="1">
      <alignment horizontal="center" vertical="center" textRotation="90" wrapText="1"/>
    </xf>
    <xf numFmtId="9" fontId="11" fillId="13" borderId="20" xfId="5" applyFont="1" applyFill="1" applyBorder="1" applyAlignment="1">
      <alignment horizontal="center" vertical="center" wrapText="1"/>
    </xf>
    <xf numFmtId="9" fontId="11" fillId="13" borderId="39" xfId="5" applyFont="1" applyFill="1" applyBorder="1" applyAlignment="1">
      <alignment horizontal="center" vertical="center" wrapText="1"/>
    </xf>
    <xf numFmtId="4" fontId="14" fillId="13" borderId="20" xfId="3" applyNumberFormat="1" applyFont="1" applyFill="1" applyBorder="1" applyAlignment="1">
      <alignment horizontal="center" vertical="center" wrapText="1"/>
    </xf>
    <xf numFmtId="4" fontId="14" fillId="13" borderId="39" xfId="3" applyNumberFormat="1" applyFont="1" applyFill="1" applyBorder="1" applyAlignment="1">
      <alignment horizontal="center" vertical="center" wrapText="1"/>
    </xf>
    <xf numFmtId="0" fontId="14" fillId="13" borderId="20" xfId="3" applyFont="1" applyFill="1" applyBorder="1" applyAlignment="1">
      <alignment horizontal="center" vertical="center" wrapText="1"/>
    </xf>
    <xf numFmtId="0" fontId="14" fillId="13" borderId="39" xfId="3" applyFont="1" applyFill="1" applyBorder="1" applyAlignment="1">
      <alignment horizontal="center" vertical="center" wrapText="1"/>
    </xf>
    <xf numFmtId="0" fontId="14" fillId="13" borderId="35" xfId="3" applyFont="1" applyFill="1" applyBorder="1" applyAlignment="1">
      <alignment horizontal="center" vertical="center" wrapText="1"/>
    </xf>
    <xf numFmtId="0" fontId="14" fillId="13" borderId="36" xfId="3" applyFont="1" applyFill="1" applyBorder="1" applyAlignment="1">
      <alignment horizontal="center" vertical="center" wrapText="1"/>
    </xf>
    <xf numFmtId="0" fontId="14" fillId="13" borderId="4" xfId="4" applyFont="1" applyFill="1" applyBorder="1" applyAlignment="1">
      <alignment horizontal="center" vertical="center" textRotation="90" wrapText="1"/>
    </xf>
    <xf numFmtId="0" fontId="14" fillId="13" borderId="2" xfId="4" applyFont="1" applyFill="1" applyBorder="1" applyAlignment="1">
      <alignment horizontal="center" vertical="center" textRotation="90" wrapText="1"/>
    </xf>
    <xf numFmtId="9" fontId="11" fillId="13" borderId="17" xfId="5" applyFont="1" applyFill="1" applyBorder="1" applyAlignment="1">
      <alignment horizontal="center" vertical="center" wrapText="1"/>
    </xf>
    <xf numFmtId="9" fontId="11" fillId="13" borderId="28" xfId="5" applyFont="1" applyFill="1" applyBorder="1" applyAlignment="1">
      <alignment horizontal="center" vertical="center" wrapText="1"/>
    </xf>
    <xf numFmtId="0" fontId="2" fillId="14" borderId="25" xfId="3" applyFont="1" applyFill="1" applyBorder="1" applyAlignment="1">
      <alignment horizontal="center" vertical="center" wrapText="1"/>
    </xf>
    <xf numFmtId="0" fontId="2" fillId="14" borderId="36" xfId="3" applyFont="1" applyFill="1" applyBorder="1" applyAlignment="1">
      <alignment horizontal="center" vertical="center" wrapText="1"/>
    </xf>
    <xf numFmtId="4" fontId="14" fillId="3" borderId="22" xfId="3" applyNumberFormat="1" applyFont="1" applyFill="1" applyBorder="1" applyAlignment="1">
      <alignment horizontal="center" vertical="center" wrapText="1"/>
    </xf>
    <xf numFmtId="4" fontId="14" fillId="3" borderId="39" xfId="3" applyNumberFormat="1" applyFont="1" applyFill="1" applyBorder="1" applyAlignment="1">
      <alignment horizontal="center" vertical="center" wrapText="1"/>
    </xf>
    <xf numFmtId="0" fontId="14" fillId="11" borderId="22" xfId="3" applyFont="1" applyFill="1" applyBorder="1" applyAlignment="1">
      <alignment horizontal="center" vertical="center" wrapText="1"/>
    </xf>
    <xf numFmtId="0" fontId="14" fillId="11" borderId="39" xfId="3" applyFont="1" applyFill="1" applyBorder="1" applyAlignment="1">
      <alignment horizontal="center" vertical="center" wrapText="1"/>
    </xf>
    <xf numFmtId="0" fontId="14" fillId="3" borderId="22" xfId="3" applyFont="1" applyFill="1" applyBorder="1" applyAlignment="1">
      <alignment horizontal="center" vertical="center" wrapText="1"/>
    </xf>
    <xf numFmtId="0" fontId="14" fillId="3" borderId="39" xfId="3" applyFont="1" applyFill="1" applyBorder="1" applyAlignment="1">
      <alignment horizontal="center" vertical="center" wrapText="1"/>
    </xf>
    <xf numFmtId="0" fontId="14" fillId="3" borderId="32" xfId="4" applyFont="1" applyFill="1" applyBorder="1" applyAlignment="1">
      <alignment horizontal="center" vertical="center" textRotation="90" wrapText="1"/>
    </xf>
    <xf numFmtId="0" fontId="14" fillId="3" borderId="33" xfId="4" applyFont="1" applyFill="1" applyBorder="1" applyAlignment="1">
      <alignment horizontal="center" vertical="center" textRotation="90" wrapText="1"/>
    </xf>
    <xf numFmtId="0" fontId="14" fillId="3" borderId="38" xfId="4" applyFont="1" applyFill="1" applyBorder="1" applyAlignment="1">
      <alignment horizontal="center" vertical="center" textRotation="90" wrapText="1"/>
    </xf>
    <xf numFmtId="9" fontId="11" fillId="3" borderId="20" xfId="5" applyFont="1" applyFill="1" applyBorder="1" applyAlignment="1">
      <alignment horizontal="center" vertical="center" wrapText="1"/>
    </xf>
    <xf numFmtId="9" fontId="11" fillId="3" borderId="23" xfId="5" applyFont="1" applyFill="1" applyBorder="1" applyAlignment="1">
      <alignment horizontal="center" vertical="center" wrapText="1"/>
    </xf>
    <xf numFmtId="9" fontId="11" fillId="3" borderId="39" xfId="5" applyFont="1" applyFill="1" applyBorder="1" applyAlignment="1">
      <alignment horizontal="center" vertical="center" wrapText="1"/>
    </xf>
    <xf numFmtId="169" fontId="11" fillId="3" borderId="20" xfId="1" applyNumberFormat="1" applyFont="1" applyFill="1" applyBorder="1" applyAlignment="1">
      <alignment horizontal="center" vertical="center" textRotation="90"/>
    </xf>
    <xf numFmtId="169" fontId="11" fillId="3" borderId="23" xfId="1" applyNumberFormat="1" applyFont="1" applyFill="1" applyBorder="1" applyAlignment="1">
      <alignment horizontal="center" vertical="center" textRotation="90"/>
    </xf>
    <xf numFmtId="169" fontId="11" fillId="3" borderId="39" xfId="1" applyNumberFormat="1" applyFont="1" applyFill="1" applyBorder="1" applyAlignment="1">
      <alignment horizontal="center" vertical="center" textRotation="90"/>
    </xf>
    <xf numFmtId="0" fontId="11" fillId="3" borderId="20" xfId="0" applyFont="1" applyFill="1" applyBorder="1" applyAlignment="1">
      <alignment horizontal="center" vertical="center" textRotation="90" wrapText="1"/>
    </xf>
    <xf numFmtId="0" fontId="11" fillId="3" borderId="23" xfId="0" applyFont="1" applyFill="1" applyBorder="1" applyAlignment="1">
      <alignment horizontal="center" vertical="center" textRotation="90" wrapText="1"/>
    </xf>
    <xf numFmtId="0" fontId="11" fillId="3" borderId="39" xfId="0" applyFont="1" applyFill="1" applyBorder="1" applyAlignment="1">
      <alignment horizontal="center" vertical="center" textRotation="90" wrapText="1"/>
    </xf>
  </cellXfs>
  <cellStyles count="12">
    <cellStyle name="Millares" xfId="1" builtinId="3"/>
    <cellStyle name="Moneda" xfId="2" builtinId="4"/>
    <cellStyle name="Moneda 2" xfId="8" xr:uid="{00000000-0005-0000-0000-000002000000}"/>
    <cellStyle name="Moneda 2 2" xfId="11" xr:uid="{00000000-0005-0000-0000-000003000000}"/>
    <cellStyle name="Normal" xfId="0" builtinId="0"/>
    <cellStyle name="Normal 2" xfId="6" xr:uid="{00000000-0005-0000-0000-000005000000}"/>
    <cellStyle name="Normal 2 2" xfId="3" xr:uid="{00000000-0005-0000-0000-000006000000}"/>
    <cellStyle name="Normal 2 2 2" xfId="9" xr:uid="{00000000-0005-0000-0000-000007000000}"/>
    <cellStyle name="Normal 3" xfId="4" xr:uid="{00000000-0005-0000-0000-000008000000}"/>
    <cellStyle name="Normal 3 2" xfId="10" xr:uid="{00000000-0005-0000-0000-000009000000}"/>
    <cellStyle name="Normal 4" xfId="7" xr:uid="{00000000-0005-0000-0000-00000A000000}"/>
    <cellStyle name="Porcentaje" xfId="5" builtinId="5"/>
  </cellStyles>
  <dxfs count="55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3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5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6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7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8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92D050"/>
  </sheetPr>
  <dimension ref="A1:I16"/>
  <sheetViews>
    <sheetView tabSelected="1" zoomScale="130" zoomScaleNormal="130" workbookViewId="0">
      <selection activeCell="B42" sqref="B42"/>
    </sheetView>
  </sheetViews>
  <sheetFormatPr baseColWidth="10" defaultRowHeight="12.75" x14ac:dyDescent="0.2"/>
  <cols>
    <col min="1" max="1" width="11.42578125" style="64"/>
    <col min="2" max="2" width="18.5703125" style="64" bestFit="1" customWidth="1"/>
    <col min="3" max="3" width="11.42578125" style="64"/>
    <col min="4" max="4" width="18.140625" style="64" customWidth="1"/>
    <col min="5" max="5" width="22.28515625" style="64" customWidth="1"/>
    <col min="6" max="6" width="14.42578125" style="64" bestFit="1" customWidth="1"/>
    <col min="7" max="7" width="11.42578125" style="66"/>
    <col min="8" max="8" width="18.140625" style="66" bestFit="1" customWidth="1"/>
    <col min="9" max="16384" width="11.42578125" style="66"/>
  </cols>
  <sheetData>
    <row r="1" spans="1:9" ht="13.5" thickBot="1" x14ac:dyDescent="0.25">
      <c r="A1" s="45" t="s">
        <v>119</v>
      </c>
      <c r="B1" s="45" t="s">
        <v>120</v>
      </c>
      <c r="C1" s="45" t="s">
        <v>0</v>
      </c>
      <c r="D1" s="45" t="s">
        <v>140</v>
      </c>
      <c r="E1" s="67"/>
      <c r="F1" s="103" t="s">
        <v>199</v>
      </c>
      <c r="I1" s="68"/>
    </row>
    <row r="2" spans="1:9" ht="13.5" thickBot="1" x14ac:dyDescent="0.25">
      <c r="A2" s="42">
        <v>1</v>
      </c>
      <c r="B2" s="43">
        <v>116000000</v>
      </c>
      <c r="C2" s="44">
        <v>5</v>
      </c>
      <c r="D2" s="43">
        <v>0</v>
      </c>
      <c r="E2" s="69"/>
      <c r="F2" s="104">
        <v>1160000</v>
      </c>
      <c r="H2" s="70"/>
    </row>
    <row r="3" spans="1:9" x14ac:dyDescent="0.2">
      <c r="A3" s="42"/>
      <c r="B3" s="43"/>
      <c r="C3" s="44"/>
      <c r="D3" s="43"/>
      <c r="E3" s="69"/>
      <c r="F3" s="69"/>
      <c r="H3" s="71"/>
    </row>
    <row r="4" spans="1:9" x14ac:dyDescent="0.2">
      <c r="A4" s="42"/>
      <c r="B4" s="43"/>
      <c r="C4" s="44"/>
      <c r="D4" s="43"/>
      <c r="E4" s="69"/>
      <c r="F4" s="69"/>
    </row>
    <row r="5" spans="1:9" x14ac:dyDescent="0.2">
      <c r="A5" s="42"/>
      <c r="B5" s="43"/>
      <c r="C5" s="44"/>
      <c r="D5" s="43"/>
      <c r="E5" s="69"/>
      <c r="F5" s="69"/>
    </row>
    <row r="6" spans="1:9" hidden="1" x14ac:dyDescent="0.2">
      <c r="A6" s="42"/>
      <c r="B6" s="43"/>
      <c r="C6" s="44"/>
      <c r="D6" s="43"/>
      <c r="E6" s="69"/>
      <c r="F6" s="69"/>
    </row>
    <row r="7" spans="1:9" hidden="1" x14ac:dyDescent="0.2">
      <c r="A7" s="42"/>
      <c r="B7" s="43"/>
      <c r="C7" s="44"/>
      <c r="D7" s="43"/>
      <c r="E7" s="69"/>
      <c r="F7" s="69"/>
    </row>
    <row r="8" spans="1:9" hidden="1" x14ac:dyDescent="0.2">
      <c r="A8" s="42"/>
      <c r="B8" s="43"/>
      <c r="C8" s="44"/>
      <c r="D8" s="43"/>
      <c r="E8" s="69"/>
      <c r="F8" s="69"/>
    </row>
    <row r="9" spans="1:9" hidden="1" x14ac:dyDescent="0.2">
      <c r="A9" s="42"/>
      <c r="B9" s="43"/>
      <c r="C9" s="44"/>
      <c r="D9" s="43"/>
      <c r="E9" s="69"/>
      <c r="F9" s="69"/>
    </row>
    <row r="10" spans="1:9" hidden="1" x14ac:dyDescent="0.2">
      <c r="A10" s="42"/>
      <c r="B10" s="43"/>
      <c r="C10" s="44"/>
      <c r="D10" s="43"/>
      <c r="E10" s="69"/>
      <c r="F10" s="69"/>
    </row>
    <row r="11" spans="1:9" hidden="1" x14ac:dyDescent="0.2">
      <c r="A11" s="42"/>
      <c r="B11" s="43"/>
      <c r="C11" s="44"/>
      <c r="D11" s="43"/>
      <c r="E11" s="69"/>
      <c r="F11" s="69"/>
    </row>
    <row r="12" spans="1:9" hidden="1" x14ac:dyDescent="0.2">
      <c r="A12" s="42"/>
      <c r="B12" s="43"/>
      <c r="C12" s="44"/>
      <c r="D12" s="43"/>
    </row>
    <row r="13" spans="1:9" hidden="1" x14ac:dyDescent="0.2">
      <c r="A13" s="42"/>
      <c r="B13" s="43"/>
      <c r="C13" s="44"/>
      <c r="D13" s="43"/>
    </row>
    <row r="14" spans="1:9" hidden="1" x14ac:dyDescent="0.2">
      <c r="A14" s="42"/>
      <c r="B14" s="43"/>
      <c r="C14" s="44"/>
      <c r="D14" s="43"/>
    </row>
    <row r="15" spans="1:9" x14ac:dyDescent="0.2">
      <c r="E15" s="120"/>
    </row>
    <row r="16" spans="1:9" x14ac:dyDescent="0.2">
      <c r="D16" s="65"/>
      <c r="H16" s="124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19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4">
    <tabColor rgb="FFFFC000"/>
  </sheetPr>
  <dimension ref="B1:H16"/>
  <sheetViews>
    <sheetView workbookViewId="0">
      <selection activeCell="F6" sqref="F6"/>
    </sheetView>
  </sheetViews>
  <sheetFormatPr baseColWidth="10" defaultRowHeight="12.75" x14ac:dyDescent="0.2"/>
  <cols>
    <col min="1" max="2" width="11.42578125" style="64"/>
    <col min="3" max="3" width="15.28515625" style="64" bestFit="1" customWidth="1"/>
    <col min="4" max="6" width="11.42578125" style="64"/>
    <col min="7" max="7" width="11.42578125" style="64" customWidth="1"/>
    <col min="8" max="16384" width="11.42578125" style="64"/>
  </cols>
  <sheetData>
    <row r="1" spans="2:8" ht="13.5" thickBot="1" x14ac:dyDescent="0.25"/>
    <row r="2" spans="2:8" ht="13.5" thickBot="1" x14ac:dyDescent="0.25">
      <c r="B2" s="153" t="s">
        <v>149</v>
      </c>
      <c r="C2" s="154"/>
      <c r="D2" s="155"/>
      <c r="F2" s="153" t="s">
        <v>157</v>
      </c>
      <c r="G2" s="154"/>
      <c r="H2" s="155"/>
    </row>
    <row r="3" spans="2:8" ht="13.5" thickBot="1" x14ac:dyDescent="0.25">
      <c r="B3" s="96" t="s">
        <v>153</v>
      </c>
      <c r="C3" s="98" t="s">
        <v>155</v>
      </c>
      <c r="D3" s="97" t="s">
        <v>154</v>
      </c>
      <c r="F3" s="96" t="s">
        <v>158</v>
      </c>
      <c r="G3" s="98" t="s">
        <v>159</v>
      </c>
      <c r="H3" s="97" t="s">
        <v>154</v>
      </c>
    </row>
    <row r="4" spans="2:8" x14ac:dyDescent="0.2">
      <c r="B4" s="88">
        <v>0</v>
      </c>
      <c r="C4" s="88">
        <v>3</v>
      </c>
      <c r="D4" s="88">
        <v>60</v>
      </c>
      <c r="F4" s="88">
        <v>1</v>
      </c>
      <c r="G4" s="88">
        <v>5</v>
      </c>
      <c r="H4" s="88">
        <v>20</v>
      </c>
    </row>
    <row r="5" spans="2:8" x14ac:dyDescent="0.2">
      <c r="B5" s="89">
        <v>3</v>
      </c>
      <c r="C5" s="89">
        <v>6</v>
      </c>
      <c r="D5" s="89">
        <v>80</v>
      </c>
      <c r="F5" s="89">
        <v>6</v>
      </c>
      <c r="G5" s="89">
        <v>10</v>
      </c>
      <c r="H5" s="89">
        <v>30</v>
      </c>
    </row>
    <row r="6" spans="2:8" ht="13.5" thickBot="1" x14ac:dyDescent="0.25">
      <c r="B6" s="89">
        <v>6</v>
      </c>
      <c r="C6" s="89">
        <v>10</v>
      </c>
      <c r="D6" s="89">
        <v>100</v>
      </c>
      <c r="F6" s="90">
        <v>11</v>
      </c>
      <c r="G6" s="91" t="s">
        <v>156</v>
      </c>
      <c r="H6" s="90">
        <v>40</v>
      </c>
    </row>
    <row r="7" spans="2:8" ht="13.5" thickBot="1" x14ac:dyDescent="0.25">
      <c r="B7" s="90">
        <v>10</v>
      </c>
      <c r="C7" s="91" t="s">
        <v>156</v>
      </c>
      <c r="D7" s="90">
        <v>120</v>
      </c>
      <c r="F7" s="99"/>
      <c r="G7" s="100"/>
      <c r="H7" s="99"/>
    </row>
    <row r="9" spans="2:8" ht="13.5" thickBot="1" x14ac:dyDescent="0.25"/>
    <row r="10" spans="2:8" ht="13.5" thickBot="1" x14ac:dyDescent="0.25">
      <c r="B10" s="153" t="s">
        <v>144</v>
      </c>
      <c r="C10" s="154"/>
      <c r="D10" s="155"/>
    </row>
    <row r="11" spans="2:8" ht="13.5" thickBot="1" x14ac:dyDescent="0.25">
      <c r="B11" s="96" t="s">
        <v>153</v>
      </c>
      <c r="C11" s="98" t="s">
        <v>155</v>
      </c>
      <c r="D11" s="97" t="s">
        <v>154</v>
      </c>
    </row>
    <row r="12" spans="2:8" x14ac:dyDescent="0.2">
      <c r="B12" s="88">
        <v>0</v>
      </c>
      <c r="C12" s="88">
        <v>0.5</v>
      </c>
      <c r="D12" s="88">
        <v>20</v>
      </c>
    </row>
    <row r="13" spans="2:8" x14ac:dyDescent="0.2">
      <c r="B13" s="89">
        <v>0.5</v>
      </c>
      <c r="C13" s="89">
        <v>0.75</v>
      </c>
      <c r="D13" s="89">
        <v>25</v>
      </c>
    </row>
    <row r="14" spans="2:8" x14ac:dyDescent="0.2">
      <c r="B14" s="89">
        <v>0.75</v>
      </c>
      <c r="C14" s="95">
        <v>1</v>
      </c>
      <c r="D14" s="89">
        <v>30</v>
      </c>
    </row>
    <row r="15" spans="2:8" x14ac:dyDescent="0.2">
      <c r="B15" s="94">
        <v>1</v>
      </c>
      <c r="C15" s="93">
        <v>1.5</v>
      </c>
      <c r="D15" s="92">
        <v>35</v>
      </c>
    </row>
    <row r="16" spans="2:8" ht="13.5" thickBot="1" x14ac:dyDescent="0.25">
      <c r="B16" s="90">
        <v>1.5</v>
      </c>
      <c r="C16" s="91" t="s">
        <v>156</v>
      </c>
      <c r="D16" s="90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92D050"/>
  </sheetPr>
  <dimension ref="B1:AL14"/>
  <sheetViews>
    <sheetView topLeftCell="B1" zoomScale="70" zoomScaleNormal="70" zoomScaleSheetLayoutView="100" workbookViewId="0">
      <selection activeCell="K23" sqref="K23"/>
    </sheetView>
  </sheetViews>
  <sheetFormatPr baseColWidth="10" defaultRowHeight="18" customHeight="1" x14ac:dyDescent="0.2"/>
  <cols>
    <col min="1" max="1" width="19.85546875" style="53" customWidth="1"/>
    <col min="2" max="2" width="8.85546875" style="53" bestFit="1" customWidth="1"/>
    <col min="3" max="3" width="34.140625" style="53" customWidth="1"/>
    <col min="4" max="4" width="17.42578125" style="53" customWidth="1"/>
    <col min="5" max="5" width="25" style="53" customWidth="1"/>
    <col min="6" max="6" width="23.140625" style="55" customWidth="1"/>
    <col min="7" max="7" width="25" style="55" bestFit="1" customWidth="1"/>
    <col min="8" max="9" width="23.140625" style="55" customWidth="1"/>
    <col min="10" max="11" width="23.5703125" style="56" customWidth="1"/>
    <col min="12" max="12" width="22.140625" style="56" customWidth="1"/>
    <col min="13" max="13" width="18.7109375" style="56" customWidth="1"/>
    <col min="14" max="14" width="4.140625" style="57" bestFit="1" customWidth="1"/>
    <col min="15" max="15" width="8" style="57" bestFit="1" customWidth="1"/>
    <col min="16" max="16" width="8" style="57" hidden="1" customWidth="1"/>
    <col min="17" max="17" width="19.5703125" style="57" hidden="1" customWidth="1"/>
    <col min="18" max="18" width="21.7109375" style="57" bestFit="1" customWidth="1"/>
    <col min="19" max="20" width="21.5703125" style="57" customWidth="1"/>
    <col min="21" max="21" width="25.85546875" style="57" hidden="1" customWidth="1"/>
    <col min="22" max="22" width="17.85546875" style="57" hidden="1" customWidth="1"/>
    <col min="23" max="24" width="14.7109375" style="57" customWidth="1"/>
    <col min="25" max="25" width="17.5703125" style="57" customWidth="1"/>
    <col min="26" max="26" width="21.7109375" style="57" customWidth="1"/>
    <col min="27" max="27" width="20.42578125" style="57" hidden="1" customWidth="1"/>
    <col min="28" max="29" width="14.7109375" style="57" customWidth="1"/>
    <col min="30" max="30" width="15.85546875" style="55" customWidth="1"/>
    <col min="31" max="31" width="15.5703125" style="53" hidden="1" customWidth="1"/>
    <col min="32" max="32" width="15.85546875" style="53" hidden="1" customWidth="1"/>
    <col min="33" max="33" width="41.140625" style="53" customWidth="1"/>
    <col min="34" max="16384" width="11.42578125" style="53"/>
  </cols>
  <sheetData>
    <row r="1" spans="2:38" ht="18" customHeight="1" x14ac:dyDescent="0.2"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</row>
    <row r="2" spans="2:38" s="54" customFormat="1" ht="23.25" x14ac:dyDescent="0.35">
      <c r="B2" s="183" t="s">
        <v>104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</row>
    <row r="3" spans="2:38" s="54" customFormat="1" x14ac:dyDescent="0.25">
      <c r="B3" s="182" t="s">
        <v>204</v>
      </c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182"/>
    </row>
    <row r="4" spans="2:38" ht="18" customHeight="1" x14ac:dyDescent="0.25">
      <c r="B4" s="181" t="s">
        <v>203</v>
      </c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</row>
    <row r="5" spans="2:38" ht="18" customHeight="1" x14ac:dyDescent="0.2">
      <c r="B5" s="156" t="s">
        <v>103</v>
      </c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  <c r="Y5" s="156"/>
      <c r="Z5" s="156"/>
      <c r="AA5" s="156"/>
      <c r="AB5" s="156"/>
      <c r="AC5" s="156"/>
      <c r="AD5" s="156"/>
      <c r="AE5" s="156"/>
      <c r="AF5" s="156"/>
    </row>
    <row r="6" spans="2:38" ht="18" customHeight="1" thickBot="1" x14ac:dyDescent="0.25"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</row>
    <row r="7" spans="2:38" ht="44.25" customHeight="1" thickBot="1" x14ac:dyDescent="0.25">
      <c r="B7" s="194" t="s">
        <v>106</v>
      </c>
      <c r="C7" s="195"/>
      <c r="D7" s="196"/>
      <c r="E7" s="197" t="s">
        <v>116</v>
      </c>
      <c r="F7" s="198"/>
      <c r="G7" s="198"/>
      <c r="H7" s="198"/>
      <c r="I7" s="198"/>
      <c r="J7" s="198"/>
      <c r="K7" s="38"/>
      <c r="L7" s="38"/>
      <c r="M7" s="38"/>
      <c r="N7" s="38"/>
      <c r="O7" s="38"/>
      <c r="P7" s="38"/>
      <c r="Q7" s="38"/>
      <c r="R7" s="39"/>
      <c r="S7" s="174" t="s">
        <v>186</v>
      </c>
      <c r="T7" s="175"/>
      <c r="U7" s="174" t="s">
        <v>188</v>
      </c>
      <c r="V7" s="175"/>
      <c r="W7" s="174" t="s">
        <v>118</v>
      </c>
      <c r="X7" s="175"/>
      <c r="Y7" s="174" t="s">
        <v>105</v>
      </c>
      <c r="Z7" s="175"/>
      <c r="AA7" s="40"/>
      <c r="AB7" s="174" t="s">
        <v>135</v>
      </c>
      <c r="AC7" s="175"/>
      <c r="AD7" s="41" t="s">
        <v>137</v>
      </c>
      <c r="AE7" s="176" t="s">
        <v>126</v>
      </c>
      <c r="AF7" s="177"/>
      <c r="AG7" s="199"/>
    </row>
    <row r="8" spans="2:38" ht="56.25" customHeight="1" x14ac:dyDescent="0.2">
      <c r="B8" s="157" t="s">
        <v>112</v>
      </c>
      <c r="C8" s="191" t="s">
        <v>111</v>
      </c>
      <c r="D8" s="170" t="s">
        <v>122</v>
      </c>
      <c r="E8" s="192" t="s">
        <v>114</v>
      </c>
      <c r="F8" s="166" t="s">
        <v>109</v>
      </c>
      <c r="G8" s="166" t="s">
        <v>113</v>
      </c>
      <c r="H8" s="162" t="s">
        <v>110</v>
      </c>
      <c r="I8" s="173" t="s">
        <v>184</v>
      </c>
      <c r="J8" s="173" t="s">
        <v>185</v>
      </c>
      <c r="K8" s="173" t="s">
        <v>193</v>
      </c>
      <c r="L8" s="46"/>
      <c r="M8" s="46"/>
      <c r="N8" s="188" t="s">
        <v>117</v>
      </c>
      <c r="O8" s="185" t="s">
        <v>190</v>
      </c>
      <c r="P8" s="159" t="s">
        <v>123</v>
      </c>
      <c r="Q8" s="168" t="s">
        <v>124</v>
      </c>
      <c r="R8" s="184" t="s">
        <v>121</v>
      </c>
      <c r="S8" s="164" t="s">
        <v>197</v>
      </c>
      <c r="T8" s="165"/>
      <c r="U8" s="164" t="s">
        <v>195</v>
      </c>
      <c r="V8" s="165"/>
      <c r="W8" s="164" t="s">
        <v>198</v>
      </c>
      <c r="X8" s="165"/>
      <c r="Y8" s="164" t="s">
        <v>191</v>
      </c>
      <c r="Z8" s="165"/>
      <c r="AA8" s="167" t="s">
        <v>125</v>
      </c>
      <c r="AB8" s="164" t="s">
        <v>192</v>
      </c>
      <c r="AC8" s="165"/>
      <c r="AD8" s="162" t="s">
        <v>131</v>
      </c>
      <c r="AE8" s="31" t="s">
        <v>127</v>
      </c>
      <c r="AF8" s="32">
        <v>535600</v>
      </c>
      <c r="AG8" s="199"/>
    </row>
    <row r="9" spans="2:38" ht="54" customHeight="1" thickBot="1" x14ac:dyDescent="0.25">
      <c r="B9" s="158"/>
      <c r="C9" s="191"/>
      <c r="D9" s="171"/>
      <c r="E9" s="193"/>
      <c r="F9" s="172"/>
      <c r="G9" s="162"/>
      <c r="H9" s="172"/>
      <c r="I9" s="173"/>
      <c r="J9" s="173"/>
      <c r="K9" s="173"/>
      <c r="L9" s="46" t="s">
        <v>133</v>
      </c>
      <c r="M9" s="46" t="s">
        <v>134</v>
      </c>
      <c r="N9" s="189"/>
      <c r="O9" s="186"/>
      <c r="P9" s="160"/>
      <c r="Q9" s="168"/>
      <c r="R9" s="184"/>
      <c r="S9" s="13" t="s">
        <v>187</v>
      </c>
      <c r="T9" s="125" t="s">
        <v>201</v>
      </c>
      <c r="U9" s="13" t="s">
        <v>189</v>
      </c>
      <c r="V9" s="118" t="str">
        <f>"10%*PO"</f>
        <v>10%*PO</v>
      </c>
      <c r="W9" s="13" t="s">
        <v>115</v>
      </c>
      <c r="X9" s="126">
        <v>1</v>
      </c>
      <c r="Y9" s="13" t="s">
        <v>138</v>
      </c>
      <c r="Z9" s="12">
        <v>0.7</v>
      </c>
      <c r="AA9" s="168"/>
      <c r="AB9" s="13" t="s">
        <v>136</v>
      </c>
      <c r="AC9" s="12">
        <v>1</v>
      </c>
      <c r="AD9" s="162"/>
      <c r="AE9" s="33" t="s">
        <v>128</v>
      </c>
      <c r="AF9" s="34">
        <v>566700</v>
      </c>
      <c r="AG9" s="199"/>
    </row>
    <row r="10" spans="2:38" ht="44.25" customHeight="1" thickBot="1" x14ac:dyDescent="0.25">
      <c r="B10" s="158"/>
      <c r="C10" s="191"/>
      <c r="D10" s="171"/>
      <c r="E10" s="193"/>
      <c r="F10" s="172"/>
      <c r="G10" s="162"/>
      <c r="H10" s="172"/>
      <c r="I10" s="173"/>
      <c r="J10" s="173"/>
      <c r="K10" s="173"/>
      <c r="L10" s="46"/>
      <c r="M10" s="46"/>
      <c r="N10" s="190"/>
      <c r="O10" s="187"/>
      <c r="P10" s="161"/>
      <c r="Q10" s="168"/>
      <c r="R10" s="184"/>
      <c r="S10" s="14" t="s">
        <v>108</v>
      </c>
      <c r="T10" s="15" t="s">
        <v>107</v>
      </c>
      <c r="U10" s="14" t="s">
        <v>108</v>
      </c>
      <c r="V10" s="15" t="s">
        <v>107</v>
      </c>
      <c r="W10" s="14" t="s">
        <v>108</v>
      </c>
      <c r="X10" s="15" t="s">
        <v>107</v>
      </c>
      <c r="Y10" s="14" t="s">
        <v>108</v>
      </c>
      <c r="Z10" s="15" t="s">
        <v>107</v>
      </c>
      <c r="AA10" s="169"/>
      <c r="AB10" s="14" t="s">
        <v>108</v>
      </c>
      <c r="AC10" s="15" t="s">
        <v>107</v>
      </c>
      <c r="AD10" s="163"/>
      <c r="AE10" s="35" t="s">
        <v>129</v>
      </c>
      <c r="AF10" s="36">
        <v>30000</v>
      </c>
      <c r="AG10" s="199"/>
    </row>
    <row r="11" spans="2:38" ht="18" customHeight="1" thickBot="1" x14ac:dyDescent="0.25">
      <c r="B11" s="58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85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60"/>
      <c r="AE11" s="61"/>
      <c r="AF11" s="62"/>
    </row>
    <row r="12" spans="2:38" ht="44.25" customHeight="1" thickBot="1" x14ac:dyDescent="0.3">
      <c r="B12" s="123">
        <v>1</v>
      </c>
      <c r="C12" s="149" t="s">
        <v>200</v>
      </c>
      <c r="D12" s="150">
        <v>1</v>
      </c>
      <c r="E12" s="149">
        <v>210888000</v>
      </c>
      <c r="F12" s="149">
        <v>213388000</v>
      </c>
      <c r="G12" s="149">
        <v>0</v>
      </c>
      <c r="H12" s="149">
        <v>0</v>
      </c>
      <c r="I12" s="122">
        <f>+E12-G12</f>
        <v>210888000</v>
      </c>
      <c r="J12" s="128">
        <f>+F12-H12</f>
        <v>213388000</v>
      </c>
      <c r="K12" s="129">
        <f>+F12-H12</f>
        <v>213388000</v>
      </c>
      <c r="L12" s="128">
        <v>33251000</v>
      </c>
      <c r="M12" s="128">
        <v>0</v>
      </c>
      <c r="N12" s="17">
        <v>1</v>
      </c>
      <c r="O12" s="86">
        <v>5</v>
      </c>
      <c r="P12" s="30" t="s">
        <v>130</v>
      </c>
      <c r="Q12" s="17" t="e">
        <f>+SUM(#REF!)</f>
        <v>#REF!</v>
      </c>
      <c r="R12" s="18">
        <f>IF(ISERROR(VLOOKUP(N12,POA!$A$2:$C$25,2,0)),"",VLOOKUP(N12,POA!$A$2:$C$25,2,0))</f>
        <v>116000000</v>
      </c>
      <c r="S12" s="19">
        <f>SUM(I12)</f>
        <v>210888000</v>
      </c>
      <c r="T12" s="20" t="str">
        <f>IF(OR(S12=0,N12="",R12=""),"",IF(S12&gt;=(R12/O12),"HABIL","NO HABIL"))</f>
        <v>HABIL</v>
      </c>
      <c r="U12" s="19">
        <f>SUM(J12)</f>
        <v>213388000</v>
      </c>
      <c r="V12" s="20" t="str">
        <f>IF(OR(U12=0,N12="",R12=""),"",IF(U12&gt;=(10%*R12),"HABIL","NO HABIL"))</f>
        <v>HABIL</v>
      </c>
      <c r="W12" s="19">
        <f>IF(ISERROR(SUM(E12/G12)),0,SUM(E12/G12))</f>
        <v>0</v>
      </c>
      <c r="X12" s="20" t="s">
        <v>196</v>
      </c>
      <c r="Y12" s="47">
        <f>IF(ISERROR(SUM(H12/F12)),0,SUM(H12/F12))</f>
        <v>0</v>
      </c>
      <c r="Z12" s="20" t="s">
        <v>196</v>
      </c>
      <c r="AA12" s="17" t="e">
        <f>+SUM(#REF!)</f>
        <v>#REF!</v>
      </c>
      <c r="AB12" s="16">
        <f>IF(ISERROR(SUM(L12/M12)),0,SUM(L12/M12))</f>
        <v>0</v>
      </c>
      <c r="AC12" s="20" t="s">
        <v>196</v>
      </c>
      <c r="AD12" s="20" t="s">
        <v>196</v>
      </c>
      <c r="AE12" s="48"/>
      <c r="AF12" s="37"/>
      <c r="AG12" s="135"/>
    </row>
    <row r="13" spans="2:38" ht="44.25" customHeight="1" x14ac:dyDescent="0.25">
      <c r="B13" s="123">
        <v>2</v>
      </c>
      <c r="C13" s="127"/>
      <c r="D13" s="121"/>
      <c r="E13" s="129"/>
      <c r="F13" s="129"/>
      <c r="G13" s="129"/>
      <c r="H13" s="129"/>
      <c r="I13" s="122"/>
      <c r="J13" s="128"/>
      <c r="K13" s="129"/>
      <c r="L13" s="129"/>
      <c r="M13" s="129"/>
      <c r="N13" s="17"/>
      <c r="O13" s="86"/>
      <c r="P13" s="30"/>
      <c r="Q13" s="17"/>
      <c r="R13" s="18"/>
      <c r="S13" s="19"/>
      <c r="T13" s="20"/>
      <c r="U13" s="19"/>
      <c r="V13" s="20"/>
      <c r="W13" s="19"/>
      <c r="X13" s="20"/>
      <c r="Y13" s="47"/>
      <c r="Z13" s="20"/>
      <c r="AA13" s="17"/>
      <c r="AB13" s="16"/>
      <c r="AC13" s="20"/>
      <c r="AD13" s="20"/>
      <c r="AE13" s="48"/>
      <c r="AF13" s="37"/>
      <c r="AG13" s="178"/>
      <c r="AH13" s="179"/>
      <c r="AI13" s="179"/>
      <c r="AJ13" s="179"/>
      <c r="AK13" s="179"/>
      <c r="AL13" s="179"/>
    </row>
    <row r="14" spans="2:38" ht="18" customHeight="1" x14ac:dyDescent="0.2">
      <c r="W14" s="142"/>
      <c r="X14" s="142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7">
    <mergeCell ref="AG13:AL13"/>
    <mergeCell ref="B1:AD1"/>
    <mergeCell ref="B4:AF4"/>
    <mergeCell ref="B3:AF3"/>
    <mergeCell ref="B2:AF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E7:J7"/>
    <mergeCell ref="AG7:AG10"/>
    <mergeCell ref="S7:T7"/>
    <mergeCell ref="S8:T8"/>
    <mergeCell ref="U7:V7"/>
    <mergeCell ref="U8:V8"/>
    <mergeCell ref="AE7:AF7"/>
    <mergeCell ref="B5:AF5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AB7:AC7"/>
    <mergeCell ref="AB8:AC8"/>
    <mergeCell ref="K8:K10"/>
    <mergeCell ref="Y7:Z7"/>
  </mergeCells>
  <phoneticPr fontId="0" type="noConversion"/>
  <conditionalFormatting sqref="AD7:AD10 AE11 AE7:AE9 AF8:AF9 AE10:AF10 AE1:AF1 AG11:IV11 AG1:IV7 AH8:IV10 N12:R13 AA12:AC13 W12:W13 AE12:AF13 C13:D13">
    <cfRule type="cellIs" dxfId="54" priority="1282" stopIfTrue="1" operator="equal">
      <formula>"NO ADMISIBLE"</formula>
    </cfRule>
  </conditionalFormatting>
  <conditionalFormatting sqref="X12:Z13 AB12:AB13 AD12:AD13">
    <cfRule type="cellIs" dxfId="53" priority="1283" stopIfTrue="1" operator="equal">
      <formula>"NO ADMISIBLE"</formula>
    </cfRule>
    <cfRule type="cellIs" dxfId="52" priority="1284" stopIfTrue="1" operator="equal">
      <formula>"ADMISIBLE"</formula>
    </cfRule>
  </conditionalFormatting>
  <conditionalFormatting sqref="AC12">
    <cfRule type="cellIs" dxfId="51" priority="151" stopIfTrue="1" operator="equal">
      <formula>"NO ADMISIBLE"</formula>
    </cfRule>
    <cfRule type="cellIs" dxfId="50" priority="152" stopIfTrue="1" operator="equal">
      <formula>"ADMISIBLE"</formula>
    </cfRule>
  </conditionalFormatting>
  <conditionalFormatting sqref="S12">
    <cfRule type="cellIs" dxfId="49" priority="136" stopIfTrue="1" operator="equal">
      <formula>"NO ADMISIBLE"</formula>
    </cfRule>
  </conditionalFormatting>
  <conditionalFormatting sqref="T12">
    <cfRule type="cellIs" dxfId="48" priority="137" stopIfTrue="1" operator="equal">
      <formula>"NO ADMISIBLE"</formula>
    </cfRule>
    <cfRule type="cellIs" dxfId="47" priority="138" stopIfTrue="1" operator="equal">
      <formula>"ADMISIBLE"</formula>
    </cfRule>
  </conditionalFormatting>
  <conditionalFormatting sqref="U12">
    <cfRule type="cellIs" dxfId="46" priority="133" stopIfTrue="1" operator="equal">
      <formula>"NO ADMISIBLE"</formula>
    </cfRule>
  </conditionalFormatting>
  <conditionalFormatting sqref="V12">
    <cfRule type="cellIs" dxfId="45" priority="134" stopIfTrue="1" operator="equal">
      <formula>"NO ADMISIBLE"</formula>
    </cfRule>
    <cfRule type="cellIs" dxfId="44" priority="135" stopIfTrue="1" operator="equal">
      <formula>"ADMISIBLE"</formula>
    </cfRule>
  </conditionalFormatting>
  <conditionalFormatting sqref="J12:M12">
    <cfRule type="cellIs" dxfId="43" priority="86" stopIfTrue="1" operator="equal">
      <formula>"NO ADMISIBLE"</formula>
    </cfRule>
  </conditionalFormatting>
  <conditionalFormatting sqref="AC13">
    <cfRule type="cellIs" dxfId="42" priority="84" stopIfTrue="1" operator="equal">
      <formula>"NO ADMISIBLE"</formula>
    </cfRule>
    <cfRule type="cellIs" dxfId="41" priority="85" stopIfTrue="1" operator="equal">
      <formula>"ADMISIBLE"</formula>
    </cfRule>
  </conditionalFormatting>
  <conditionalFormatting sqref="S13">
    <cfRule type="cellIs" dxfId="40" priority="81" stopIfTrue="1" operator="equal">
      <formula>"NO ADMISIBLE"</formula>
    </cfRule>
  </conditionalFormatting>
  <conditionalFormatting sqref="T13">
    <cfRule type="cellIs" dxfId="39" priority="82" stopIfTrue="1" operator="equal">
      <formula>"NO ADMISIBLE"</formula>
    </cfRule>
    <cfRule type="cellIs" dxfId="38" priority="83" stopIfTrue="1" operator="equal">
      <formula>"ADMISIBLE"</formula>
    </cfRule>
  </conditionalFormatting>
  <conditionalFormatting sqref="U13">
    <cfRule type="cellIs" dxfId="37" priority="78" stopIfTrue="1" operator="equal">
      <formula>"NO ADMISIBLE"</formula>
    </cfRule>
  </conditionalFormatting>
  <conditionalFormatting sqref="V13">
    <cfRule type="cellIs" dxfId="36" priority="79" stopIfTrue="1" operator="equal">
      <formula>"NO ADMISIBLE"</formula>
    </cfRule>
    <cfRule type="cellIs" dxfId="35" priority="80" stopIfTrue="1" operator="equal">
      <formula>"ADMISIBLE"</formula>
    </cfRule>
  </conditionalFormatting>
  <conditionalFormatting sqref="J13:K13">
    <cfRule type="cellIs" dxfId="34" priority="77" stopIfTrue="1" operator="equal">
      <formula>"NO ADMISIBLE"</formula>
    </cfRule>
  </conditionalFormatting>
  <conditionalFormatting sqref="E13:H13">
    <cfRule type="cellIs" dxfId="33" priority="76" stopIfTrue="1" operator="equal">
      <formula>"NO ADMISIBLE"</formula>
    </cfRule>
  </conditionalFormatting>
  <conditionalFormatting sqref="E13:H13">
    <cfRule type="cellIs" dxfId="32" priority="75" stopIfTrue="1" operator="equal">
      <formula>"NO ADMISIBLE"</formula>
    </cfRule>
  </conditionalFormatting>
  <conditionalFormatting sqref="L13:M13">
    <cfRule type="cellIs" dxfId="31" priority="74" stopIfTrue="1" operator="equal">
      <formula>"NO ADMISIBLE"</formula>
    </cfRule>
  </conditionalFormatting>
  <conditionalFormatting sqref="D12">
    <cfRule type="cellIs" dxfId="30" priority="1" stopIfTrue="1" operator="equal">
      <formula>"NO ADMISIBLE"</formula>
    </cfRule>
  </conditionalFormatting>
  <dataValidations count="1">
    <dataValidation type="list" allowBlank="1" showInputMessage="1" showErrorMessage="1" sqref="C13:H13 D12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&amp;RElaboro:LER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tabColor rgb="FF92D050"/>
  </sheetPr>
  <dimension ref="A2:K13"/>
  <sheetViews>
    <sheetView workbookViewId="0">
      <selection activeCell="C3" sqref="C3:J3"/>
    </sheetView>
  </sheetViews>
  <sheetFormatPr baseColWidth="10" defaultRowHeight="12.75" x14ac:dyDescent="0.2"/>
  <cols>
    <col min="1" max="1" width="11.42578125" style="66" customWidth="1"/>
    <col min="2" max="2" width="11.28515625" style="66" customWidth="1"/>
    <col min="3" max="3" width="3.85546875" style="66" customWidth="1"/>
    <col min="4" max="4" width="29.42578125" style="66" customWidth="1"/>
    <col min="5" max="5" width="15" style="66" customWidth="1"/>
    <col min="6" max="8" width="17" style="66" customWidth="1"/>
    <col min="9" max="9" width="13.85546875" style="57" customWidth="1"/>
    <col min="10" max="10" width="36.140625" style="57" customWidth="1"/>
    <col min="11" max="11" width="32.28515625" style="66" customWidth="1"/>
    <col min="12" max="16384" width="11.42578125" style="66"/>
  </cols>
  <sheetData>
    <row r="2" spans="1:11" s="72" customFormat="1" ht="20.25" customHeight="1" x14ac:dyDescent="0.2">
      <c r="C2" s="202" t="s">
        <v>147</v>
      </c>
      <c r="D2" s="202"/>
      <c r="E2" s="202"/>
      <c r="F2" s="202"/>
      <c r="G2" s="202"/>
      <c r="H2" s="202"/>
      <c r="I2" s="202"/>
      <c r="J2" s="202"/>
    </row>
    <row r="3" spans="1:11" s="72" customFormat="1" ht="18" customHeight="1" x14ac:dyDescent="0.2">
      <c r="C3" s="203" t="s">
        <v>161</v>
      </c>
      <c r="D3" s="203"/>
      <c r="E3" s="203"/>
      <c r="F3" s="203"/>
      <c r="G3" s="203"/>
      <c r="H3" s="203"/>
      <c r="I3" s="203"/>
      <c r="J3" s="203"/>
    </row>
    <row r="4" spans="1:11" s="72" customFormat="1" ht="13.5" customHeight="1" x14ac:dyDescent="0.2">
      <c r="C4" s="204" t="str">
        <f>'Capacidad Financiera'!B4</f>
        <v>CONTRATACION PÚBLICA No. IP-DT-SAN-006-2023</v>
      </c>
      <c r="D4" s="204"/>
      <c r="E4" s="204"/>
      <c r="F4" s="204"/>
      <c r="G4" s="204"/>
      <c r="H4" s="204"/>
      <c r="I4" s="204"/>
      <c r="J4" s="204"/>
    </row>
    <row r="5" spans="1:11" s="72" customFormat="1" ht="13.5" customHeight="1" x14ac:dyDescent="0.2">
      <c r="C5" s="204" t="s">
        <v>163</v>
      </c>
      <c r="D5" s="204"/>
      <c r="E5" s="204"/>
      <c r="F5" s="204"/>
      <c r="G5" s="204"/>
      <c r="H5" s="204"/>
      <c r="I5" s="204"/>
      <c r="J5" s="204"/>
    </row>
    <row r="6" spans="1:11" s="72" customFormat="1" ht="14.25" thickBot="1" x14ac:dyDescent="0.25">
      <c r="C6" s="75"/>
      <c r="D6" s="75"/>
      <c r="E6" s="76"/>
      <c r="F6" s="76"/>
      <c r="G6" s="76"/>
      <c r="H6" s="77"/>
      <c r="I6" s="79"/>
      <c r="J6" s="79"/>
    </row>
    <row r="7" spans="1:11" ht="69" customHeight="1" x14ac:dyDescent="0.2">
      <c r="C7" s="205" t="s">
        <v>112</v>
      </c>
      <c r="D7" s="207" t="s">
        <v>111</v>
      </c>
      <c r="E7" s="209" t="s">
        <v>164</v>
      </c>
      <c r="F7" s="209" t="s">
        <v>181</v>
      </c>
      <c r="G7" s="209" t="s">
        <v>182</v>
      </c>
      <c r="H7" s="209" t="s">
        <v>183</v>
      </c>
      <c r="I7" s="200" t="s">
        <v>163</v>
      </c>
      <c r="J7" s="201"/>
    </row>
    <row r="8" spans="1:11" ht="73.5" customHeight="1" thickBot="1" x14ac:dyDescent="0.25">
      <c r="C8" s="206"/>
      <c r="D8" s="208"/>
      <c r="E8" s="210"/>
      <c r="F8" s="210"/>
      <c r="G8" s="210"/>
      <c r="H8" s="210"/>
      <c r="I8" s="110" t="s">
        <v>165</v>
      </c>
      <c r="J8" s="111" t="s">
        <v>166</v>
      </c>
    </row>
    <row r="9" spans="1:11" ht="13.5" thickBot="1" x14ac:dyDescent="0.25">
      <c r="A9" s="98" t="s">
        <v>167</v>
      </c>
      <c r="C9" s="29">
        <f>+'Capacidad Financiera'!B12</f>
        <v>1</v>
      </c>
      <c r="D9" s="52" t="str">
        <f>IF(ISERROR(VLOOKUP(C9,'Capacidad Financiera'!$B$12:$AD$62673,2,0)),"",VLOOKUP(C9,'Capacidad Financiera'!$B$12:$AD$3533,2,0))</f>
        <v>CARLOS DEL RIO DIAZ</v>
      </c>
      <c r="E9" s="26">
        <v>1</v>
      </c>
      <c r="F9" s="87">
        <f>1160000*G9</f>
        <v>2859191200</v>
      </c>
      <c r="G9" s="87">
        <v>2464.8200000000002</v>
      </c>
      <c r="H9" s="87">
        <v>100</v>
      </c>
      <c r="I9" s="113">
        <f>IF(OR(D9="",E9="",G9=""),"",IF(C9&lt;&gt;"",G9/(H9*E9),""))</f>
        <v>24.648200000000003</v>
      </c>
      <c r="J9" s="114">
        <v>120</v>
      </c>
      <c r="K9" s="151"/>
    </row>
    <row r="10" spans="1:11" ht="13.5" thickBot="1" x14ac:dyDescent="0.25">
      <c r="A10" s="107">
        <v>1</v>
      </c>
      <c r="C10" s="29"/>
      <c r="D10" s="52"/>
      <c r="E10" s="26"/>
      <c r="F10" s="87"/>
      <c r="G10" s="87"/>
      <c r="H10" s="87"/>
      <c r="I10" s="113"/>
      <c r="J10" s="114"/>
    </row>
    <row r="11" spans="1:11" x14ac:dyDescent="0.2">
      <c r="C11" s="29"/>
      <c r="D11" s="52" t="str">
        <f>IF(ISERROR(VLOOKUP(C11,'Capacidad Financiera'!$B$12:$AD$62673,2,0)),"",VLOOKUP(C11,'Capacidad Financiera'!$B$12:$AD$3533,2,0))</f>
        <v/>
      </c>
      <c r="E11" s="105" t="str">
        <f>IF(ISERROR(VLOOKUP(C11,'Capacidad Financiera'!$B$12:$AD$62673,3,0)),"",VLOOKUP(C11,'Capacidad Financiera'!$B$12:$AD$62673,3,0))</f>
        <v/>
      </c>
      <c r="F11" s="87"/>
      <c r="G11" s="87" t="str">
        <f t="shared" ref="G11" si="0">IF(OR(D11="",E11="",F11=""),"",F11/SALACTUAL)</f>
        <v/>
      </c>
      <c r="H11" s="87" t="str">
        <f>IF(OR(D11="",E11="",F11=""),"",IF(C11&lt;&gt;"",IF(ISERROR(VLOOKUP($A$10,POA!$A$2:$D$25,2,0)),"",VLOOKUP($A$10,POA!$A$2:$D$25,2,0)/SALACTUAL),""))</f>
        <v/>
      </c>
      <c r="I11" s="113" t="str">
        <f t="shared" ref="I11" si="1">IF(OR(D11="",E11="",G11=""),"",IF(C11&lt;&gt;"",G11/(H11*E11),""))</f>
        <v/>
      </c>
      <c r="J11" s="114" t="str">
        <f>IF(OR(D11="",E11="",F11=""),"",IF(AND(I11&gt;0,I11&lt;=Experiencia1),Puntajes!$D$4,IF(AND(I11&gt;Experiencia1,I11&lt;=Experiencia2),Puntajes!$D$5,IF(AND(I11&gt;Experiencia2,I11&lt;=Experiencia3),Puntajes!$D$6,IF(I11&gt;Experiencia3,Puntajes!$D$7,0)))))</f>
        <v/>
      </c>
      <c r="K11" s="152"/>
    </row>
    <row r="12" spans="1:11" x14ac:dyDescent="0.2">
      <c r="C12" s="29"/>
      <c r="D12" s="52" t="str">
        <f>IF(ISERROR(VLOOKUP(C12,'Capacidad Financiera'!$B$12:$AD$62673,2,0)),"",VLOOKUP(C12,'Capacidad Financiera'!$B$12:$AD$3533,2,0))</f>
        <v/>
      </c>
      <c r="E12" s="105" t="str">
        <f>IF(ISERROR(VLOOKUP(C12,'Capacidad Financiera'!$B$12:$AD$62673,3,0)),"",VLOOKUP(C12,'Capacidad Financiera'!$B$12:$AD$62673,3,0))</f>
        <v/>
      </c>
      <c r="F12" s="87"/>
      <c r="G12" s="87" t="str">
        <f>IF(OR(D12="",E12="",F12=""),"",F12/SALACTUAL)</f>
        <v/>
      </c>
      <c r="H12" s="87" t="str">
        <f>IF(OR(D12="",E12="",F12=""),"",IF(C12&lt;&gt;"",IF(ISERROR(VLOOKUP($A$10,POA!$A$2:$D$25,2,0)),"",VLOOKUP($A$10,POA!$A$2:$D$25,2,0)/SALACTUAL),""))</f>
        <v/>
      </c>
      <c r="I12" s="113" t="str">
        <f>IF(OR(D12="",E12="",G12=""),"",IF(C12&lt;&gt;"",G12/(H12*E12),""))</f>
        <v/>
      </c>
      <c r="J12" s="114" t="str">
        <f>IF(OR(D12="",E12="",F12=""),"",IF(AND(I12&gt;0,I12&lt;=Experiencia1),Puntajes!$D$4,IF(AND(I12&gt;Experiencia1,I12&lt;=Experiencia2),Puntajes!$D$5,IF(AND(I12&gt;Experiencia2,I12&lt;=Experiencia3),Puntajes!$D$6,IF(I12&gt;Experiencia3,Puntajes!$D$7,0)))))</f>
        <v/>
      </c>
    </row>
    <row r="13" spans="1:11" x14ac:dyDescent="0.2">
      <c r="C13" s="29"/>
      <c r="D13" s="52" t="str">
        <f>IF(ISERROR(VLOOKUP(C13,'Capacidad Financiera'!$B$12:$AD$62673,2,0)),"",VLOOKUP(C13,'Capacidad Financiera'!$B$12:$AD$3533,2,0))</f>
        <v/>
      </c>
      <c r="E13" s="105" t="str">
        <f>IF(ISERROR(VLOOKUP(C13,'Capacidad Financiera'!$B$12:$AD$62673,3,0)),"",VLOOKUP(C13,'Capacidad Financiera'!$B$12:$AD$62673,3,0))</f>
        <v/>
      </c>
      <c r="F13" s="87"/>
      <c r="G13" s="87" t="str">
        <f>IF(OR(D13="",E13="",F13=""),"",F13/SALACTUAL)</f>
        <v/>
      </c>
      <c r="H13" s="87" t="str">
        <f>IF(OR(D13="",E13="",F13=""),"",IF(C13&lt;&gt;"",IF(ISERROR(VLOOKUP($A$10,POA!$A$2:$D$25,2,0)),"",VLOOKUP($A$10,POA!$A$2:$D$25,2,0)/SALACTUAL),""))</f>
        <v/>
      </c>
      <c r="I13" s="113" t="str">
        <f>IF(OR(D13="",E13="",G13=""),"",IF(C13&lt;&gt;"",G13/(H13*E13),""))</f>
        <v/>
      </c>
      <c r="J13" s="114" t="str">
        <f>IF(OR(D13="",E13="",F13=""),"",IF(AND(I13&gt;0,I13&lt;=Experiencia1),Puntajes!$D$4,IF(AND(I13&gt;Experiencia1,I13&lt;=Experiencia2),Puntajes!$D$5,IF(AND(I13&gt;Experiencia2,I13&lt;=Experiencia3),Puntajes!$D$6,IF(I13&gt;Experiencia3,Puntajes!$D$7,0)))))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I7:J7"/>
    <mergeCell ref="C2:J2"/>
    <mergeCell ref="C3:J3"/>
    <mergeCell ref="C4:J4"/>
    <mergeCell ref="C5:J5"/>
    <mergeCell ref="C7:C8"/>
    <mergeCell ref="D7:D8"/>
    <mergeCell ref="E7:E8"/>
    <mergeCell ref="F7:F8"/>
    <mergeCell ref="H7:H8"/>
    <mergeCell ref="G7:G8"/>
  </mergeCells>
  <conditionalFormatting sqref="E6:H6">
    <cfRule type="expression" dxfId="29" priority="118" stopIfTrue="1">
      <formula>IF($B6-INT($B6)&gt;0,TRUE,FALSE)</formula>
    </cfRule>
  </conditionalFormatting>
  <conditionalFormatting sqref="D6 I6:J6 D9:D13">
    <cfRule type="cellIs" dxfId="28" priority="119" stopIfTrue="1" operator="equal">
      <formula>"NO ADMISIBLE"</formula>
    </cfRule>
  </conditionalFormatting>
  <conditionalFormatting sqref="I9:J10 I11:I13">
    <cfRule type="expression" dxfId="27" priority="113" stopIfTrue="1">
      <formula>IF($B1-INT($B1)&gt;0,TRUE,FALSE)</formula>
    </cfRule>
  </conditionalFormatting>
  <conditionalFormatting sqref="E9:E10">
    <cfRule type="expression" dxfId="26" priority="120" stopIfTrue="1">
      <formula>IF(#REF!-INT(#REF!)&gt;0,TRUE,FALSE)</formula>
    </cfRule>
  </conditionalFormatting>
  <conditionalFormatting sqref="H9:H13">
    <cfRule type="expression" dxfId="25" priority="112" stopIfTrue="1">
      <formula>IF(#REF!-INT(#REF!)&gt;0,TRUE,FALSE)</formula>
    </cfRule>
  </conditionalFormatting>
  <conditionalFormatting sqref="E11:E13 J11:J13">
    <cfRule type="expression" dxfId="24" priority="2620" stopIfTrue="1">
      <formula>IF($B5-INT($B5)&gt;0,TRUE,FALSE)</formula>
    </cfRule>
  </conditionalFormatting>
  <conditionalFormatting sqref="F9:F13">
    <cfRule type="expression" dxfId="23" priority="2622" stopIfTrue="1">
      <formula>IF(#REF!-INT(#REF!)&gt;0,TRUE,FALSE)</formula>
    </cfRule>
  </conditionalFormatting>
  <conditionalFormatting sqref="G9:G13">
    <cfRule type="expression" dxfId="22" priority="108" stopIfTrue="1">
      <formula>IF(#REF!-INT(#REF!)&gt;0,TRUE,FALSE)</formula>
    </cfRule>
  </conditionalFormatting>
  <dataValidations count="1">
    <dataValidation type="list" allowBlank="1" showInputMessage="1" showErrorMessage="1" sqref="D6 D9:D13" xr:uid="{00000000-0002-0000-03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3">
    <tabColor rgb="FF92D050"/>
  </sheetPr>
  <dimension ref="C2:K13"/>
  <sheetViews>
    <sheetView topLeftCell="B1" workbookViewId="0">
      <selection activeCell="I8" sqref="I8"/>
    </sheetView>
  </sheetViews>
  <sheetFormatPr baseColWidth="10" defaultRowHeight="12.75" x14ac:dyDescent="0.2"/>
  <cols>
    <col min="1" max="1" width="11.42578125" style="66" customWidth="1"/>
    <col min="2" max="2" width="11.28515625" style="66" customWidth="1"/>
    <col min="3" max="3" width="3.85546875" style="66" customWidth="1"/>
    <col min="4" max="4" width="28.140625" style="66" bestFit="1" customWidth="1"/>
    <col min="5" max="5" width="35" style="64" customWidth="1"/>
    <col min="6" max="6" width="35" style="101" customWidth="1"/>
    <col min="7" max="7" width="11.42578125" style="66"/>
    <col min="8" max="8" width="13.85546875" style="81" customWidth="1"/>
    <col min="9" max="9" width="9.7109375" style="82" customWidth="1"/>
    <col min="10" max="10" width="12.5703125" style="66" customWidth="1"/>
    <col min="11" max="11" width="12.7109375" style="66" customWidth="1"/>
    <col min="12" max="16384" width="11.42578125" style="66"/>
  </cols>
  <sheetData>
    <row r="2" spans="3:11" s="72" customFormat="1" ht="20.25" customHeight="1" x14ac:dyDescent="0.2">
      <c r="C2" s="202" t="s">
        <v>147</v>
      </c>
      <c r="D2" s="202"/>
      <c r="E2" s="202"/>
      <c r="F2" s="202"/>
      <c r="H2" s="73"/>
      <c r="I2" s="74"/>
    </row>
    <row r="3" spans="3:11" s="72" customFormat="1" ht="18" customHeight="1" x14ac:dyDescent="0.2">
      <c r="C3" s="203" t="s">
        <v>161</v>
      </c>
      <c r="D3" s="203"/>
      <c r="E3" s="203"/>
      <c r="F3" s="203"/>
      <c r="H3" s="73"/>
      <c r="I3" s="74"/>
    </row>
    <row r="4" spans="3:11" s="72" customFormat="1" ht="13.5" customHeight="1" x14ac:dyDescent="0.2">
      <c r="C4" s="204" t="str">
        <f>'Capacidad Financiera'!B4</f>
        <v>CONTRATACION PÚBLICA No. IP-DT-SAN-006-2023</v>
      </c>
      <c r="D4" s="204"/>
      <c r="E4" s="204"/>
      <c r="F4" s="204"/>
      <c r="H4" s="73"/>
      <c r="I4" s="74"/>
    </row>
    <row r="5" spans="3:11" s="72" customFormat="1" ht="13.5" customHeight="1" x14ac:dyDescent="0.2">
      <c r="C5" s="204" t="s">
        <v>160</v>
      </c>
      <c r="D5" s="204"/>
      <c r="E5" s="204"/>
      <c r="F5" s="204"/>
      <c r="H5" s="73"/>
      <c r="I5" s="74"/>
    </row>
    <row r="6" spans="3:11" s="72" customFormat="1" ht="14.25" thickBot="1" x14ac:dyDescent="0.25">
      <c r="C6" s="75"/>
      <c r="D6" s="75"/>
      <c r="E6" s="78"/>
      <c r="F6" s="79"/>
      <c r="H6" s="73"/>
      <c r="I6" s="74"/>
    </row>
    <row r="7" spans="3:11" ht="19.5" customHeight="1" x14ac:dyDescent="0.2">
      <c r="C7" s="205" t="s">
        <v>112</v>
      </c>
      <c r="D7" s="207" t="s">
        <v>111</v>
      </c>
      <c r="E7" s="108" t="s">
        <v>150</v>
      </c>
      <c r="F7" s="109" t="s">
        <v>160</v>
      </c>
    </row>
    <row r="8" spans="3:11" ht="67.5" customHeight="1" thickBot="1" x14ac:dyDescent="0.25">
      <c r="C8" s="206"/>
      <c r="D8" s="208"/>
      <c r="E8" s="110" t="s">
        <v>151</v>
      </c>
      <c r="F8" s="111" t="s">
        <v>162</v>
      </c>
    </row>
    <row r="9" spans="3:11" ht="13.5" thickBot="1" x14ac:dyDescent="0.25">
      <c r="C9" s="24">
        <f>+'Capacidad Financiera'!B12</f>
        <v>1</v>
      </c>
      <c r="D9" s="52" t="str">
        <f>IF(ISERROR(VLOOKUP(C9,'Capacidad Financiera'!$B$12:$AD$62673,2,0)),"",VLOOKUP(C9,'Capacidad Financiera'!$B$12:$AD$3533,2,0))</f>
        <v>CARLOS DEL RIO DIAZ</v>
      </c>
      <c r="E9" s="102">
        <v>3</v>
      </c>
      <c r="F9" s="145">
        <v>20</v>
      </c>
      <c r="H9" s="83"/>
      <c r="I9" s="84"/>
      <c r="J9" s="67"/>
      <c r="K9" s="67"/>
    </row>
    <row r="10" spans="3:11" x14ac:dyDescent="0.2">
      <c r="C10" s="24"/>
      <c r="D10" s="52"/>
      <c r="E10" s="102"/>
      <c r="F10" s="114"/>
    </row>
    <row r="11" spans="3:11" x14ac:dyDescent="0.2">
      <c r="C11" s="29"/>
      <c r="D11" s="52" t="str">
        <f>IF(ISERROR(VLOOKUP(C11,'Capacidad Financiera'!$B$12:$AD$62673,2,0)),"",VLOOKUP(C11,'Capacidad Financiera'!$B$12:$AD$3533,2,0))</f>
        <v/>
      </c>
      <c r="E11" s="102"/>
      <c r="F11" s="114" t="str">
        <f>IF(OR(D11="",E11=""),"",IF(AND(E11&gt;0,E11&lt;=CapTecnica1),Puntajes!$H$4,IF(AND(E11&gt;CapTecnica1,E11&lt;=CapTecnica2),Puntajes!$H$5,IF(E11&gt;CapTecnica2,Puntajes!$H$6,0))))</f>
        <v/>
      </c>
    </row>
    <row r="12" spans="3:11" x14ac:dyDescent="0.2">
      <c r="C12" s="29"/>
      <c r="D12" s="52" t="str">
        <f>IF(ISERROR(VLOOKUP(C12,'Capacidad Financiera'!$B$12:$AD$62673,2,0)),"",VLOOKUP(C12,'Capacidad Financiera'!$B$12:$AD$3533,2,0))</f>
        <v/>
      </c>
      <c r="E12" s="102"/>
      <c r="F12" s="114" t="str">
        <f>IF(OR(D12="",E12=""),"",IF(AND(E12&gt;0,E12&lt;=CapTecnica1),Puntajes!$H$4,IF(AND(E12&gt;CapTecnica1,E12&lt;=CapTecnica2),Puntajes!$H$5,IF(E12&gt;CapTecnica2,Puntajes!$H$6,0))))</f>
        <v/>
      </c>
    </row>
    <row r="13" spans="3:11" x14ac:dyDescent="0.2">
      <c r="C13" s="29"/>
      <c r="D13" s="52" t="str">
        <f>IF(ISERROR(VLOOKUP(C13,'Capacidad Financiera'!$B$12:$AD$62673,2,0)),"",VLOOKUP(C13,'Capacidad Financiera'!$B$12:$AD$3533,2,0))</f>
        <v/>
      </c>
      <c r="E13" s="102"/>
      <c r="F13" s="114" t="str">
        <f>IF(OR(D13="",E13=""),"",IF(AND(E13&gt;0,E13&lt;=CapTecnica1),Puntajes!$H$4,IF(AND(E13&gt;CapTecnica1,E13&lt;=CapTecnica2),Puntajes!$H$5,IF(E13&gt;CapTecnica2,Puntajes!$H$6,0))))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21" priority="45" stopIfTrue="1">
      <formula>IF($B6-INT($B6)&gt;0,TRUE,FALSE)</formula>
    </cfRule>
  </conditionalFormatting>
  <conditionalFormatting sqref="D6 F6 D9:D13">
    <cfRule type="cellIs" dxfId="20" priority="46" stopIfTrue="1" operator="equal">
      <formula>"NO ADMISIBLE"</formula>
    </cfRule>
  </conditionalFormatting>
  <conditionalFormatting sqref="F9:F13">
    <cfRule type="expression" dxfId="19" priority="40" stopIfTrue="1">
      <formula>IF($B1-INT($B1)&gt;0,TRUE,FALSE)</formula>
    </cfRule>
  </conditionalFormatting>
  <conditionalFormatting sqref="E9:E13">
    <cfRule type="expression" dxfId="18" priority="47" stopIfTrue="1">
      <formula>IF(#REF!-INT(#REF!)&gt;0,TRUE,FALSE)</formula>
    </cfRule>
  </conditionalFormatting>
  <dataValidations count="1">
    <dataValidation type="list" allowBlank="1" showInputMessage="1" showErrorMessage="1" sqref="D6 D9:D13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0">
    <tabColor rgb="FF92D050"/>
  </sheetPr>
  <dimension ref="C2:M13"/>
  <sheetViews>
    <sheetView workbookViewId="0">
      <selection activeCell="G28" sqref="G28"/>
    </sheetView>
  </sheetViews>
  <sheetFormatPr baseColWidth="10" defaultRowHeight="12.75" x14ac:dyDescent="0.2"/>
  <cols>
    <col min="1" max="1" width="11.42578125" style="66" customWidth="1"/>
    <col min="2" max="2" width="11.28515625" style="66" customWidth="1"/>
    <col min="3" max="3" width="3.85546875" style="66" customWidth="1"/>
    <col min="4" max="4" width="29.42578125" style="66" customWidth="1"/>
    <col min="5" max="6" width="18.7109375" style="57" customWidth="1"/>
    <col min="7" max="7" width="14.7109375" style="57" bestFit="1" customWidth="1"/>
    <col min="8" max="8" width="42.42578125" style="57" customWidth="1"/>
    <col min="9" max="9" width="11.42578125" style="66"/>
    <col min="10" max="10" width="13.85546875" style="81" customWidth="1"/>
    <col min="11" max="11" width="9.7109375" style="82" customWidth="1"/>
    <col min="12" max="12" width="12.5703125" style="66" customWidth="1"/>
    <col min="13" max="13" width="12.7109375" style="66" customWidth="1"/>
    <col min="14" max="16384" width="11.42578125" style="66"/>
  </cols>
  <sheetData>
    <row r="2" spans="3:13" s="72" customFormat="1" ht="20.25" customHeight="1" x14ac:dyDescent="0.2">
      <c r="C2" s="202" t="s">
        <v>147</v>
      </c>
      <c r="D2" s="202"/>
      <c r="E2" s="202"/>
      <c r="F2" s="202"/>
      <c r="G2" s="202"/>
      <c r="H2" s="202"/>
      <c r="J2" s="73"/>
      <c r="K2" s="74"/>
    </row>
    <row r="3" spans="3:13" s="72" customFormat="1" ht="18" customHeight="1" x14ac:dyDescent="0.2">
      <c r="C3" s="203" t="s">
        <v>161</v>
      </c>
      <c r="D3" s="203"/>
      <c r="E3" s="203"/>
      <c r="F3" s="203"/>
      <c r="G3" s="203"/>
      <c r="H3" s="203"/>
      <c r="J3" s="73"/>
      <c r="K3" s="74"/>
    </row>
    <row r="4" spans="3:13" s="72" customFormat="1" ht="13.5" customHeight="1" x14ac:dyDescent="0.2">
      <c r="C4" s="204" t="str">
        <f>'Capacidad Financiera'!B4</f>
        <v>CONTRATACION PÚBLICA No. IP-DT-SAN-006-2023</v>
      </c>
      <c r="D4" s="204"/>
      <c r="E4" s="204"/>
      <c r="F4" s="204"/>
      <c r="G4" s="204"/>
      <c r="H4" s="204"/>
      <c r="J4" s="73"/>
      <c r="K4" s="74"/>
    </row>
    <row r="5" spans="3:13" s="72" customFormat="1" ht="13.5" customHeight="1" x14ac:dyDescent="0.2">
      <c r="C5" s="204" t="s">
        <v>168</v>
      </c>
      <c r="D5" s="204"/>
      <c r="E5" s="204"/>
      <c r="F5" s="204"/>
      <c r="G5" s="204"/>
      <c r="H5" s="204"/>
      <c r="J5" s="73"/>
      <c r="K5" s="74"/>
    </row>
    <row r="6" spans="3:13" s="72" customFormat="1" ht="14.25" thickBot="1" x14ac:dyDescent="0.25">
      <c r="C6" s="75"/>
      <c r="D6" s="75"/>
      <c r="E6" s="79"/>
      <c r="F6" s="79"/>
      <c r="G6" s="79"/>
      <c r="H6" s="79"/>
      <c r="J6" s="73"/>
      <c r="K6" s="74"/>
    </row>
    <row r="7" spans="3:13" ht="43.5" customHeight="1" x14ac:dyDescent="0.2">
      <c r="C7" s="205" t="s">
        <v>112</v>
      </c>
      <c r="D7" s="207" t="s">
        <v>111</v>
      </c>
      <c r="E7" s="209" t="s">
        <v>169</v>
      </c>
      <c r="F7" s="211" t="s">
        <v>170</v>
      </c>
      <c r="G7" s="211" t="s">
        <v>171</v>
      </c>
      <c r="H7" s="109" t="s">
        <v>168</v>
      </c>
    </row>
    <row r="8" spans="3:13" ht="84.75" customHeight="1" thickBot="1" x14ac:dyDescent="0.25">
      <c r="C8" s="206"/>
      <c r="D8" s="208"/>
      <c r="E8" s="210"/>
      <c r="F8" s="212"/>
      <c r="G8" s="212"/>
      <c r="H8" s="111" t="s">
        <v>172</v>
      </c>
    </row>
    <row r="9" spans="3:13" ht="13.5" thickBot="1" x14ac:dyDescent="0.25">
      <c r="C9" s="130">
        <f>+'Capacidad Financiera'!B12</f>
        <v>1</v>
      </c>
      <c r="D9" s="131" t="str">
        <f>IF(ISERROR(VLOOKUP(C9,'Capacidad Financiera'!$B$12:$AD$62673,2,0)),"",VLOOKUP(C9,'Capacidad Financiera'!$B$12:$AD$3533,2,0))</f>
        <v>CARLOS DEL RIO DIAZ</v>
      </c>
      <c r="E9" s="112">
        <f>+'Capacidad Financiera'!E12</f>
        <v>210888000</v>
      </c>
      <c r="F9" s="112">
        <f>IF(OR(C9="",D9=""),"",IF(ISERROR(VLOOKUP(D9,'Capacidad Financiera'!$C$12:$AD$62673,5,0)),"",VLOOKUP(D9,'Capacidad Financiera'!$C$12:$AD$62673,5,0)))</f>
        <v>0</v>
      </c>
      <c r="G9" s="113">
        <v>1.6</v>
      </c>
      <c r="H9" s="114">
        <f>IF(OR(D9="",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</f>
        <v>40</v>
      </c>
      <c r="J9" s="83"/>
      <c r="K9" s="84"/>
      <c r="L9" s="67"/>
      <c r="M9" s="67"/>
    </row>
    <row r="10" spans="3:13" x14ac:dyDescent="0.2">
      <c r="C10" s="130"/>
      <c r="D10" s="131"/>
      <c r="E10" s="112"/>
      <c r="F10" s="112"/>
      <c r="G10" s="113"/>
      <c r="H10" s="114"/>
    </row>
    <row r="11" spans="3:13" x14ac:dyDescent="0.2">
      <c r="C11" s="132"/>
      <c r="D11" s="133"/>
      <c r="E11" s="112"/>
      <c r="F11" s="112"/>
      <c r="G11" s="113"/>
      <c r="H11" s="114"/>
    </row>
    <row r="12" spans="3:13" x14ac:dyDescent="0.2">
      <c r="C12" s="132"/>
      <c r="D12" s="133"/>
      <c r="E12" s="112"/>
      <c r="F12" s="112"/>
      <c r="G12" s="113"/>
      <c r="H12" s="114"/>
    </row>
    <row r="13" spans="3:13" x14ac:dyDescent="0.2">
      <c r="C13" s="132"/>
      <c r="D13" s="133"/>
      <c r="E13" s="112"/>
      <c r="F13" s="112"/>
      <c r="G13" s="113"/>
      <c r="H13" s="114"/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6:H6 D9:D13">
    <cfRule type="cellIs" dxfId="17" priority="21" stopIfTrue="1" operator="equal">
      <formula>"NO ADMISIBLE"</formula>
    </cfRule>
  </conditionalFormatting>
  <conditionalFormatting sqref="E9:H10">
    <cfRule type="expression" dxfId="16" priority="15" stopIfTrue="1">
      <formula>IF($B1-INT($B1)&gt;0,TRUE,FALSE)</formula>
    </cfRule>
  </conditionalFormatting>
  <conditionalFormatting sqref="E11:H13">
    <cfRule type="expression" dxfId="15" priority="2527" stopIfTrue="1">
      <formula>IF($B5-INT($B5)&gt;0,TRUE,FALSE)</formula>
    </cfRule>
  </conditionalFormatting>
  <dataValidations count="1">
    <dataValidation type="list" allowBlank="1" showInputMessage="1" showErrorMessage="1" sqref="D6 D9:D13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2">
    <tabColor rgb="FF92D050"/>
  </sheetPr>
  <dimension ref="C2:J13"/>
  <sheetViews>
    <sheetView workbookViewId="0">
      <selection activeCell="H13" sqref="H13"/>
    </sheetView>
  </sheetViews>
  <sheetFormatPr baseColWidth="10" defaultRowHeight="12.75" x14ac:dyDescent="0.2"/>
  <cols>
    <col min="1" max="1" width="11.42578125" style="66" customWidth="1"/>
    <col min="2" max="2" width="11.28515625" style="66" customWidth="1"/>
    <col min="3" max="3" width="3.85546875" style="66" customWidth="1"/>
    <col min="4" max="4" width="34.140625" style="66" customWidth="1"/>
    <col min="5" max="5" width="42" style="57" customWidth="1"/>
    <col min="6" max="6" width="11.42578125" style="66"/>
    <col min="7" max="7" width="13.85546875" style="81" customWidth="1"/>
    <col min="8" max="8" width="9.7109375" style="82" customWidth="1"/>
    <col min="9" max="9" width="12.5703125" style="66" customWidth="1"/>
    <col min="10" max="10" width="12.7109375" style="66" customWidth="1"/>
    <col min="11" max="16384" width="11.42578125" style="66"/>
  </cols>
  <sheetData>
    <row r="2" spans="3:10" s="72" customFormat="1" ht="20.25" customHeight="1" x14ac:dyDescent="0.2">
      <c r="C2" s="202" t="s">
        <v>147</v>
      </c>
      <c r="D2" s="202"/>
      <c r="E2" s="202"/>
      <c r="G2" s="73"/>
      <c r="H2" s="74"/>
    </row>
    <row r="3" spans="3:10" s="72" customFormat="1" ht="18" customHeight="1" x14ac:dyDescent="0.2">
      <c r="C3" s="203" t="s">
        <v>161</v>
      </c>
      <c r="D3" s="203"/>
      <c r="E3" s="203"/>
      <c r="G3" s="73"/>
      <c r="H3" s="74"/>
    </row>
    <row r="4" spans="3:10" s="72" customFormat="1" ht="13.5" customHeight="1" x14ac:dyDescent="0.2">
      <c r="C4" s="204" t="str">
        <f>'Capacidad Financiera'!B4</f>
        <v>CONTRATACION PÚBLICA No. IP-DT-SAN-006-2023</v>
      </c>
      <c r="D4" s="204"/>
      <c r="E4" s="204"/>
      <c r="G4" s="73"/>
      <c r="H4" s="74"/>
    </row>
    <row r="5" spans="3:10" s="72" customFormat="1" ht="13.5" customHeight="1" x14ac:dyDescent="0.2">
      <c r="C5" s="204" t="s">
        <v>173</v>
      </c>
      <c r="D5" s="204"/>
      <c r="E5" s="204"/>
      <c r="G5" s="73"/>
      <c r="H5" s="74"/>
    </row>
    <row r="6" spans="3:10" s="72" customFormat="1" ht="14.25" thickBot="1" x14ac:dyDescent="0.25">
      <c r="C6" s="75"/>
      <c r="D6" s="75"/>
      <c r="E6" s="79"/>
      <c r="G6" s="73"/>
      <c r="H6" s="74"/>
    </row>
    <row r="7" spans="3:10" ht="36" customHeight="1" x14ac:dyDescent="0.2">
      <c r="C7" s="205" t="s">
        <v>112</v>
      </c>
      <c r="D7" s="207" t="s">
        <v>111</v>
      </c>
      <c r="E7" s="213" t="s">
        <v>174</v>
      </c>
    </row>
    <row r="8" spans="3:10" ht="36" customHeight="1" thickBot="1" x14ac:dyDescent="0.25">
      <c r="C8" s="206"/>
      <c r="D8" s="208"/>
      <c r="E8" s="214"/>
    </row>
    <row r="9" spans="3:10" ht="13.5" thickBot="1" x14ac:dyDescent="0.25">
      <c r="C9" s="24">
        <f>+'Capacidad Financiera'!B12</f>
        <v>1</v>
      </c>
      <c r="D9" s="25" t="str">
        <f>IF(ISERROR(VLOOKUP(C9,'Capacidad Financiera'!$B$12:$AD$62673,2,0)),"",VLOOKUP(C9,'Capacidad Financiera'!$B$12:$AD$3533,2,0))</f>
        <v>CARLOS DEL RIO DIAZ</v>
      </c>
      <c r="E9" s="148">
        <v>10506.13</v>
      </c>
      <c r="G9" s="83"/>
      <c r="H9" s="84"/>
      <c r="I9" s="67"/>
      <c r="J9" s="67"/>
    </row>
    <row r="10" spans="3:10" ht="25.5" customHeight="1" x14ac:dyDescent="0.2">
      <c r="C10" s="146"/>
      <c r="D10" s="147"/>
      <c r="E10" s="148"/>
    </row>
    <row r="11" spans="3:10" x14ac:dyDescent="0.2">
      <c r="C11" s="29"/>
      <c r="D11" s="52"/>
      <c r="E11" s="106"/>
    </row>
    <row r="12" spans="3:10" x14ac:dyDescent="0.2">
      <c r="C12" s="29"/>
      <c r="D12" s="52"/>
      <c r="E12" s="106"/>
    </row>
    <row r="13" spans="3:10" x14ac:dyDescent="0.2">
      <c r="C13" s="29"/>
      <c r="D13" s="52"/>
      <c r="E13" s="106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6:E6 D9:D13">
    <cfRule type="cellIs" dxfId="14" priority="21" stopIfTrue="1" operator="equal">
      <formula>"NO ADMISIBLE"</formula>
    </cfRule>
  </conditionalFormatting>
  <conditionalFormatting sqref="E9:E10">
    <cfRule type="expression" dxfId="13" priority="22" stopIfTrue="1">
      <formula>IF(#REF!-INT(#REF!)&gt;0,TRUE,FALSE)</formula>
    </cfRule>
  </conditionalFormatting>
  <conditionalFormatting sqref="E11:E13">
    <cfRule type="expression" dxfId="12" priority="2530" stopIfTrue="1">
      <formula>IF($B5-INT($B5)&gt;0,TRUE,FALSE)</formula>
    </cfRule>
  </conditionalFormatting>
  <dataValidations count="1">
    <dataValidation type="list" allowBlank="1" showInputMessage="1" showErrorMessage="1" sqref="D6 D9:D13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>
    <tabColor rgb="FF92D050"/>
  </sheetPr>
  <dimension ref="C2:J12"/>
  <sheetViews>
    <sheetView zoomScale="85" zoomScaleNormal="85" workbookViewId="0">
      <selection activeCell="C2" sqref="C2:E2"/>
    </sheetView>
  </sheetViews>
  <sheetFormatPr baseColWidth="10" defaultRowHeight="12.75" x14ac:dyDescent="0.2"/>
  <cols>
    <col min="1" max="1" width="11.42578125" style="66" customWidth="1"/>
    <col min="2" max="2" width="11.28515625" style="66" customWidth="1"/>
    <col min="3" max="3" width="3.85546875" style="66" customWidth="1"/>
    <col min="4" max="4" width="35.140625" style="66" customWidth="1"/>
    <col min="5" max="5" width="68.140625" style="57" customWidth="1"/>
    <col min="6" max="6" width="50.140625" style="66" customWidth="1"/>
    <col min="7" max="7" width="13.85546875" style="81" customWidth="1"/>
    <col min="8" max="8" width="9.7109375" style="82" customWidth="1"/>
    <col min="9" max="9" width="12.5703125" style="66" customWidth="1"/>
    <col min="10" max="10" width="12.7109375" style="66" customWidth="1"/>
    <col min="11" max="16384" width="11.42578125" style="66"/>
  </cols>
  <sheetData>
    <row r="2" spans="3:10" s="72" customFormat="1" ht="20.25" customHeight="1" x14ac:dyDescent="0.2">
      <c r="C2" s="202" t="s">
        <v>147</v>
      </c>
      <c r="D2" s="202"/>
      <c r="E2" s="202"/>
      <c r="G2" s="73"/>
      <c r="H2" s="74"/>
    </row>
    <row r="3" spans="3:10" s="72" customFormat="1" ht="18" customHeight="1" x14ac:dyDescent="0.2">
      <c r="C3" s="203" t="s">
        <v>161</v>
      </c>
      <c r="D3" s="203"/>
      <c r="E3" s="203"/>
      <c r="G3" s="73"/>
      <c r="H3" s="74"/>
    </row>
    <row r="4" spans="3:10" s="72" customFormat="1" ht="13.5" customHeight="1" x14ac:dyDescent="0.2">
      <c r="C4" s="204" t="str">
        <f>'Capacidad Financiera'!B4</f>
        <v>CONTRATACION PÚBLICA No. IP-DT-SAN-006-2023</v>
      </c>
      <c r="D4" s="204"/>
      <c r="E4" s="204"/>
      <c r="G4" s="73"/>
      <c r="H4" s="74"/>
    </row>
    <row r="5" spans="3:10" s="72" customFormat="1" ht="13.5" customHeight="1" x14ac:dyDescent="0.2">
      <c r="C5" s="204" t="s">
        <v>175</v>
      </c>
      <c r="D5" s="204"/>
      <c r="E5" s="204"/>
      <c r="G5" s="73"/>
      <c r="H5" s="74"/>
    </row>
    <row r="6" spans="3:10" s="72" customFormat="1" ht="14.25" thickBot="1" x14ac:dyDescent="0.25">
      <c r="C6" s="75"/>
      <c r="D6" s="75"/>
      <c r="E6" s="79"/>
      <c r="G6" s="73"/>
      <c r="H6" s="74"/>
    </row>
    <row r="7" spans="3:10" ht="23.25" customHeight="1" thickBot="1" x14ac:dyDescent="0.25">
      <c r="C7" s="215" t="s">
        <v>112</v>
      </c>
      <c r="D7" s="217" t="s">
        <v>111</v>
      </c>
      <c r="E7" s="139" t="s">
        <v>176</v>
      </c>
    </row>
    <row r="8" spans="3:10" ht="66" customHeight="1" thickBot="1" x14ac:dyDescent="0.25">
      <c r="C8" s="216"/>
      <c r="D8" s="218"/>
      <c r="E8" s="140" t="s">
        <v>180</v>
      </c>
      <c r="F8" s="138" t="s">
        <v>194</v>
      </c>
    </row>
    <row r="9" spans="3:10" ht="23.25" customHeight="1" thickBot="1" x14ac:dyDescent="0.25">
      <c r="C9" s="130">
        <f>+'Capacidad Financiera'!B12</f>
        <v>1</v>
      </c>
      <c r="D9" s="131" t="str">
        <f>IF(ISERROR(VLOOKUP(C9,'Capacidad Financiera'!$B$12:$AD$62673,2,0)),"",VLOOKUP(C9,'Capacidad Financiera'!$B$12:$AD$3533,2,0))</f>
        <v>CARLOS DEL RIO DIAZ</v>
      </c>
      <c r="E9" s="144">
        <v>457297264</v>
      </c>
      <c r="F9" s="143"/>
      <c r="G9" s="83"/>
      <c r="H9" s="84"/>
      <c r="I9" s="67"/>
      <c r="J9" s="67"/>
    </row>
    <row r="10" spans="3:10" x14ac:dyDescent="0.2">
      <c r="C10" s="130"/>
      <c r="D10" s="131"/>
      <c r="E10" s="134"/>
      <c r="F10" s="143"/>
    </row>
    <row r="11" spans="3:10" x14ac:dyDescent="0.2">
      <c r="C11" s="29"/>
      <c r="D11" s="52"/>
      <c r="E11" s="134"/>
      <c r="F11" s="141"/>
    </row>
    <row r="12" spans="3:10" x14ac:dyDescent="0.2">
      <c r="C12" s="29"/>
      <c r="D12" s="52"/>
      <c r="E12" s="134"/>
      <c r="F12" s="141"/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6:E6 D9:D12">
    <cfRule type="cellIs" dxfId="11" priority="28" stopIfTrue="1" operator="equal">
      <formula>"NO ADMISIBLE"</formula>
    </cfRule>
  </conditionalFormatting>
  <conditionalFormatting sqref="E9">
    <cfRule type="expression" dxfId="10" priority="22" stopIfTrue="1">
      <formula>IF($B1-INT($B1)&gt;0,TRUE,FALSE)</formula>
    </cfRule>
  </conditionalFormatting>
  <conditionalFormatting sqref="E10:E12">
    <cfRule type="expression" dxfId="9" priority="12" stopIfTrue="1">
      <formula>IF($B3-INT($B3)&gt;0,TRUE,FALSE)</formula>
    </cfRule>
  </conditionalFormatting>
  <dataValidations count="1">
    <dataValidation type="list" allowBlank="1" showInputMessage="1" showErrorMessage="1" sqref="D6 D9:D12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>
    <tabColor rgb="FF92D050"/>
  </sheetPr>
  <dimension ref="C2:X11"/>
  <sheetViews>
    <sheetView topLeftCell="F1" zoomScale="90" zoomScaleNormal="90" workbookViewId="0">
      <selection activeCell="L20" sqref="L20"/>
    </sheetView>
  </sheetViews>
  <sheetFormatPr baseColWidth="10" defaultRowHeight="12.75" x14ac:dyDescent="0.2"/>
  <cols>
    <col min="1" max="1" width="11.42578125" style="66" customWidth="1"/>
    <col min="2" max="2" width="11.28515625" style="66" customWidth="1"/>
    <col min="3" max="3" width="3.85546875" style="66" customWidth="1"/>
    <col min="4" max="4" width="29.5703125" style="66" customWidth="1"/>
    <col min="5" max="5" width="13.28515625" style="66" customWidth="1"/>
    <col min="6" max="6" width="3.85546875" style="66" customWidth="1"/>
    <col min="7" max="7" width="17" style="66" customWidth="1"/>
    <col min="8" max="8" width="12.7109375" style="66" customWidth="1"/>
    <col min="9" max="9" width="3.7109375" style="66" customWidth="1"/>
    <col min="10" max="10" width="29" style="66" customWidth="1"/>
    <col min="11" max="11" width="16.5703125" style="57" customWidth="1"/>
    <col min="12" max="12" width="14.5703125" style="57" customWidth="1"/>
    <col min="13" max="13" width="8.85546875" style="57" hidden="1" customWidth="1"/>
    <col min="14" max="14" width="14.5703125" style="57" hidden="1" customWidth="1"/>
    <col min="15" max="15" width="13.140625" style="57" customWidth="1"/>
    <col min="16" max="16" width="13.85546875" style="57" bestFit="1" customWidth="1"/>
    <col min="17" max="17" width="20.7109375" style="57" customWidth="1"/>
    <col min="18" max="18" width="26.42578125" style="57" customWidth="1"/>
    <col min="19" max="19" width="29.42578125" style="66" customWidth="1"/>
    <col min="20" max="20" width="11.42578125" style="66"/>
    <col min="21" max="21" width="13.85546875" style="81" customWidth="1"/>
    <col min="22" max="22" width="9.7109375" style="82" customWidth="1"/>
    <col min="23" max="23" width="12.5703125" style="66" customWidth="1"/>
    <col min="24" max="24" width="12.7109375" style="66" customWidth="1"/>
    <col min="25" max="16384" width="11.42578125" style="66"/>
  </cols>
  <sheetData>
    <row r="2" spans="3:24" s="72" customFormat="1" ht="20.25" customHeight="1" x14ac:dyDescent="0.2">
      <c r="C2" s="202" t="s">
        <v>147</v>
      </c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U2" s="73"/>
      <c r="V2" s="74"/>
    </row>
    <row r="3" spans="3:24" s="72" customFormat="1" ht="18" customHeight="1" x14ac:dyDescent="0.2">
      <c r="C3" s="203" t="s">
        <v>161</v>
      </c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U3" s="73"/>
      <c r="V3" s="74"/>
    </row>
    <row r="4" spans="3:24" s="72" customFormat="1" ht="13.5" customHeight="1" x14ac:dyDescent="0.2">
      <c r="C4" s="204" t="str">
        <f>'Capacidad Financiera'!B4</f>
        <v>CONTRATACION PÚBLICA No. IP-DT-SAN-006-2023</v>
      </c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U4" s="73"/>
      <c r="V4" s="74"/>
    </row>
    <row r="5" spans="3:24" s="72" customFormat="1" ht="13.5" customHeight="1" x14ac:dyDescent="0.2">
      <c r="C5" s="204" t="s">
        <v>148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U5" s="73"/>
      <c r="V5" s="74"/>
    </row>
    <row r="6" spans="3:24" s="72" customFormat="1" ht="14.25" thickBot="1" x14ac:dyDescent="0.25">
      <c r="C6" s="75"/>
      <c r="D6" s="75"/>
      <c r="E6" s="76"/>
      <c r="F6" s="76"/>
      <c r="G6" s="77"/>
      <c r="H6" s="77"/>
      <c r="I6" s="77"/>
      <c r="J6" s="78"/>
      <c r="L6" s="79"/>
      <c r="M6" s="79"/>
      <c r="N6" s="79"/>
      <c r="O6" s="79"/>
      <c r="P6" s="79"/>
      <c r="Q6" s="79"/>
      <c r="R6" s="79"/>
      <c r="S6" s="80"/>
      <c r="U6" s="73"/>
      <c r="V6" s="74"/>
    </row>
    <row r="7" spans="3:24" ht="62.25" customHeight="1" x14ac:dyDescent="0.2">
      <c r="C7" s="227" t="s">
        <v>112</v>
      </c>
      <c r="D7" s="230" t="s">
        <v>111</v>
      </c>
      <c r="E7" s="21" t="s">
        <v>152</v>
      </c>
      <c r="F7" s="233" t="s">
        <v>117</v>
      </c>
      <c r="G7" s="21" t="s">
        <v>139</v>
      </c>
      <c r="H7" s="21" t="s">
        <v>140</v>
      </c>
      <c r="I7" s="236" t="s">
        <v>1</v>
      </c>
      <c r="J7" s="49" t="s">
        <v>141</v>
      </c>
      <c r="K7" s="21" t="s">
        <v>142</v>
      </c>
      <c r="L7" s="21" t="s">
        <v>143</v>
      </c>
      <c r="M7" s="159" t="s">
        <v>123</v>
      </c>
      <c r="N7" s="167" t="s">
        <v>124</v>
      </c>
      <c r="O7" s="21" t="s">
        <v>157</v>
      </c>
      <c r="P7" s="22" t="s">
        <v>144</v>
      </c>
      <c r="Q7" s="50" t="s">
        <v>178</v>
      </c>
      <c r="R7" s="51" t="s">
        <v>145</v>
      </c>
      <c r="S7" s="116" t="s">
        <v>179</v>
      </c>
    </row>
    <row r="8" spans="3:24" x14ac:dyDescent="0.2">
      <c r="C8" s="228"/>
      <c r="D8" s="231"/>
      <c r="E8" s="221" t="s">
        <v>2</v>
      </c>
      <c r="F8" s="234"/>
      <c r="G8" s="221" t="s">
        <v>3</v>
      </c>
      <c r="H8" s="221" t="s">
        <v>3</v>
      </c>
      <c r="I8" s="237"/>
      <c r="J8" s="223" t="s">
        <v>146</v>
      </c>
      <c r="K8" s="225" t="s">
        <v>177</v>
      </c>
      <c r="L8" s="225" t="s">
        <v>154</v>
      </c>
      <c r="M8" s="160"/>
      <c r="N8" s="168"/>
      <c r="O8" s="225" t="s">
        <v>154</v>
      </c>
      <c r="P8" s="225" t="s">
        <v>154</v>
      </c>
      <c r="Q8" s="225" t="s">
        <v>177</v>
      </c>
      <c r="R8" s="223" t="s">
        <v>202</v>
      </c>
      <c r="S8" s="219" t="s">
        <v>132</v>
      </c>
    </row>
    <row r="9" spans="3:24" ht="51" customHeight="1" thickBot="1" x14ac:dyDescent="0.25">
      <c r="C9" s="229"/>
      <c r="D9" s="232"/>
      <c r="E9" s="222"/>
      <c r="F9" s="235"/>
      <c r="G9" s="222"/>
      <c r="H9" s="222"/>
      <c r="I9" s="238"/>
      <c r="J9" s="224"/>
      <c r="K9" s="226"/>
      <c r="L9" s="226"/>
      <c r="M9" s="161"/>
      <c r="N9" s="169"/>
      <c r="O9" s="226"/>
      <c r="P9" s="226"/>
      <c r="Q9" s="226"/>
      <c r="R9" s="224"/>
      <c r="S9" s="220"/>
    </row>
    <row r="10" spans="3:24" ht="13.5" thickBot="1" x14ac:dyDescent="0.25">
      <c r="C10" s="130">
        <f>+'Capacidad Financiera'!B12</f>
        <v>1</v>
      </c>
      <c r="D10" s="131" t="str">
        <f>IF(ISERROR(VLOOKUP(C10,'Capacidad Financiera'!$B$12:$AD$62673,2,0)),"",VLOOKUP(C10,'Capacidad Financiera'!$B$12:$AD$3533,2,0))</f>
        <v>CARLOS DEL RIO DIAZ</v>
      </c>
      <c r="E10" s="23">
        <f>IF(ISERROR(VLOOKUP(C10,'Capacidad Financiera'!$B$12:$AD$62673,3,0)),"",VLOOKUP(C10,'Capacidad Financiera'!$B$12:$AD$62673,3,0))</f>
        <v>1</v>
      </c>
      <c r="F10" s="28">
        <f>'Capacidad Financiera'!N12</f>
        <v>1</v>
      </c>
      <c r="G10" s="27">
        <f>IF(ISERROR(VLOOKUP(F10,POA!$A$2:$D$25,2,0)),"",VLOOKUP(F10,POA!$A$2:$D$25,2,0))</f>
        <v>116000000</v>
      </c>
      <c r="H10" s="27">
        <f>IF(ISERROR(VLOOKUP(F10,POA!$A$2:$D$25,3,0)),"",VLOOKUP(F10,POA!$A$2:$D$25,4,0))</f>
        <v>0</v>
      </c>
      <c r="I10" s="28">
        <v>5</v>
      </c>
      <c r="J10" s="25">
        <f>IF(I10="","",IF(I10&lt;12,(G10-H10),IF(I10&gt;=12,(((G10-H10)/I10)*12),"")))</f>
        <v>116000000</v>
      </c>
      <c r="K10" s="117">
        <f>IF(IF(ISERROR(VLOOKUP(C10,'Cap Organización'!$C$9:$I$1048576,3,0)),"",VLOOKUP(C10,'Cap Organización'!$C$9:$I$1048576,3,0))=0,"",IF(ISERROR(VLOOKUP(C10,'Cap Organización'!$C$9:$I$1048576,3,0)),"",VLOOKUP(C10,'Cap Organización'!$C$9:$I$1048576,3,0)))</f>
        <v>457297264</v>
      </c>
      <c r="L10" s="115">
        <f>IF(ISERROR(VLOOKUP(C10,'Puntaje Exp'!$C$9:$J$1048576,8,0)),"",VLOOKUP(C10,'Puntaje Exp'!$C$9:$J$1048576,8,0))</f>
        <v>120</v>
      </c>
      <c r="M10" s="25"/>
      <c r="N10" s="25" t="e">
        <f>+SUM(#REF!)</f>
        <v>#REF!</v>
      </c>
      <c r="O10" s="115">
        <f>IF(ISERROR(VLOOKUP(C10,'Puntaje CT'!$C$9:$I$1048576,4,0)),"",VLOOKUP(C10,'Puntaje CT'!$C$9:$I$1048576,4,0))</f>
        <v>20</v>
      </c>
      <c r="P10" s="115">
        <f>IF(ISERROR(VLOOKUP(C10,'Puntaje CF'!$C$9:$I$1048576,6,0)),"",VLOOKUP(C10,'Puntaje CF'!$C$9:$I$1048576,6,0))</f>
        <v>40</v>
      </c>
      <c r="Q10" s="137">
        <f>IF(IF(ISERROR(VLOOKUP(C10,'Saldo CtosEjecución'!$C$9:$I$1048576,3,0)),"0",VLOOKUP(C10,'Saldo CtosEjecución'!$C$9:$I$1048576,3,0))=0,"0",IF(ISERROR(VLOOKUP(C10,'Saldo CtosEjecución'!$C$9:$I$1048576,3,0)),"0",VLOOKUP(C10,'Saldo CtosEjecución'!$C$9:$I$1048576,3,0)))</f>
        <v>10506.13</v>
      </c>
      <c r="R10" s="136">
        <f>IF(OR(K10=""),"0",(K10*((L10+O10+P10)/100))-Q10)</f>
        <v>823124569.07000005</v>
      </c>
      <c r="S10" s="119" t="str">
        <f>+IF(OR(R10=0,F10=""),"",IF(R10&gt;=J10,"HABIL","NO HABIL"))</f>
        <v>HABIL</v>
      </c>
      <c r="U10" s="83"/>
      <c r="V10" s="84"/>
      <c r="W10" s="67"/>
      <c r="X10" s="67"/>
    </row>
    <row r="11" spans="3:24" ht="13.5" thickBot="1" x14ac:dyDescent="0.25">
      <c r="C11" s="130"/>
      <c r="D11" s="131"/>
      <c r="E11" s="23"/>
      <c r="F11" s="28"/>
      <c r="G11" s="27"/>
      <c r="H11" s="27"/>
      <c r="I11" s="28"/>
      <c r="J11" s="25"/>
      <c r="K11" s="117"/>
      <c r="L11" s="115"/>
      <c r="M11" s="25"/>
      <c r="N11" s="25"/>
      <c r="O11" s="115"/>
      <c r="P11" s="115"/>
      <c r="Q11" s="137"/>
      <c r="R11" s="136"/>
      <c r="S11" s="119"/>
      <c r="U11" s="83"/>
      <c r="V11" s="84"/>
      <c r="W11" s="67"/>
      <c r="X11" s="67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19" type="noConversion"/>
  <conditionalFormatting sqref="S6 E6:J6">
    <cfRule type="expression" dxfId="8" priority="2551" stopIfTrue="1">
      <formula>IF($B6-INT($B6)&gt;0,TRUE,FALSE)</formula>
    </cfRule>
  </conditionalFormatting>
  <conditionalFormatting sqref="D6 L6:R6 D10:D11">
    <cfRule type="cellIs" dxfId="7" priority="2552" stopIfTrue="1" operator="equal">
      <formula>"NO ADMISIBLE"</formula>
    </cfRule>
  </conditionalFormatting>
  <conditionalFormatting sqref="S10:S11">
    <cfRule type="cellIs" dxfId="6" priority="2547" stopIfTrue="1" operator="equal">
      <formula>"NO ADMISIBLE"</formula>
    </cfRule>
    <cfRule type="cellIs" dxfId="5" priority="2548" stopIfTrue="1" operator="equal">
      <formula>"ADMISIBLE"</formula>
    </cfRule>
  </conditionalFormatting>
  <conditionalFormatting sqref="S10:S11">
    <cfRule type="cellIs" dxfId="4" priority="2546" stopIfTrue="1" operator="equal">
      <formula>"PENDIENTE"</formula>
    </cfRule>
  </conditionalFormatting>
  <conditionalFormatting sqref="L10:L11 O10:P11 E10:E11">
    <cfRule type="expression" dxfId="3" priority="2541" stopIfTrue="1">
      <formula>IF($B1-INT($B1)&gt;0,TRUE,FALSE)</formula>
    </cfRule>
  </conditionalFormatting>
  <conditionalFormatting sqref="M10:N11 Q10:Q11 F10:J11">
    <cfRule type="expression" dxfId="2" priority="2556" stopIfTrue="1">
      <formula>IF(#REF!-INT(#REF!)&gt;0,TRUE,FALSE)</formula>
    </cfRule>
  </conditionalFormatting>
  <conditionalFormatting sqref="K10:K11">
    <cfRule type="expression" dxfId="1" priority="46" stopIfTrue="1">
      <formula>IF($B1-INT($B1)&gt;0,TRUE,FALSE)</formula>
    </cfRule>
  </conditionalFormatting>
  <conditionalFormatting sqref="R10:R11">
    <cfRule type="expression" dxfId="0" priority="25" stopIfTrue="1">
      <formula>IF($B1-INT($B1)&gt;0,TRUE,FALSE)</formula>
    </cfRule>
  </conditionalFormatting>
  <dataValidations count="1">
    <dataValidation type="list" allowBlank="1" showInputMessage="1" showErrorMessage="1" sqref="D6 D10:D11" xr:uid="{00000000-0002-0000-0800-000000000000}">
      <formula1>prueba</formula1>
    </dataValidation>
  </dataValidations>
  <pageMargins left="0.75" right="0.75" top="1" bottom="1" header="0" footer="0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"/>
  <dimension ref="A1:B103"/>
  <sheetViews>
    <sheetView topLeftCell="A79"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" customFormat="1" ht="15.75" x14ac:dyDescent="0.25">
      <c r="A1" s="1" t="s">
        <v>4</v>
      </c>
    </row>
    <row r="3" spans="1:2" ht="48" x14ac:dyDescent="0.2">
      <c r="A3" s="2" t="s">
        <v>5</v>
      </c>
      <c r="B3" s="3" t="s">
        <v>6</v>
      </c>
    </row>
    <row r="4" spans="1:2" s="5" customFormat="1" outlineLevel="2" x14ac:dyDescent="0.2">
      <c r="A4" s="4"/>
    </row>
    <row r="5" spans="1:2" s="8" customFormat="1" ht="13.5" outlineLevel="1" x14ac:dyDescent="0.2">
      <c r="A5" s="6" t="s">
        <v>94</v>
      </c>
      <c r="B5" s="7">
        <v>16097532669.306931</v>
      </c>
    </row>
    <row r="6" spans="1:2" s="8" customFormat="1" ht="13.5" outlineLevel="1" x14ac:dyDescent="0.2">
      <c r="A6" s="6" t="s">
        <v>95</v>
      </c>
      <c r="B6" s="7">
        <v>18724260670</v>
      </c>
    </row>
    <row r="7" spans="1:2" s="8" customFormat="1" ht="13.5" outlineLevel="1" x14ac:dyDescent="0.2">
      <c r="A7" s="6" t="s">
        <v>96</v>
      </c>
      <c r="B7" s="7">
        <v>15886461489</v>
      </c>
    </row>
    <row r="8" spans="1:2" s="8" customFormat="1" ht="13.5" outlineLevel="1" x14ac:dyDescent="0.2">
      <c r="A8" s="6" t="s">
        <v>97</v>
      </c>
      <c r="B8" s="7">
        <v>18533406621</v>
      </c>
    </row>
    <row r="9" spans="1:2" s="8" customFormat="1" ht="13.5" outlineLevel="1" x14ac:dyDescent="0.2">
      <c r="A9" s="6" t="s">
        <v>98</v>
      </c>
      <c r="B9" s="7">
        <v>14971945628</v>
      </c>
    </row>
    <row r="10" spans="1:2" s="8" customFormat="1" ht="13.5" outlineLevel="1" x14ac:dyDescent="0.2">
      <c r="A10" s="6" t="s">
        <v>99</v>
      </c>
      <c r="B10" s="7">
        <v>16484340849</v>
      </c>
    </row>
    <row r="11" spans="1:2" s="8" customFormat="1" ht="13.5" outlineLevel="1" x14ac:dyDescent="0.2">
      <c r="A11" s="6" t="s">
        <v>100</v>
      </c>
      <c r="B11" s="7">
        <v>16686919713.999998</v>
      </c>
    </row>
    <row r="12" spans="1:2" s="8" customFormat="1" ht="13.5" outlineLevel="1" x14ac:dyDescent="0.2">
      <c r="A12" s="6" t="s">
        <v>101</v>
      </c>
      <c r="B12" s="7">
        <v>11566305868</v>
      </c>
    </row>
    <row r="13" spans="1:2" s="8" customFormat="1" ht="13.5" outlineLevel="1" x14ac:dyDescent="0.2">
      <c r="A13" s="6" t="s">
        <v>102</v>
      </c>
      <c r="B13" s="7">
        <v>6300474910</v>
      </c>
    </row>
    <row r="14" spans="1:2" s="8" customFormat="1" ht="13.5" outlineLevel="1" x14ac:dyDescent="0.2">
      <c r="A14" s="6" t="s">
        <v>7</v>
      </c>
      <c r="B14" s="7">
        <v>1428162158.4158416</v>
      </c>
    </row>
    <row r="15" spans="1:2" s="8" customFormat="1" ht="13.5" outlineLevel="1" x14ac:dyDescent="0.2">
      <c r="A15" s="6" t="s">
        <v>8</v>
      </c>
      <c r="B15" s="7">
        <v>1292851961.3861387</v>
      </c>
    </row>
    <row r="16" spans="1:2" s="8" customFormat="1" ht="13.5" outlineLevel="1" x14ac:dyDescent="0.2">
      <c r="A16" s="6" t="s">
        <v>9</v>
      </c>
      <c r="B16" s="11">
        <v>14200237260</v>
      </c>
    </row>
    <row r="17" spans="1:2" s="8" customFormat="1" ht="13.5" outlineLevel="1" x14ac:dyDescent="0.2">
      <c r="A17" s="6" t="s">
        <v>10</v>
      </c>
      <c r="B17" s="7">
        <v>14388115033</v>
      </c>
    </row>
    <row r="18" spans="1:2" s="8" customFormat="1" ht="13.5" outlineLevel="1" x14ac:dyDescent="0.2">
      <c r="A18" s="6" t="s">
        <v>11</v>
      </c>
      <c r="B18" s="7">
        <v>7076050599</v>
      </c>
    </row>
    <row r="19" spans="1:2" s="8" customFormat="1" ht="13.5" outlineLevel="1" x14ac:dyDescent="0.2">
      <c r="A19" s="6" t="s">
        <v>12</v>
      </c>
      <c r="B19" s="7">
        <v>20893814942</v>
      </c>
    </row>
    <row r="20" spans="1:2" s="8" customFormat="1" ht="13.5" outlineLevel="1" x14ac:dyDescent="0.2">
      <c r="A20" s="6" t="s">
        <v>13</v>
      </c>
      <c r="B20" s="11">
        <v>8810989120</v>
      </c>
    </row>
    <row r="21" spans="1:2" s="8" customFormat="1" ht="13.5" outlineLevel="1" x14ac:dyDescent="0.2">
      <c r="A21" s="6" t="s">
        <v>14</v>
      </c>
      <c r="B21" s="7">
        <v>5818381842</v>
      </c>
    </row>
    <row r="22" spans="1:2" s="8" customFormat="1" ht="13.5" outlineLevel="1" x14ac:dyDescent="0.2">
      <c r="A22" s="6" t="s">
        <v>15</v>
      </c>
      <c r="B22" s="7">
        <v>9650261634</v>
      </c>
    </row>
    <row r="23" spans="1:2" s="8" customFormat="1" ht="13.5" outlineLevel="1" x14ac:dyDescent="0.2">
      <c r="A23" s="6" t="s">
        <v>16</v>
      </c>
      <c r="B23" s="7">
        <v>5385776414</v>
      </c>
    </row>
    <row r="24" spans="1:2" s="8" customFormat="1" ht="13.5" outlineLevel="1" x14ac:dyDescent="0.2">
      <c r="A24" s="6" t="s">
        <v>17</v>
      </c>
      <c r="B24" s="7">
        <v>5759505844</v>
      </c>
    </row>
    <row r="25" spans="1:2" s="8" customFormat="1" ht="13.5" outlineLevel="1" x14ac:dyDescent="0.2">
      <c r="A25" s="6" t="s">
        <v>18</v>
      </c>
      <c r="B25" s="7">
        <v>11365045650</v>
      </c>
    </row>
    <row r="26" spans="1:2" s="8" customFormat="1" ht="13.5" outlineLevel="1" x14ac:dyDescent="0.2">
      <c r="A26" s="6" t="s">
        <v>19</v>
      </c>
      <c r="B26" s="7">
        <v>15652530637</v>
      </c>
    </row>
    <row r="27" spans="1:2" s="8" customFormat="1" ht="13.5" outlineLevel="1" x14ac:dyDescent="0.2">
      <c r="A27" s="6" t="s">
        <v>20</v>
      </c>
      <c r="B27" s="7">
        <v>5772808797</v>
      </c>
    </row>
    <row r="28" spans="1:2" s="8" customFormat="1" ht="13.5" outlineLevel="1" x14ac:dyDescent="0.2">
      <c r="A28" s="6" t="s">
        <v>21</v>
      </c>
      <c r="B28" s="7">
        <v>7512106130</v>
      </c>
    </row>
    <row r="29" spans="1:2" s="8" customFormat="1" ht="13.5" outlineLevel="1" x14ac:dyDescent="0.2">
      <c r="A29" s="6" t="s">
        <v>22</v>
      </c>
      <c r="B29" s="7">
        <v>9347559589</v>
      </c>
    </row>
    <row r="30" spans="1:2" s="8" customFormat="1" ht="13.5" outlineLevel="1" x14ac:dyDescent="0.2">
      <c r="A30" s="6" t="s">
        <v>23</v>
      </c>
      <c r="B30" s="7">
        <v>19825977010</v>
      </c>
    </row>
    <row r="31" spans="1:2" s="8" customFormat="1" ht="13.5" outlineLevel="1" x14ac:dyDescent="0.2">
      <c r="A31" s="6" t="s">
        <v>24</v>
      </c>
      <c r="B31" s="7">
        <v>9200191515</v>
      </c>
    </row>
    <row r="32" spans="1:2" s="8" customFormat="1" ht="13.5" outlineLevel="1" x14ac:dyDescent="0.2">
      <c r="A32" s="6" t="s">
        <v>25</v>
      </c>
      <c r="B32" s="7">
        <v>18743806542</v>
      </c>
    </row>
    <row r="33" spans="1:2" s="8" customFormat="1" ht="13.5" outlineLevel="1" x14ac:dyDescent="0.2">
      <c r="A33" s="6" t="s">
        <v>26</v>
      </c>
      <c r="B33" s="7">
        <v>12488203547</v>
      </c>
    </row>
    <row r="34" spans="1:2" s="8" customFormat="1" ht="13.5" outlineLevel="1" x14ac:dyDescent="0.2">
      <c r="A34" s="6" t="s">
        <v>27</v>
      </c>
      <c r="B34" s="7">
        <v>12337277639</v>
      </c>
    </row>
    <row r="35" spans="1:2" s="8" customFormat="1" ht="13.5" outlineLevel="1" x14ac:dyDescent="0.2">
      <c r="A35" s="6" t="s">
        <v>28</v>
      </c>
      <c r="B35" s="7">
        <v>16198497482.999998</v>
      </c>
    </row>
    <row r="36" spans="1:2" s="8" customFormat="1" ht="13.5" outlineLevel="1" x14ac:dyDescent="0.2">
      <c r="A36" s="6" t="s">
        <v>29</v>
      </c>
      <c r="B36" s="7">
        <v>17764576319</v>
      </c>
    </row>
    <row r="37" spans="1:2" s="8" customFormat="1" ht="13.5" outlineLevel="1" x14ac:dyDescent="0.2">
      <c r="A37" s="6" t="s">
        <v>30</v>
      </c>
      <c r="B37" s="7">
        <v>22882731815</v>
      </c>
    </row>
    <row r="38" spans="1:2" s="8" customFormat="1" ht="13.5" outlineLevel="1" x14ac:dyDescent="0.2">
      <c r="A38" s="6" t="s">
        <v>31</v>
      </c>
      <c r="B38" s="7">
        <v>7383905477</v>
      </c>
    </row>
    <row r="39" spans="1:2" s="8" customFormat="1" ht="13.5" outlineLevel="1" x14ac:dyDescent="0.2">
      <c r="A39" s="6" t="s">
        <v>32</v>
      </c>
      <c r="B39" s="7">
        <v>12423743774</v>
      </c>
    </row>
    <row r="40" spans="1:2" s="8" customFormat="1" ht="13.5" outlineLevel="1" x14ac:dyDescent="0.2">
      <c r="A40" s="6" t="s">
        <v>33</v>
      </c>
      <c r="B40" s="7">
        <v>14187262851</v>
      </c>
    </row>
    <row r="41" spans="1:2" s="8" customFormat="1" ht="13.5" outlineLevel="1" x14ac:dyDescent="0.2">
      <c r="A41" s="6" t="s">
        <v>34</v>
      </c>
      <c r="B41" s="7">
        <v>9099377756</v>
      </c>
    </row>
    <row r="42" spans="1:2" s="8" customFormat="1" ht="13.5" outlineLevel="1" x14ac:dyDescent="0.2">
      <c r="A42" s="6" t="s">
        <v>35</v>
      </c>
      <c r="B42" s="7">
        <v>7416098511</v>
      </c>
    </row>
    <row r="43" spans="1:2" s="8" customFormat="1" ht="13.5" outlineLevel="1" x14ac:dyDescent="0.2">
      <c r="A43" s="6" t="s">
        <v>36</v>
      </c>
      <c r="B43" s="7">
        <v>16654736652</v>
      </c>
    </row>
    <row r="44" spans="1:2" s="8" customFormat="1" ht="13.5" outlineLevel="1" x14ac:dyDescent="0.2">
      <c r="A44" s="6" t="s">
        <v>37</v>
      </c>
      <c r="B44" s="7">
        <v>12006016561</v>
      </c>
    </row>
    <row r="45" spans="1:2" s="8" customFormat="1" ht="13.5" outlineLevel="1" x14ac:dyDescent="0.2">
      <c r="A45" s="6" t="s">
        <v>38</v>
      </c>
      <c r="B45" s="7">
        <v>14602426835</v>
      </c>
    </row>
    <row r="46" spans="1:2" s="8" customFormat="1" ht="13.5" outlineLevel="1" x14ac:dyDescent="0.2">
      <c r="A46" s="6" t="s">
        <v>39</v>
      </c>
      <c r="B46" s="7">
        <v>16600395825</v>
      </c>
    </row>
    <row r="47" spans="1:2" s="8" customFormat="1" ht="13.5" outlineLevel="1" x14ac:dyDescent="0.2">
      <c r="A47" s="6" t="s">
        <v>40</v>
      </c>
      <c r="B47" s="7">
        <v>9490692823</v>
      </c>
    </row>
    <row r="48" spans="1:2" s="8" customFormat="1" ht="13.5" outlineLevel="1" x14ac:dyDescent="0.2">
      <c r="A48" s="6" t="s">
        <v>41</v>
      </c>
      <c r="B48" s="7">
        <v>14966356774</v>
      </c>
    </row>
    <row r="49" spans="1:2" s="8" customFormat="1" ht="13.5" outlineLevel="1" x14ac:dyDescent="0.2">
      <c r="A49" s="6" t="s">
        <v>42</v>
      </c>
      <c r="B49" s="7">
        <v>16628059484</v>
      </c>
    </row>
    <row r="50" spans="1:2" s="8" customFormat="1" ht="13.5" outlineLevel="1" x14ac:dyDescent="0.2">
      <c r="A50" s="6" t="s">
        <v>43</v>
      </c>
      <c r="B50" s="7">
        <v>11545020876</v>
      </c>
    </row>
    <row r="51" spans="1:2" s="8" customFormat="1" ht="13.5" outlineLevel="1" x14ac:dyDescent="0.2">
      <c r="A51" s="6" t="s">
        <v>44</v>
      </c>
      <c r="B51" s="7">
        <v>11069859631</v>
      </c>
    </row>
    <row r="52" spans="1:2" s="8" customFormat="1" ht="13.5" outlineLevel="1" x14ac:dyDescent="0.2">
      <c r="A52" s="6" t="s">
        <v>45</v>
      </c>
      <c r="B52" s="7">
        <v>16462254401</v>
      </c>
    </row>
    <row r="53" spans="1:2" s="8" customFormat="1" ht="13.5" outlineLevel="1" x14ac:dyDescent="0.2">
      <c r="A53" s="6" t="s">
        <v>46</v>
      </c>
      <c r="B53" s="7">
        <v>29122451003</v>
      </c>
    </row>
    <row r="54" spans="1:2" s="8" customFormat="1" ht="13.5" outlineLevel="1" x14ac:dyDescent="0.2">
      <c r="A54" s="6" t="s">
        <v>47</v>
      </c>
      <c r="B54" s="7">
        <v>19110837484</v>
      </c>
    </row>
    <row r="55" spans="1:2" s="8" customFormat="1" ht="13.5" outlineLevel="1" x14ac:dyDescent="0.2">
      <c r="A55" s="6" t="s">
        <v>48</v>
      </c>
      <c r="B55" s="7">
        <v>14355039068</v>
      </c>
    </row>
    <row r="56" spans="1:2" s="8" customFormat="1" ht="13.5" outlineLevel="1" x14ac:dyDescent="0.2">
      <c r="A56" s="6" t="s">
        <v>49</v>
      </c>
      <c r="B56" s="7">
        <v>10742553232</v>
      </c>
    </row>
    <row r="57" spans="1:2" s="8" customFormat="1" ht="13.5" outlineLevel="1" x14ac:dyDescent="0.2">
      <c r="A57" s="6" t="s">
        <v>50</v>
      </c>
      <c r="B57" s="7">
        <v>12944688820</v>
      </c>
    </row>
    <row r="58" spans="1:2" s="8" customFormat="1" ht="13.5" outlineLevel="1" x14ac:dyDescent="0.2">
      <c r="A58" s="6" t="s">
        <v>51</v>
      </c>
      <c r="B58" s="7">
        <v>11689433662</v>
      </c>
    </row>
    <row r="59" spans="1:2" s="8" customFormat="1" ht="13.5" outlineLevel="1" x14ac:dyDescent="0.2">
      <c r="A59" s="6" t="s">
        <v>52</v>
      </c>
      <c r="B59" s="7">
        <v>11397659254</v>
      </c>
    </row>
    <row r="60" spans="1:2" s="8" customFormat="1" ht="13.5" outlineLevel="1" x14ac:dyDescent="0.2">
      <c r="A60" s="6" t="s">
        <v>53</v>
      </c>
      <c r="B60" s="7">
        <v>16236395384</v>
      </c>
    </row>
    <row r="61" spans="1:2" s="8" customFormat="1" ht="13.5" outlineLevel="1" x14ac:dyDescent="0.2">
      <c r="A61" s="6" t="s">
        <v>54</v>
      </c>
      <c r="B61" s="7">
        <v>6151462908.9075203</v>
      </c>
    </row>
    <row r="62" spans="1:2" s="8" customFormat="1" ht="13.5" outlineLevel="1" x14ac:dyDescent="0.2">
      <c r="A62" s="6" t="s">
        <v>55</v>
      </c>
      <c r="B62" s="7">
        <v>24188206629</v>
      </c>
    </row>
    <row r="63" spans="1:2" s="8" customFormat="1" ht="13.5" outlineLevel="1" x14ac:dyDescent="0.2">
      <c r="A63" s="6" t="s">
        <v>56</v>
      </c>
      <c r="B63" s="7">
        <v>22229863427</v>
      </c>
    </row>
    <row r="64" spans="1:2" s="8" customFormat="1" ht="13.5" outlineLevel="1" x14ac:dyDescent="0.2">
      <c r="A64" s="6" t="s">
        <v>57</v>
      </c>
      <c r="B64" s="7">
        <v>23200278421</v>
      </c>
    </row>
    <row r="65" spans="1:2" s="8" customFormat="1" ht="13.5" outlineLevel="1" x14ac:dyDescent="0.2">
      <c r="A65" s="6" t="s">
        <v>58</v>
      </c>
      <c r="B65" s="7">
        <v>33729146012</v>
      </c>
    </row>
    <row r="66" spans="1:2" s="8" customFormat="1" ht="13.5" outlineLevel="1" x14ac:dyDescent="0.2">
      <c r="A66" s="6" t="s">
        <v>59</v>
      </c>
      <c r="B66" s="7">
        <v>25741331764</v>
      </c>
    </row>
    <row r="67" spans="1:2" s="8" customFormat="1" ht="13.5" outlineLevel="1" x14ac:dyDescent="0.2">
      <c r="A67" s="6" t="s">
        <v>60</v>
      </c>
      <c r="B67" s="7">
        <v>10895316694.06304</v>
      </c>
    </row>
    <row r="68" spans="1:2" s="8" customFormat="1" ht="13.5" outlineLevel="1" x14ac:dyDescent="0.2">
      <c r="A68" s="6" t="s">
        <v>61</v>
      </c>
      <c r="B68" s="7">
        <v>15574902572</v>
      </c>
    </row>
    <row r="69" spans="1:2" s="5" customFormat="1" ht="13.5" outlineLevel="1" x14ac:dyDescent="0.2">
      <c r="A69" s="6" t="s">
        <v>62</v>
      </c>
      <c r="B69" s="7">
        <v>11085498362</v>
      </c>
    </row>
    <row r="70" spans="1:2" s="8" customFormat="1" ht="13.5" outlineLevel="1" x14ac:dyDescent="0.2">
      <c r="A70" s="6" t="s">
        <v>63</v>
      </c>
      <c r="B70" s="7">
        <v>15569378930</v>
      </c>
    </row>
    <row r="71" spans="1:2" s="8" customFormat="1" ht="13.5" outlineLevel="1" x14ac:dyDescent="0.2">
      <c r="A71" s="6" t="s">
        <v>64</v>
      </c>
      <c r="B71" s="7">
        <v>19872456988.21376</v>
      </c>
    </row>
    <row r="72" spans="1:2" s="8" customFormat="1" ht="13.5" outlineLevel="1" x14ac:dyDescent="0.2">
      <c r="A72" s="6" t="s">
        <v>65</v>
      </c>
      <c r="B72" s="7">
        <v>9279916346</v>
      </c>
    </row>
    <row r="73" spans="1:2" s="8" customFormat="1" ht="13.5" outlineLevel="1" x14ac:dyDescent="0.2">
      <c r="A73" s="6" t="s">
        <v>66</v>
      </c>
      <c r="B73" s="7">
        <v>11879598172</v>
      </c>
    </row>
    <row r="74" spans="1:2" s="8" customFormat="1" ht="13.5" outlineLevel="1" x14ac:dyDescent="0.2">
      <c r="A74" s="6" t="s">
        <v>67</v>
      </c>
      <c r="B74" s="7">
        <v>14944234555</v>
      </c>
    </row>
    <row r="75" spans="1:2" s="8" customFormat="1" ht="13.5" outlineLevel="1" x14ac:dyDescent="0.2">
      <c r="A75" s="6" t="s">
        <v>68</v>
      </c>
      <c r="B75" s="7">
        <v>8486287813</v>
      </c>
    </row>
    <row r="76" spans="1:2" s="8" customFormat="1" ht="13.5" outlineLevel="1" x14ac:dyDescent="0.2">
      <c r="A76" s="6" t="s">
        <v>69</v>
      </c>
      <c r="B76" s="7">
        <v>7048832262</v>
      </c>
    </row>
    <row r="77" spans="1:2" s="8" customFormat="1" ht="13.5" outlineLevel="1" x14ac:dyDescent="0.2">
      <c r="A77" s="6" t="s">
        <v>70</v>
      </c>
      <c r="B77" s="7">
        <v>5348779190</v>
      </c>
    </row>
    <row r="78" spans="1:2" s="8" customFormat="1" ht="13.5" outlineLevel="1" x14ac:dyDescent="0.2">
      <c r="A78" s="6" t="s">
        <v>71</v>
      </c>
      <c r="B78" s="7">
        <v>5466387046</v>
      </c>
    </row>
    <row r="79" spans="1:2" s="8" customFormat="1" ht="13.5" outlineLevel="1" x14ac:dyDescent="0.2">
      <c r="A79" s="6" t="s">
        <v>72</v>
      </c>
      <c r="B79" s="7">
        <v>16518448889</v>
      </c>
    </row>
    <row r="80" spans="1:2" s="8" customFormat="1" ht="13.5" outlineLevel="1" x14ac:dyDescent="0.2">
      <c r="A80" s="6" t="s">
        <v>73</v>
      </c>
      <c r="B80" s="7">
        <v>8675202615</v>
      </c>
    </row>
    <row r="81" spans="1:2" s="8" customFormat="1" ht="13.5" outlineLevel="1" x14ac:dyDescent="0.2">
      <c r="A81" s="6" t="s">
        <v>74</v>
      </c>
      <c r="B81" s="7">
        <v>16760013498</v>
      </c>
    </row>
    <row r="82" spans="1:2" s="8" customFormat="1" ht="13.5" outlineLevel="1" x14ac:dyDescent="0.2">
      <c r="A82" s="6" t="s">
        <v>75</v>
      </c>
      <c r="B82" s="7">
        <v>12438755743</v>
      </c>
    </row>
    <row r="83" spans="1:2" s="8" customFormat="1" ht="13.5" outlineLevel="1" x14ac:dyDescent="0.2">
      <c r="A83" s="6" t="s">
        <v>76</v>
      </c>
      <c r="B83" s="7">
        <v>14593425402</v>
      </c>
    </row>
    <row r="84" spans="1:2" s="8" customFormat="1" ht="13.5" outlineLevel="1" x14ac:dyDescent="0.2">
      <c r="A84" s="6" t="s">
        <v>77</v>
      </c>
      <c r="B84" s="7">
        <v>6689468251</v>
      </c>
    </row>
    <row r="85" spans="1:2" s="8" customFormat="1" ht="13.5" outlineLevel="1" x14ac:dyDescent="0.2">
      <c r="A85" s="6" t="s">
        <v>78</v>
      </c>
      <c r="B85" s="7">
        <v>8186369892</v>
      </c>
    </row>
    <row r="86" spans="1:2" s="8" customFormat="1" ht="13.5" outlineLevel="1" x14ac:dyDescent="0.2">
      <c r="A86" s="6" t="s">
        <v>79</v>
      </c>
      <c r="B86" s="7">
        <v>28561249598</v>
      </c>
    </row>
    <row r="87" spans="1:2" s="8" customFormat="1" ht="13.5" outlineLevel="1" x14ac:dyDescent="0.2">
      <c r="A87" s="6" t="s">
        <v>80</v>
      </c>
      <c r="B87" s="7">
        <v>34980509996</v>
      </c>
    </row>
    <row r="88" spans="1:2" s="8" customFormat="1" ht="13.5" outlineLevel="1" x14ac:dyDescent="0.2">
      <c r="A88" s="6" t="s">
        <v>81</v>
      </c>
      <c r="B88" s="7">
        <v>6950846586</v>
      </c>
    </row>
    <row r="89" spans="1:2" s="8" customFormat="1" ht="13.5" outlineLevel="1" x14ac:dyDescent="0.2">
      <c r="A89" s="6" t="s">
        <v>82</v>
      </c>
      <c r="B89" s="7">
        <v>11116163961</v>
      </c>
    </row>
    <row r="90" spans="1:2" s="8" customFormat="1" ht="13.5" outlineLevel="1" x14ac:dyDescent="0.2">
      <c r="A90" s="6" t="s">
        <v>83</v>
      </c>
      <c r="B90" s="7">
        <v>21274070645</v>
      </c>
    </row>
    <row r="91" spans="1:2" s="8" customFormat="1" ht="13.5" outlineLevel="1" x14ac:dyDescent="0.2">
      <c r="A91" s="6" t="s">
        <v>84</v>
      </c>
      <c r="B91" s="7">
        <v>2826770201</v>
      </c>
    </row>
    <row r="92" spans="1:2" s="8" customFormat="1" ht="13.5" outlineLevel="1" x14ac:dyDescent="0.2">
      <c r="A92" s="6" t="s">
        <v>85</v>
      </c>
      <c r="B92" s="7">
        <v>4775546619</v>
      </c>
    </row>
    <row r="93" spans="1:2" s="8" customFormat="1" ht="13.5" outlineLevel="1" x14ac:dyDescent="0.2">
      <c r="A93" s="6" t="s">
        <v>86</v>
      </c>
      <c r="B93" s="7">
        <v>23755514236</v>
      </c>
    </row>
    <row r="94" spans="1:2" s="8" customFormat="1" ht="13.5" outlineLevel="1" x14ac:dyDescent="0.2">
      <c r="A94" s="6" t="s">
        <v>87</v>
      </c>
      <c r="B94" s="7">
        <v>22463613073</v>
      </c>
    </row>
    <row r="95" spans="1:2" s="8" customFormat="1" ht="13.5" outlineLevel="1" x14ac:dyDescent="0.2">
      <c r="A95" s="6" t="s">
        <v>88</v>
      </c>
      <c r="B95" s="7">
        <v>20949816946</v>
      </c>
    </row>
    <row r="96" spans="1:2" s="8" customFormat="1" ht="13.5" outlineLevel="1" x14ac:dyDescent="0.2">
      <c r="A96" s="6" t="s">
        <v>89</v>
      </c>
      <c r="B96" s="7">
        <v>14104036918</v>
      </c>
    </row>
    <row r="97" spans="1:2" s="8" customFormat="1" ht="13.5" outlineLevel="1" x14ac:dyDescent="0.2">
      <c r="A97" s="6" t="s">
        <v>90</v>
      </c>
      <c r="B97" s="7">
        <v>1396272140.5940592</v>
      </c>
    </row>
    <row r="98" spans="1:2" s="8" customFormat="1" ht="13.5" outlineLevel="1" x14ac:dyDescent="0.2">
      <c r="A98" s="6" t="s">
        <v>91</v>
      </c>
      <c r="B98" s="7">
        <v>1211346171.2871287</v>
      </c>
    </row>
    <row r="99" spans="1:2" s="8" customFormat="1" ht="13.5" outlineLevel="1" x14ac:dyDescent="0.2">
      <c r="A99" s="6" t="s">
        <v>92</v>
      </c>
      <c r="B99" s="7">
        <v>1239693623.7623763</v>
      </c>
    </row>
    <row r="100" spans="1:2" s="8" customFormat="1" ht="13.5" outlineLevel="1" x14ac:dyDescent="0.2">
      <c r="A100" s="6" t="s">
        <v>93</v>
      </c>
      <c r="B100" s="7">
        <v>1625508018.1759996</v>
      </c>
    </row>
    <row r="101" spans="1:2" s="5" customFormat="1" ht="13.5" outlineLevel="1" x14ac:dyDescent="0.2">
      <c r="A101" s="6"/>
      <c r="B101" s="9">
        <f>SUM(B4:B100)</f>
        <v>1276966895152.1125</v>
      </c>
    </row>
    <row r="103" spans="1:2" x14ac:dyDescent="0.2">
      <c r="B103" s="10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20</vt:i4>
      </vt:variant>
    </vt:vector>
  </HeadingPairs>
  <TitlesOfParts>
    <vt:vector size="30" baseType="lpstr"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'Capacidad Residual'!Área_de_impresión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Edwin Anibal Tarazona Jaimes</cp:lastModifiedBy>
  <cp:lastPrinted>2022-07-18T22:54:50Z</cp:lastPrinted>
  <dcterms:created xsi:type="dcterms:W3CDTF">2005-03-19T14:11:58Z</dcterms:created>
  <dcterms:modified xsi:type="dcterms:W3CDTF">2023-07-31T21:35:50Z</dcterms:modified>
</cp:coreProperties>
</file>