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GOBERNACION DE SUCRE 2023\SEC RECURSOS FISICOS\AS - SEM LOGISTICA\MODELO FINANCIERO\"/>
    </mc:Choice>
  </mc:AlternateContent>
  <bookViews>
    <workbookView xWindow="0" yWindow="465" windowWidth="25605" windowHeight="14460" activeTab="1"/>
  </bookViews>
  <sheets>
    <sheet name="Promedio_Servicios_Publicos" sheetId="1" r:id="rId1"/>
    <sheet name="Detalle_Aportes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7" i="1"/>
  <c r="D18" i="1"/>
  <c r="D15" i="1"/>
  <c r="D14" i="1"/>
  <c r="I13" i="3"/>
  <c r="E12" i="3"/>
  <c r="I14" i="3" l="1"/>
  <c r="I15" i="3" s="1"/>
  <c r="I16" i="3" s="1"/>
  <c r="I17" i="3" s="1"/>
  <c r="H18" i="3"/>
  <c r="H14" i="3"/>
  <c r="H15" i="3"/>
  <c r="H16" i="3"/>
  <c r="H17" i="3"/>
  <c r="H13" i="3"/>
  <c r="E15" i="3"/>
  <c r="E24" i="3" l="1"/>
  <c r="E18" i="1"/>
  <c r="F18" i="1" s="1"/>
  <c r="G18" i="1" s="1"/>
  <c r="E17" i="1"/>
  <c r="F17" i="1" s="1"/>
  <c r="G17" i="1" s="1"/>
  <c r="E16" i="1"/>
  <c r="F16" i="1" s="1"/>
  <c r="G16" i="1" s="1"/>
  <c r="E15" i="1"/>
  <c r="F15" i="1" s="1"/>
  <c r="G15" i="1" s="1"/>
  <c r="E14" i="1"/>
  <c r="F14" i="1" s="1"/>
  <c r="D7" i="3"/>
  <c r="E6" i="3"/>
  <c r="E5" i="3"/>
  <c r="F19" i="1" l="1"/>
  <c r="G14" i="1"/>
  <c r="G19" i="1" s="1"/>
  <c r="E19" i="1"/>
  <c r="T6" i="1" l="1"/>
  <c r="U6" i="1" s="1"/>
  <c r="T8" i="1"/>
  <c r="U8" i="1" s="1"/>
  <c r="T9" i="1"/>
  <c r="U9" i="1" s="1"/>
  <c r="O7" i="1"/>
  <c r="P7" i="1"/>
  <c r="D5" i="1"/>
  <c r="T5" i="1" s="1"/>
  <c r="U5" i="1" s="1"/>
  <c r="C7" i="1"/>
  <c r="C10" i="1" s="1"/>
  <c r="D7" i="1"/>
  <c r="E7" i="1"/>
  <c r="E10" i="1" s="1"/>
  <c r="F7" i="1"/>
  <c r="G7" i="1"/>
  <c r="G10" i="1" s="1"/>
  <c r="H7" i="1"/>
  <c r="I7" i="1"/>
  <c r="I10" i="1" s="1"/>
  <c r="J7" i="1"/>
  <c r="J10" i="1" s="1"/>
  <c r="K7" i="1"/>
  <c r="K10" i="1" s="1"/>
  <c r="L7" i="1"/>
  <c r="M7" i="1"/>
  <c r="N7" i="1"/>
  <c r="Q5" i="1"/>
  <c r="Q10" i="1" s="1"/>
  <c r="R6" i="1"/>
  <c r="P10" i="1"/>
  <c r="O10" i="1"/>
  <c r="L10" i="1"/>
  <c r="H10" i="1"/>
  <c r="F10" i="1"/>
  <c r="R9" i="1"/>
  <c r="R8" i="1"/>
  <c r="V8" i="1" l="1"/>
  <c r="J16" i="3"/>
  <c r="V9" i="1"/>
  <c r="J17" i="3"/>
  <c r="V5" i="1"/>
  <c r="K13" i="3" s="1"/>
  <c r="J13" i="3"/>
  <c r="V6" i="1"/>
  <c r="J14" i="3"/>
  <c r="R5" i="1"/>
  <c r="T7" i="1"/>
  <c r="U7" i="1" s="1"/>
  <c r="U10" i="1" s="1"/>
  <c r="D10" i="1"/>
  <c r="T10" i="1"/>
  <c r="M10" i="1"/>
  <c r="R7" i="1"/>
  <c r="R10" i="1" s="1"/>
  <c r="N10" i="1"/>
  <c r="W5" i="1" l="1"/>
  <c r="L13" i="3" s="1"/>
  <c r="W9" i="1"/>
  <c r="L17" i="3" s="1"/>
  <c r="K17" i="3"/>
  <c r="W6" i="1"/>
  <c r="L14" i="3" s="1"/>
  <c r="K14" i="3"/>
  <c r="V7" i="1"/>
  <c r="V10" i="1" s="1"/>
  <c r="J15" i="3"/>
  <c r="J18" i="3"/>
  <c r="W8" i="1"/>
  <c r="L16" i="3" s="1"/>
  <c r="K16" i="3"/>
  <c r="W7" i="1" l="1"/>
  <c r="L15" i="3" s="1"/>
  <c r="L18" i="3" s="1"/>
  <c r="K15" i="3"/>
  <c r="K18" i="3" s="1"/>
  <c r="W10" i="1" l="1"/>
</calcChain>
</file>

<file path=xl/sharedStrings.xml><?xml version="1.0" encoding="utf-8"?>
<sst xmlns="http://schemas.openxmlformats.org/spreadsheetml/2006/main" count="80" uniqueCount="51">
  <si>
    <t>Servicio - Energia</t>
  </si>
  <si>
    <t>Servicio - Agua</t>
  </si>
  <si>
    <t>Servicio - Internet</t>
  </si>
  <si>
    <t>Servicio - Vigilancia</t>
  </si>
  <si>
    <t>Servicio de Aseo</t>
  </si>
  <si>
    <t>FEB</t>
  </si>
  <si>
    <t>ENE</t>
  </si>
  <si>
    <t>DIC</t>
  </si>
  <si>
    <t>NOV</t>
  </si>
  <si>
    <t>OCT</t>
  </si>
  <si>
    <t>SEP</t>
  </si>
  <si>
    <t>AGO</t>
  </si>
  <si>
    <t>JUL</t>
  </si>
  <si>
    <t>JUN</t>
  </si>
  <si>
    <t>MAY</t>
  </si>
  <si>
    <t>ABR</t>
  </si>
  <si>
    <t>MAR</t>
  </si>
  <si>
    <t>TIPO SERVICIO</t>
  </si>
  <si>
    <t>TOTAL X SERVICIO</t>
  </si>
  <si>
    <t>TOTAL X MES</t>
  </si>
  <si>
    <t>Promedio</t>
  </si>
  <si>
    <t>SOCIOS</t>
  </si>
  <si>
    <t>% Participacion</t>
  </si>
  <si>
    <t>VALOR</t>
  </si>
  <si>
    <t>DEPARTAMENTO DE SUCRE</t>
  </si>
  <si>
    <t>TOTAL CAPITAL</t>
  </si>
  <si>
    <t>SOCIO ESTRATEGICO</t>
  </si>
  <si>
    <t>Aportes en Efectivo</t>
  </si>
  <si>
    <t>Utiles de Oficina</t>
  </si>
  <si>
    <t>Valor por mes</t>
  </si>
  <si>
    <t>Promedio Anual</t>
  </si>
  <si>
    <t>Proyeccion Final Estimada</t>
  </si>
  <si>
    <t>Valor Anual</t>
  </si>
  <si>
    <t>Valor Proeyctado</t>
  </si>
  <si>
    <t>TOTALES</t>
  </si>
  <si>
    <t>Adecuaciones Area Administrativa</t>
  </si>
  <si>
    <t>Muebles y Enseres de Oficina</t>
  </si>
  <si>
    <t>Equipos de Computo y Perifericos</t>
  </si>
  <si>
    <t>Equipos de Video Camara y Seguridad</t>
  </si>
  <si>
    <t>Equipos de Refrigeracion</t>
  </si>
  <si>
    <t>TIPO APORTE</t>
  </si>
  <si>
    <t>EFECTIVO</t>
  </si>
  <si>
    <t>DESCRIPCION DEL APORTE</t>
  </si>
  <si>
    <t>Valor</t>
  </si>
  <si>
    <t>ESPECIE</t>
  </si>
  <si>
    <t>% Partic.</t>
  </si>
  <si>
    <t>DETALLE APORTE - SOCIO ESTRATEGICO</t>
  </si>
  <si>
    <t>DETALLE APORTE - DEPARTAMENTO DE SUCRE</t>
  </si>
  <si>
    <t>SOCIO EXTRATEGICO PRIVADO</t>
  </si>
  <si>
    <t>Camión tipo furgon modelo hasta 2020, con capacidad de carga de 4 toneladas</t>
  </si>
  <si>
    <t>Equipos de logistica integral para eventos y  camioneta doble cabina modelo hasta 2020, con aire acondicionado y capacidad de 5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</si>
</sst>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* #,##0.00_-;\-* #,##0.00_-;_-* &quot;-&quot;_-;_-@_-"/>
    <numFmt numFmtId="166" formatCode="0.0000%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3FE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1" xfId="0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1" fontId="0" fillId="0" borderId="0" xfId="0" applyNumberFormat="1"/>
    <xf numFmtId="41" fontId="0" fillId="0" borderId="0" xfId="1" applyFont="1" applyBorder="1"/>
    <xf numFmtId="41" fontId="0" fillId="0" borderId="1" xfId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1" fontId="2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2" applyFont="1" applyAlignment="1">
      <alignment horizontal="center" vertical="center" wrapText="1"/>
    </xf>
    <xf numFmtId="41" fontId="0" fillId="0" borderId="0" xfId="1" applyFont="1" applyAlignment="1">
      <alignment vertical="center" wrapText="1"/>
    </xf>
    <xf numFmtId="41" fontId="0" fillId="0" borderId="0" xfId="1" applyFont="1"/>
    <xf numFmtId="0" fontId="5" fillId="6" borderId="1" xfId="0" applyFont="1" applyFill="1" applyBorder="1" applyAlignment="1">
      <alignment horizontal="center" vertical="center" wrapText="1"/>
    </xf>
    <xf numFmtId="9" fontId="5" fillId="6" borderId="1" xfId="2" applyFont="1" applyFill="1" applyBorder="1" applyAlignment="1">
      <alignment horizontal="center" vertical="center" wrapText="1"/>
    </xf>
    <xf numFmtId="41" fontId="5" fillId="6" borderId="1" xfId="1" applyFont="1" applyFill="1" applyBorder="1" applyAlignment="1">
      <alignment horizontal="center" vertical="center" wrapText="1"/>
    </xf>
    <xf numFmtId="9" fontId="0" fillId="0" borderId="1" xfId="2" applyFont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10" fontId="0" fillId="0" borderId="0" xfId="2" applyNumberFormat="1" applyFont="1" applyAlignment="1">
      <alignment horizontal="center" vertical="center"/>
    </xf>
    <xf numFmtId="10" fontId="0" fillId="0" borderId="0" xfId="2" applyNumberFormat="1" applyFont="1"/>
    <xf numFmtId="9" fontId="0" fillId="0" borderId="0" xfId="0" applyNumberFormat="1"/>
    <xf numFmtId="43" fontId="0" fillId="0" borderId="0" xfId="0" applyNumberFormat="1" applyAlignment="1">
      <alignment horizontal="center" vertical="center"/>
    </xf>
    <xf numFmtId="41" fontId="0" fillId="7" borderId="2" xfId="0" applyNumberFormat="1" applyFill="1" applyBorder="1" applyAlignment="1">
      <alignment vertical="center"/>
    </xf>
    <xf numFmtId="41" fontId="2" fillId="5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0" fillId="0" borderId="1" xfId="0" applyNumberFormat="1" applyBorder="1"/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165" fontId="2" fillId="5" borderId="2" xfId="1" applyNumberFormat="1" applyFont="1" applyFill="1" applyBorder="1" applyAlignment="1">
      <alignment horizontal="center" vertical="center"/>
    </xf>
    <xf numFmtId="41" fontId="6" fillId="0" borderId="0" xfId="1" applyFont="1" applyAlignment="1">
      <alignment vertical="center" wrapText="1"/>
    </xf>
    <xf numFmtId="0" fontId="0" fillId="0" borderId="1" xfId="0" applyBorder="1" applyAlignment="1">
      <alignment horizontal="left" vertical="center" wrapText="1" indent="1"/>
    </xf>
    <xf numFmtId="0" fontId="0" fillId="0" borderId="3" xfId="0" applyBorder="1"/>
    <xf numFmtId="9" fontId="0" fillId="0" borderId="0" xfId="2" applyFont="1" applyBorder="1" applyAlignment="1">
      <alignment horizontal="center" vertical="center" wrapText="1"/>
    </xf>
    <xf numFmtId="41" fontId="6" fillId="0" borderId="4" xfId="1" applyFont="1" applyBorder="1" applyAlignment="1">
      <alignment vertical="center" wrapText="1"/>
    </xf>
    <xf numFmtId="0" fontId="0" fillId="0" borderId="5" xfId="0" applyBorder="1" applyAlignment="1">
      <alignment vertical="center"/>
    </xf>
    <xf numFmtId="41" fontId="0" fillId="0" borderId="4" xfId="1" applyFont="1" applyBorder="1" applyAlignment="1">
      <alignment vertical="center" wrapText="1"/>
    </xf>
    <xf numFmtId="0" fontId="2" fillId="9" borderId="7" xfId="0" applyFont="1" applyFill="1" applyBorder="1"/>
    <xf numFmtId="0" fontId="2" fillId="9" borderId="8" xfId="0" applyFont="1" applyFill="1" applyBorder="1" applyAlignment="1">
      <alignment vertical="center" wrapText="1"/>
    </xf>
    <xf numFmtId="9" fontId="2" fillId="9" borderId="8" xfId="2" applyFont="1" applyFill="1" applyBorder="1" applyAlignment="1">
      <alignment horizontal="center" vertical="center" wrapText="1"/>
    </xf>
    <xf numFmtId="0" fontId="0" fillId="10" borderId="1" xfId="0" applyFill="1" applyBorder="1" applyAlignment="1">
      <alignment vertical="center" wrapText="1"/>
    </xf>
    <xf numFmtId="9" fontId="0" fillId="10" borderId="1" xfId="2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5" borderId="13" xfId="0" applyFont="1" applyFill="1" applyBorder="1" applyAlignment="1">
      <alignment vertical="center" wrapText="1"/>
    </xf>
    <xf numFmtId="165" fontId="2" fillId="5" borderId="14" xfId="1" applyNumberFormat="1" applyFont="1" applyFill="1" applyBorder="1" applyAlignment="1">
      <alignment horizontal="center" vertical="center"/>
    </xf>
    <xf numFmtId="44" fontId="0" fillId="0" borderId="1" xfId="3" applyFont="1" applyBorder="1" applyAlignment="1">
      <alignment vertical="center" wrapText="1"/>
    </xf>
    <xf numFmtId="44" fontId="5" fillId="6" borderId="1" xfId="3" applyFont="1" applyFill="1" applyBorder="1" applyAlignment="1">
      <alignment vertical="center" wrapText="1"/>
    </xf>
    <xf numFmtId="44" fontId="0" fillId="10" borderId="6" xfId="3" applyFont="1" applyFill="1" applyBorder="1" applyAlignment="1">
      <alignment vertical="center" wrapText="1"/>
    </xf>
    <xf numFmtId="44" fontId="2" fillId="9" borderId="9" xfId="3" applyFont="1" applyFill="1" applyBorder="1" applyAlignment="1">
      <alignment vertical="center" wrapText="1"/>
    </xf>
    <xf numFmtId="44" fontId="0" fillId="7" borderId="2" xfId="3" applyFont="1" applyFill="1" applyBorder="1" applyAlignment="1">
      <alignment vertical="center"/>
    </xf>
    <xf numFmtId="44" fontId="0" fillId="0" borderId="1" xfId="3" applyFont="1" applyBorder="1"/>
    <xf numFmtId="44" fontId="0" fillId="0" borderId="6" xfId="3" applyFont="1" applyBorder="1"/>
    <xf numFmtId="44" fontId="2" fillId="5" borderId="15" xfId="3" applyFont="1" applyFill="1" applyBorder="1" applyAlignment="1">
      <alignment horizontal="center" vertical="center"/>
    </xf>
    <xf numFmtId="44" fontId="2" fillId="5" borderId="14" xfId="3" applyFont="1" applyFill="1" applyBorder="1" applyAlignment="1">
      <alignment horizontal="center" vertical="center"/>
    </xf>
    <xf numFmtId="44" fontId="0" fillId="0" borderId="1" xfId="3" applyFont="1" applyBorder="1" applyAlignment="1">
      <alignment horizontal="center" vertical="center"/>
    </xf>
    <xf numFmtId="44" fontId="0" fillId="4" borderId="1" xfId="3" applyFont="1" applyFill="1" applyBorder="1" applyAlignment="1">
      <alignment vertical="center" wrapText="1"/>
    </xf>
    <xf numFmtId="44" fontId="0" fillId="0" borderId="0" xfId="3" applyFont="1" applyAlignment="1">
      <alignment vertical="center"/>
    </xf>
    <xf numFmtId="44" fontId="2" fillId="5" borderId="1" xfId="3" applyFont="1" applyFill="1" applyBorder="1" applyAlignment="1">
      <alignment horizontal="center" vertical="center"/>
    </xf>
    <xf numFmtId="44" fontId="2" fillId="4" borderId="1" xfId="3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/>
    </xf>
    <xf numFmtId="44" fontId="0" fillId="0" borderId="1" xfId="3" applyFont="1" applyBorder="1" applyAlignment="1">
      <alignment vertical="center"/>
    </xf>
    <xf numFmtId="44" fontId="2" fillId="5" borderId="2" xfId="3" applyFont="1" applyFill="1" applyBorder="1" applyAlignment="1">
      <alignment horizontal="center" vertical="center"/>
    </xf>
    <xf numFmtId="44" fontId="1" fillId="0" borderId="1" xfId="3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/>
    <xf numFmtId="0" fontId="2" fillId="9" borderId="1" xfId="0" applyFont="1" applyFill="1" applyBorder="1" applyAlignment="1">
      <alignment horizontal="center" vertical="center" wrapText="1"/>
    </xf>
    <xf numFmtId="9" fontId="2" fillId="9" borderId="1" xfId="2" applyFont="1" applyFill="1" applyBorder="1" applyAlignment="1">
      <alignment horizontal="center" vertical="center" wrapText="1"/>
    </xf>
    <xf numFmtId="0" fontId="2" fillId="9" borderId="5" xfId="0" applyFont="1" applyFill="1" applyBorder="1"/>
    <xf numFmtId="44" fontId="2" fillId="9" borderId="6" xfId="3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 wrapText="1"/>
    </xf>
    <xf numFmtId="41" fontId="2" fillId="0" borderId="6" xfId="1" applyFont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166" fontId="7" fillId="11" borderId="1" xfId="0" applyNumberFormat="1" applyFont="1" applyFill="1" applyBorder="1" applyAlignment="1">
      <alignment horizontal="center" vertical="center"/>
    </xf>
    <xf numFmtId="166" fontId="0" fillId="0" borderId="1" xfId="2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</cellXfs>
  <cellStyles count="4">
    <cellStyle name="Millares [0]" xfId="1" builtinId="6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W21"/>
  <sheetViews>
    <sheetView zoomScale="111" zoomScaleNormal="90" workbookViewId="0">
      <selection activeCell="D14" sqref="D14:D18"/>
    </sheetView>
  </sheetViews>
  <sheetFormatPr baseColWidth="10" defaultColWidth="10.875" defaultRowHeight="15.75" x14ac:dyDescent="0.25"/>
  <cols>
    <col min="1" max="1" width="7.125" customWidth="1"/>
    <col min="2" max="2" width="18.5" bestFit="1" customWidth="1"/>
    <col min="3" max="3" width="12.375" customWidth="1"/>
    <col min="4" max="4" width="12.625" bestFit="1" customWidth="1"/>
    <col min="5" max="5" width="13" customWidth="1"/>
    <col min="6" max="16" width="17.875" bestFit="1" customWidth="1"/>
    <col min="17" max="17" width="17.375" customWidth="1"/>
    <col min="18" max="18" width="19.125" style="8" bestFit="1" customWidth="1"/>
    <col min="19" max="19" width="2" customWidth="1"/>
    <col min="20" max="20" width="17.875" bestFit="1" customWidth="1"/>
    <col min="21" max="21" width="15.5" style="16" bestFit="1" customWidth="1"/>
    <col min="22" max="22" width="16.625" bestFit="1" customWidth="1"/>
    <col min="23" max="23" width="17.875" bestFit="1" customWidth="1"/>
  </cols>
  <sheetData>
    <row r="3" spans="2:23" s="2" customFormat="1" ht="21" x14ac:dyDescent="0.35">
      <c r="C3" s="84">
        <v>2023</v>
      </c>
      <c r="D3" s="84"/>
      <c r="E3" s="84"/>
      <c r="F3" s="85">
        <v>2022</v>
      </c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6"/>
      <c r="U3" s="15"/>
    </row>
    <row r="4" spans="2:23" s="3" customFormat="1" ht="18.75" x14ac:dyDescent="0.25">
      <c r="B4" s="4" t="s">
        <v>17</v>
      </c>
      <c r="C4" s="4" t="s">
        <v>16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5</v>
      </c>
      <c r="Q4" s="4" t="s">
        <v>6</v>
      </c>
      <c r="R4" s="7" t="s">
        <v>18</v>
      </c>
      <c r="T4" s="68" t="s">
        <v>20</v>
      </c>
      <c r="U4" s="82">
        <v>8.2318247994192413E-3</v>
      </c>
      <c r="V4" s="31" t="s">
        <v>32</v>
      </c>
      <c r="W4" s="31" t="s">
        <v>33</v>
      </c>
    </row>
    <row r="5" spans="2:23" ht="24" customHeight="1" x14ac:dyDescent="0.25">
      <c r="B5" s="1" t="s">
        <v>0</v>
      </c>
      <c r="C5" s="11"/>
      <c r="D5" s="11">
        <f>73203220-D9</f>
        <v>71163380</v>
      </c>
      <c r="E5" s="11">
        <v>54347090</v>
      </c>
      <c r="F5" s="63">
        <v>59630930</v>
      </c>
      <c r="G5" s="63">
        <v>67107760</v>
      </c>
      <c r="H5" s="63">
        <v>64605240</v>
      </c>
      <c r="I5" s="63">
        <v>72242170</v>
      </c>
      <c r="J5" s="63">
        <v>66211830</v>
      </c>
      <c r="K5" s="63">
        <v>65270740</v>
      </c>
      <c r="L5" s="63">
        <v>50309910</v>
      </c>
      <c r="M5" s="63">
        <v>53953040</v>
      </c>
      <c r="N5" s="63">
        <v>60080610</v>
      </c>
      <c r="O5" s="63">
        <v>51422210</v>
      </c>
      <c r="P5" s="63">
        <v>58711430</v>
      </c>
      <c r="Q5" s="63">
        <f>44163770</f>
        <v>44163770</v>
      </c>
      <c r="R5" s="64">
        <f>SUM(C5:Q5)</f>
        <v>839220110</v>
      </c>
      <c r="T5" s="58">
        <f>AVERAGE(D5:Q5)</f>
        <v>59944293.571428575</v>
      </c>
      <c r="U5" s="63">
        <f>T5*$U$4</f>
        <v>493450.92240495316</v>
      </c>
      <c r="V5" s="69">
        <f>U5*12</f>
        <v>5921411.0688594375</v>
      </c>
      <c r="W5" s="69">
        <f>V5*20</f>
        <v>118428221.37718874</v>
      </c>
    </row>
    <row r="6" spans="2:23" ht="24" customHeight="1" x14ac:dyDescent="0.25">
      <c r="B6" s="1" t="s">
        <v>1</v>
      </c>
      <c r="C6" s="11">
        <v>7697740</v>
      </c>
      <c r="D6" s="11">
        <v>6075250</v>
      </c>
      <c r="E6" s="12">
        <v>3046130</v>
      </c>
      <c r="F6" s="63">
        <v>2308100</v>
      </c>
      <c r="G6" s="63">
        <v>2476290</v>
      </c>
      <c r="H6" s="63">
        <v>1132150</v>
      </c>
      <c r="I6" s="63">
        <v>2971822</v>
      </c>
      <c r="J6" s="63">
        <v>1767172</v>
      </c>
      <c r="K6" s="63">
        <v>2839122</v>
      </c>
      <c r="L6" s="63">
        <v>2720212</v>
      </c>
      <c r="M6" s="63">
        <v>1949592</v>
      </c>
      <c r="N6" s="65">
        <v>2317406</v>
      </c>
      <c r="O6" s="63">
        <v>1896058</v>
      </c>
      <c r="P6" s="63">
        <v>2741242</v>
      </c>
      <c r="Q6" s="63">
        <v>2811152</v>
      </c>
      <c r="R6" s="64">
        <f t="shared" ref="R6:R9" si="0">SUM(C6:Q6)</f>
        <v>44749438</v>
      </c>
      <c r="T6" s="58">
        <f t="shared" ref="T6:T9" si="1">AVERAGE(D6:Q6)</f>
        <v>2646549.8571428573</v>
      </c>
      <c r="U6" s="63">
        <f t="shared" ref="U6:U9" si="2">T6*$U$4</f>
        <v>21785.934746928022</v>
      </c>
      <c r="V6" s="69">
        <f t="shared" ref="V6:V9" si="3">U6*12</f>
        <v>261431.21696313628</v>
      </c>
      <c r="W6" s="69">
        <f t="shared" ref="W6:W9" si="4">V6*20</f>
        <v>5228624.3392627258</v>
      </c>
    </row>
    <row r="7" spans="2:23" ht="24" customHeight="1" x14ac:dyDescent="0.25">
      <c r="B7" s="1" t="s">
        <v>2</v>
      </c>
      <c r="C7" s="11">
        <f>13995946+3104802</f>
        <v>17100748</v>
      </c>
      <c r="D7" s="11">
        <f>15705642+3059802</f>
        <v>18765444</v>
      </c>
      <c r="E7" s="11">
        <f>15595844+3059802</f>
        <v>18655646</v>
      </c>
      <c r="F7" s="63">
        <f>15595844+3059802</f>
        <v>18655646</v>
      </c>
      <c r="G7" s="63">
        <f>22548174+3059802</f>
        <v>25607976</v>
      </c>
      <c r="H7" s="63">
        <f>21148173+3059802</f>
        <v>24207975</v>
      </c>
      <c r="I7" s="63">
        <f>21291182+3059802</f>
        <v>24350984</v>
      </c>
      <c r="J7" s="63">
        <f>23901775+3059802</f>
        <v>26961577</v>
      </c>
      <c r="K7" s="63">
        <f>23901775+3112469</f>
        <v>27014244</v>
      </c>
      <c r="L7" s="63">
        <f>23939062+3059802</f>
        <v>26998864</v>
      </c>
      <c r="M7" s="63">
        <f>23901775+3059801</f>
        <v>26961576</v>
      </c>
      <c r="N7" s="63">
        <f>24031633+3132521</f>
        <v>27164154</v>
      </c>
      <c r="O7" s="63">
        <f>23901775+3032081</f>
        <v>26933856</v>
      </c>
      <c r="P7" s="63">
        <f>22537509+2795841</f>
        <v>25333350</v>
      </c>
      <c r="Q7" s="63">
        <v>31193791</v>
      </c>
      <c r="R7" s="64">
        <f t="shared" si="0"/>
        <v>365905831</v>
      </c>
      <c r="T7" s="58">
        <f t="shared" si="1"/>
        <v>24914648.785714287</v>
      </c>
      <c r="U7" s="63">
        <f t="shared" si="2"/>
        <v>205093.02374306336</v>
      </c>
      <c r="V7" s="69">
        <f t="shared" si="3"/>
        <v>2461116.2849167604</v>
      </c>
      <c r="W7" s="69">
        <f t="shared" si="4"/>
        <v>49222325.698335208</v>
      </c>
    </row>
    <row r="8" spans="2:23" ht="36.75" customHeight="1" x14ac:dyDescent="0.25">
      <c r="B8" s="13" t="s">
        <v>3</v>
      </c>
      <c r="C8" s="11">
        <v>148198319</v>
      </c>
      <c r="D8" s="11">
        <v>148198319</v>
      </c>
      <c r="E8" s="11">
        <v>148198319</v>
      </c>
      <c r="F8" s="63">
        <v>122583794</v>
      </c>
      <c r="G8" s="63">
        <v>122583794</v>
      </c>
      <c r="H8" s="63">
        <v>122583794</v>
      </c>
      <c r="I8" s="63">
        <v>122583794</v>
      </c>
      <c r="J8" s="63">
        <v>122583794</v>
      </c>
      <c r="K8" s="63">
        <v>122583794</v>
      </c>
      <c r="L8" s="63">
        <v>120838289</v>
      </c>
      <c r="M8" s="63">
        <v>120838289</v>
      </c>
      <c r="N8" s="63">
        <v>96430537</v>
      </c>
      <c r="O8" s="63">
        <v>93216186</v>
      </c>
      <c r="P8" s="63">
        <v>83713795</v>
      </c>
      <c r="Q8" s="63">
        <v>83998557</v>
      </c>
      <c r="R8" s="64">
        <f t="shared" si="0"/>
        <v>1779133374</v>
      </c>
      <c r="T8" s="58">
        <f t="shared" si="1"/>
        <v>116495361.07142857</v>
      </c>
      <c r="U8" s="63">
        <f t="shared" si="2"/>
        <v>958969.40228508459</v>
      </c>
      <c r="V8" s="69">
        <f t="shared" si="3"/>
        <v>11507632.827421015</v>
      </c>
      <c r="W8" s="69">
        <f t="shared" si="4"/>
        <v>230152656.54842031</v>
      </c>
    </row>
    <row r="9" spans="2:23" ht="24" customHeight="1" x14ac:dyDescent="0.25">
      <c r="B9" s="1" t="s">
        <v>4</v>
      </c>
      <c r="C9" s="11"/>
      <c r="D9" s="11">
        <v>2039840</v>
      </c>
      <c r="E9" s="11">
        <v>2036840</v>
      </c>
      <c r="F9" s="63">
        <v>2036830</v>
      </c>
      <c r="G9" s="63">
        <v>1998590</v>
      </c>
      <c r="H9" s="63">
        <v>1998030</v>
      </c>
      <c r="I9" s="63">
        <v>2000310</v>
      </c>
      <c r="J9" s="63">
        <v>1946950</v>
      </c>
      <c r="K9" s="63">
        <v>7747500</v>
      </c>
      <c r="L9" s="63">
        <v>9249870</v>
      </c>
      <c r="M9" s="63">
        <v>1930450</v>
      </c>
      <c r="N9" s="63">
        <v>566480</v>
      </c>
      <c r="O9" s="63">
        <v>559070</v>
      </c>
      <c r="P9" s="63">
        <v>559060</v>
      </c>
      <c r="Q9" s="63">
        <v>536230</v>
      </c>
      <c r="R9" s="64">
        <f t="shared" si="0"/>
        <v>35206050</v>
      </c>
      <c r="T9" s="58">
        <f t="shared" si="1"/>
        <v>2514717.8571428573</v>
      </c>
      <c r="U9" s="63">
        <f t="shared" si="2"/>
        <v>20700.716819970985</v>
      </c>
      <c r="V9" s="69">
        <f t="shared" si="3"/>
        <v>248408.60183965182</v>
      </c>
      <c r="W9" s="69">
        <f t="shared" si="4"/>
        <v>4968172.0367930364</v>
      </c>
    </row>
    <row r="10" spans="2:23" ht="26.1" customHeight="1" x14ac:dyDescent="0.25">
      <c r="B10" s="5" t="s">
        <v>19</v>
      </c>
      <c r="C10" s="14">
        <f>SUM(C5:C9)</f>
        <v>172996807</v>
      </c>
      <c r="D10" s="14">
        <f t="shared" ref="D10:Q10" si="5">SUM(D5:D9)</f>
        <v>246242233</v>
      </c>
      <c r="E10" s="14">
        <f t="shared" si="5"/>
        <v>226284025</v>
      </c>
      <c r="F10" s="66">
        <f t="shared" si="5"/>
        <v>205215300</v>
      </c>
      <c r="G10" s="66">
        <f t="shared" si="5"/>
        <v>219774410</v>
      </c>
      <c r="H10" s="66">
        <f t="shared" si="5"/>
        <v>214527189</v>
      </c>
      <c r="I10" s="66">
        <f t="shared" si="5"/>
        <v>224149080</v>
      </c>
      <c r="J10" s="66">
        <f t="shared" si="5"/>
        <v>219471323</v>
      </c>
      <c r="K10" s="66">
        <f>SUM(K5:K9)</f>
        <v>225455400</v>
      </c>
      <c r="L10" s="66">
        <f t="shared" si="5"/>
        <v>210117145</v>
      </c>
      <c r="M10" s="66">
        <f t="shared" si="5"/>
        <v>205632947</v>
      </c>
      <c r="N10" s="66">
        <f t="shared" si="5"/>
        <v>186559187</v>
      </c>
      <c r="O10" s="66">
        <f t="shared" si="5"/>
        <v>174027380</v>
      </c>
      <c r="P10" s="66">
        <f t="shared" si="5"/>
        <v>171058877</v>
      </c>
      <c r="Q10" s="66">
        <f t="shared" si="5"/>
        <v>162703500</v>
      </c>
      <c r="R10" s="67">
        <f>SUM(R5:R9)</f>
        <v>3064214803</v>
      </c>
      <c r="T10" s="70">
        <f>SUM(T5:T9)</f>
        <v>206515571.14285713</v>
      </c>
      <c r="U10" s="71">
        <f>SUM(U5:U9)</f>
        <v>1700000</v>
      </c>
      <c r="V10" s="71">
        <f>SUM(V5:V9)</f>
        <v>20400000</v>
      </c>
      <c r="W10" s="71">
        <f>SUM(W5:W9)</f>
        <v>408000000.00000006</v>
      </c>
    </row>
    <row r="11" spans="2:23" x14ac:dyDescent="0.25">
      <c r="U11" s="25"/>
    </row>
    <row r="12" spans="2:23" x14ac:dyDescent="0.25">
      <c r="J12" s="26"/>
      <c r="N12" s="10"/>
      <c r="U12" s="28"/>
    </row>
    <row r="13" spans="2:23" ht="31.5" x14ac:dyDescent="0.25">
      <c r="B13" s="34" t="s">
        <v>17</v>
      </c>
      <c r="C13" s="33" t="s">
        <v>20</v>
      </c>
      <c r="D13" s="33" t="s">
        <v>22</v>
      </c>
      <c r="E13" s="33" t="s">
        <v>29</v>
      </c>
      <c r="F13" s="33" t="s">
        <v>30</v>
      </c>
      <c r="G13" s="33" t="s">
        <v>31</v>
      </c>
      <c r="J13" s="27"/>
      <c r="T13" s="73">
        <v>408000000</v>
      </c>
      <c r="U13" s="28"/>
    </row>
    <row r="14" spans="2:23" x14ac:dyDescent="0.25">
      <c r="B14" s="1" t="s">
        <v>0</v>
      </c>
      <c r="C14" s="29">
        <v>59944293.571428575</v>
      </c>
      <c r="D14" s="83">
        <f>U4</f>
        <v>8.2318247994192413E-3</v>
      </c>
      <c r="E14" s="32">
        <f>C14*D14</f>
        <v>493450.92240495316</v>
      </c>
      <c r="F14" s="59">
        <f>E14*12</f>
        <v>5921411.0688594375</v>
      </c>
      <c r="G14" s="59">
        <f>F14*20</f>
        <v>118428221.37718874</v>
      </c>
      <c r="N14" s="10"/>
      <c r="O14" s="9"/>
      <c r="U14" s="28"/>
    </row>
    <row r="15" spans="2:23" x14ac:dyDescent="0.25">
      <c r="B15" s="1" t="s">
        <v>1</v>
      </c>
      <c r="C15" s="29">
        <v>2646549.8571428573</v>
      </c>
      <c r="D15" s="83">
        <f>D14</f>
        <v>8.2318247994192413E-3</v>
      </c>
      <c r="E15" s="32">
        <f t="shared" ref="E15:E18" si="6">C15*D15</f>
        <v>21785.934746928022</v>
      </c>
      <c r="F15" s="59">
        <f t="shared" ref="F15:F18" si="7">E15*12</f>
        <v>261431.21696313628</v>
      </c>
      <c r="G15" s="59">
        <f t="shared" ref="G15:G18" si="8">F15*20</f>
        <v>5228624.3392627258</v>
      </c>
      <c r="U15" s="28"/>
    </row>
    <row r="16" spans="2:23" x14ac:dyDescent="0.25">
      <c r="B16" s="1" t="s">
        <v>2</v>
      </c>
      <c r="C16" s="29">
        <v>24914648.785714287</v>
      </c>
      <c r="D16" s="83">
        <f t="shared" ref="D16:D18" si="9">D15</f>
        <v>8.2318247994192413E-3</v>
      </c>
      <c r="E16" s="32">
        <f t="shared" si="6"/>
        <v>205093.02374306336</v>
      </c>
      <c r="F16" s="59">
        <f t="shared" si="7"/>
        <v>2461116.2849167604</v>
      </c>
      <c r="G16" s="59">
        <f t="shared" si="8"/>
        <v>49222325.698335208</v>
      </c>
      <c r="U16" s="28"/>
    </row>
    <row r="17" spans="2:21" x14ac:dyDescent="0.25">
      <c r="B17" s="13" t="s">
        <v>3</v>
      </c>
      <c r="C17" s="29">
        <v>116495361.07142857</v>
      </c>
      <c r="D17" s="83">
        <f t="shared" si="9"/>
        <v>8.2318247994192413E-3</v>
      </c>
      <c r="E17" s="32">
        <f t="shared" si="6"/>
        <v>958969.40228508459</v>
      </c>
      <c r="F17" s="59">
        <f t="shared" si="7"/>
        <v>11507632.827421015</v>
      </c>
      <c r="G17" s="59">
        <f t="shared" si="8"/>
        <v>230152656.54842031</v>
      </c>
      <c r="U17" s="28"/>
    </row>
    <row r="18" spans="2:21" x14ac:dyDescent="0.25">
      <c r="B18" s="1" t="s">
        <v>4</v>
      </c>
      <c r="C18" s="29">
        <v>2514717.8571428573</v>
      </c>
      <c r="D18" s="83">
        <f t="shared" si="9"/>
        <v>8.2318247994192413E-3</v>
      </c>
      <c r="E18" s="32">
        <f t="shared" si="6"/>
        <v>20700.716819970985</v>
      </c>
      <c r="F18" s="59">
        <f t="shared" si="7"/>
        <v>248408.60183965182</v>
      </c>
      <c r="G18" s="59">
        <f t="shared" si="8"/>
        <v>4968172.0367930364</v>
      </c>
    </row>
    <row r="19" spans="2:21" x14ac:dyDescent="0.25">
      <c r="B19" s="5" t="s">
        <v>34</v>
      </c>
      <c r="C19" s="30">
        <v>206515571.14285713</v>
      </c>
      <c r="D19" s="35"/>
      <c r="E19" s="35">
        <f>SUM(E14:E18)</f>
        <v>1700000</v>
      </c>
      <c r="F19" s="70">
        <f>SUM(F14:F18)</f>
        <v>20400000</v>
      </c>
      <c r="G19" s="66">
        <f>SUM(G14:G18)</f>
        <v>408000000.00000006</v>
      </c>
    </row>
    <row r="21" spans="2:21" x14ac:dyDescent="0.25">
      <c r="G21" s="19"/>
    </row>
  </sheetData>
  <mergeCells count="2">
    <mergeCell ref="C3:E3"/>
    <mergeCell ref="F3:Q3"/>
  </mergeCells>
  <pageMargins left="0.25" right="0.25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32"/>
  <sheetViews>
    <sheetView showGridLines="0" tabSelected="1" topLeftCell="A10" zoomScale="110" zoomScaleNormal="110" workbookViewId="0">
      <selection activeCell="C22" sqref="C22"/>
    </sheetView>
  </sheetViews>
  <sheetFormatPr baseColWidth="10" defaultRowHeight="15.75" x14ac:dyDescent="0.25"/>
  <cols>
    <col min="2" max="2" width="12.125" bestFit="1" customWidth="1"/>
    <col min="3" max="3" width="40.375" style="8" customWidth="1"/>
    <col min="4" max="4" width="16" style="17" customWidth="1"/>
    <col min="5" max="5" width="16.375" style="18" bestFit="1" customWidth="1"/>
    <col min="6" max="6" width="12.125" style="19" bestFit="1" customWidth="1"/>
    <col min="7" max="7" width="20.375" customWidth="1"/>
    <col min="8" max="8" width="16.625" bestFit="1" customWidth="1"/>
    <col min="9" max="9" width="12.625" bestFit="1" customWidth="1"/>
    <col min="10" max="10" width="14.5" bestFit="1" customWidth="1"/>
    <col min="11" max="11" width="15.375" customWidth="1"/>
    <col min="12" max="12" width="20.125" customWidth="1"/>
  </cols>
  <sheetData>
    <row r="4" spans="2:12" x14ac:dyDescent="0.25">
      <c r="C4" s="20" t="s">
        <v>21</v>
      </c>
      <c r="D4" s="21" t="s">
        <v>22</v>
      </c>
      <c r="E4" s="22" t="s">
        <v>23</v>
      </c>
    </row>
    <row r="5" spans="2:12" x14ac:dyDescent="0.25">
      <c r="C5" s="1" t="s">
        <v>24</v>
      </c>
      <c r="D5" s="23">
        <v>0.51</v>
      </c>
      <c r="E5" s="54">
        <f>D5*E7</f>
        <v>408000000</v>
      </c>
    </row>
    <row r="6" spans="2:12" x14ac:dyDescent="0.25">
      <c r="C6" s="1" t="s">
        <v>48</v>
      </c>
      <c r="D6" s="23">
        <v>0.49</v>
      </c>
      <c r="E6" s="54">
        <f>D6*E7</f>
        <v>392000000</v>
      </c>
    </row>
    <row r="7" spans="2:12" x14ac:dyDescent="0.25">
      <c r="C7" s="24" t="s">
        <v>25</v>
      </c>
      <c r="D7" s="21">
        <f>SUM(D5:D6)</f>
        <v>1</v>
      </c>
      <c r="E7" s="55">
        <v>800000000</v>
      </c>
    </row>
    <row r="10" spans="2:12" ht="16.5" thickBot="1" x14ac:dyDescent="0.3"/>
    <row r="11" spans="2:12" ht="16.5" thickBot="1" x14ac:dyDescent="0.3">
      <c r="B11" s="86" t="s">
        <v>46</v>
      </c>
      <c r="C11" s="87"/>
      <c r="D11" s="87"/>
      <c r="E11" s="88"/>
      <c r="G11" s="89" t="s">
        <v>47</v>
      </c>
      <c r="H11" s="90"/>
      <c r="I11" s="90"/>
      <c r="J11" s="90"/>
      <c r="K11" s="90"/>
      <c r="L11" s="91"/>
    </row>
    <row r="12" spans="2:12" ht="32.25" customHeight="1" x14ac:dyDescent="0.25">
      <c r="B12" s="76"/>
      <c r="C12" s="74" t="s">
        <v>26</v>
      </c>
      <c r="D12" s="75">
        <v>0.49</v>
      </c>
      <c r="E12" s="77">
        <f>E6</f>
        <v>392000000</v>
      </c>
      <c r="G12" s="49" t="s">
        <v>17</v>
      </c>
      <c r="H12" s="48" t="s">
        <v>20</v>
      </c>
      <c r="I12" s="48" t="s">
        <v>45</v>
      </c>
      <c r="J12" s="48" t="s">
        <v>29</v>
      </c>
      <c r="K12" s="48" t="s">
        <v>30</v>
      </c>
      <c r="L12" s="50" t="s">
        <v>31</v>
      </c>
    </row>
    <row r="13" spans="2:12" hidden="1" x14ac:dyDescent="0.25">
      <c r="B13" s="38"/>
      <c r="D13" s="39"/>
      <c r="E13" s="40"/>
      <c r="G13" s="51" t="s">
        <v>0</v>
      </c>
      <c r="H13" s="58">
        <f>Promedio_Servicios_Publicos!T5</f>
        <v>59944293.571428575</v>
      </c>
      <c r="I13" s="83">
        <f>Promedio_Servicios_Publicos!U4</f>
        <v>8.2318247994192413E-3</v>
      </c>
      <c r="J13" s="59">
        <f>Promedio_Servicios_Publicos!U5</f>
        <v>493450.92240495316</v>
      </c>
      <c r="K13" s="59">
        <f>Promedio_Servicios_Publicos!V5</f>
        <v>5921411.0688594375</v>
      </c>
      <c r="L13" s="60">
        <f>Promedio_Servicios_Publicos!W5</f>
        <v>118428221.37718874</v>
      </c>
    </row>
    <row r="14" spans="2:12" x14ac:dyDescent="0.25">
      <c r="B14" s="78" t="s">
        <v>40</v>
      </c>
      <c r="C14" s="31" t="s">
        <v>42</v>
      </c>
      <c r="D14" s="79"/>
      <c r="E14" s="80" t="s">
        <v>43</v>
      </c>
      <c r="F14"/>
      <c r="G14" s="51" t="s">
        <v>1</v>
      </c>
      <c r="H14" s="58">
        <f>Promedio_Servicios_Publicos!T6</f>
        <v>2646549.8571428573</v>
      </c>
      <c r="I14" s="83">
        <f>I13</f>
        <v>8.2318247994192413E-3</v>
      </c>
      <c r="J14" s="59">
        <f>Promedio_Servicios_Publicos!U6</f>
        <v>21785.934746928022</v>
      </c>
      <c r="K14" s="59">
        <f>Promedio_Servicios_Publicos!V6</f>
        <v>261431.21696313628</v>
      </c>
      <c r="L14" s="60">
        <f>Promedio_Servicios_Publicos!W6</f>
        <v>5228624.3392627258</v>
      </c>
    </row>
    <row r="15" spans="2:12" x14ac:dyDescent="0.25">
      <c r="B15" s="81" t="s">
        <v>41</v>
      </c>
      <c r="C15" s="46" t="s">
        <v>27</v>
      </c>
      <c r="D15" s="47"/>
      <c r="E15" s="56">
        <f>SUM(D16:D21)</f>
        <v>59500000</v>
      </c>
      <c r="F15"/>
      <c r="G15" s="51" t="s">
        <v>2</v>
      </c>
      <c r="H15" s="58">
        <f>Promedio_Servicios_Publicos!T7</f>
        <v>24914648.785714287</v>
      </c>
      <c r="I15" s="83">
        <f t="shared" ref="I15:I17" si="0">I14</f>
        <v>8.2318247994192413E-3</v>
      </c>
      <c r="J15" s="59">
        <f>Promedio_Servicios_Publicos!U7</f>
        <v>205093.02374306336</v>
      </c>
      <c r="K15" s="59">
        <f>Promedio_Servicios_Publicos!V7</f>
        <v>2461116.2849167604</v>
      </c>
      <c r="L15" s="60">
        <f>Promedio_Servicios_Publicos!W7</f>
        <v>49222325.698335208</v>
      </c>
    </row>
    <row r="16" spans="2:12" x14ac:dyDescent="0.25">
      <c r="B16" s="72" t="s">
        <v>41</v>
      </c>
      <c r="C16" s="37" t="s">
        <v>35</v>
      </c>
      <c r="D16" s="54">
        <v>18000000</v>
      </c>
      <c r="E16" s="42"/>
      <c r="F16"/>
      <c r="G16" s="41" t="s">
        <v>3</v>
      </c>
      <c r="H16" s="58">
        <f>Promedio_Servicios_Publicos!T8</f>
        <v>116495361.07142857</v>
      </c>
      <c r="I16" s="83">
        <f t="shared" si="0"/>
        <v>8.2318247994192413E-3</v>
      </c>
      <c r="J16" s="59">
        <f>Promedio_Servicios_Publicos!U8</f>
        <v>958969.40228508459</v>
      </c>
      <c r="K16" s="59">
        <f>Promedio_Servicios_Publicos!V8</f>
        <v>11507632.827421015</v>
      </c>
      <c r="L16" s="60">
        <f>Promedio_Servicios_Publicos!W8</f>
        <v>230152656.54842031</v>
      </c>
    </row>
    <row r="17" spans="2:12" x14ac:dyDescent="0.25">
      <c r="B17" s="72" t="s">
        <v>41</v>
      </c>
      <c r="C17" s="37" t="s">
        <v>36</v>
      </c>
      <c r="D17" s="54">
        <v>9500000</v>
      </c>
      <c r="E17" s="42"/>
      <c r="F17"/>
      <c r="G17" s="51" t="s">
        <v>4</v>
      </c>
      <c r="H17" s="58">
        <f>Promedio_Servicios_Publicos!T9</f>
        <v>2514717.8571428573</v>
      </c>
      <c r="I17" s="83">
        <f t="shared" si="0"/>
        <v>8.2318247994192413E-3</v>
      </c>
      <c r="J17" s="59">
        <f>Promedio_Servicios_Publicos!U9</f>
        <v>20700.716819970985</v>
      </c>
      <c r="K17" s="59">
        <f>Promedio_Servicios_Publicos!V9</f>
        <v>248408.60183965182</v>
      </c>
      <c r="L17" s="60">
        <f>Promedio_Servicios_Publicos!W9</f>
        <v>4968172.0367930364</v>
      </c>
    </row>
    <row r="18" spans="2:12" ht="16.5" thickBot="1" x14ac:dyDescent="0.3">
      <c r="B18" s="72" t="s">
        <v>41</v>
      </c>
      <c r="C18" s="37" t="s">
        <v>37</v>
      </c>
      <c r="D18" s="54">
        <v>17000000</v>
      </c>
      <c r="E18" s="42"/>
      <c r="F18"/>
      <c r="G18" s="52" t="s">
        <v>34</v>
      </c>
      <c r="H18" s="62">
        <f>SUM(H13:H17)</f>
        <v>206515571.14285713</v>
      </c>
      <c r="I18" s="53"/>
      <c r="J18" s="62">
        <f>SUM(J13:J17)</f>
        <v>1700000</v>
      </c>
      <c r="K18" s="62">
        <f>SUM(K13:K17)</f>
        <v>20400000</v>
      </c>
      <c r="L18" s="61">
        <f>SUM(L13:L17)</f>
        <v>408000000.00000006</v>
      </c>
    </row>
    <row r="19" spans="2:12" x14ac:dyDescent="0.25">
      <c r="B19" s="72" t="s">
        <v>41</v>
      </c>
      <c r="C19" s="37" t="s">
        <v>38</v>
      </c>
      <c r="D19" s="54">
        <v>3500000</v>
      </c>
      <c r="E19" s="42"/>
      <c r="F19"/>
    </row>
    <row r="20" spans="2:12" x14ac:dyDescent="0.25">
      <c r="B20" s="72" t="s">
        <v>41</v>
      </c>
      <c r="C20" s="37" t="s">
        <v>39</v>
      </c>
      <c r="D20" s="54">
        <v>9500000</v>
      </c>
      <c r="E20" s="42"/>
      <c r="F20"/>
    </row>
    <row r="21" spans="2:12" x14ac:dyDescent="0.25">
      <c r="B21" s="72" t="s">
        <v>41</v>
      </c>
      <c r="C21" s="37" t="s">
        <v>28</v>
      </c>
      <c r="D21" s="54">
        <v>2000000</v>
      </c>
      <c r="E21" s="42"/>
      <c r="F21"/>
    </row>
    <row r="22" spans="2:12" ht="31.5" x14ac:dyDescent="0.25">
      <c r="B22" s="81" t="s">
        <v>44</v>
      </c>
      <c r="C22" s="46" t="s">
        <v>49</v>
      </c>
      <c r="D22" s="47"/>
      <c r="E22" s="56">
        <v>149850000</v>
      </c>
      <c r="F22"/>
    </row>
    <row r="23" spans="2:12" ht="63" x14ac:dyDescent="0.25">
      <c r="B23" s="81" t="s">
        <v>44</v>
      </c>
      <c r="C23" s="46" t="s">
        <v>50</v>
      </c>
      <c r="D23" s="47"/>
      <c r="E23" s="56">
        <v>182650000</v>
      </c>
      <c r="F23"/>
    </row>
    <row r="24" spans="2:12" ht="16.5" thickBot="1" x14ac:dyDescent="0.3">
      <c r="B24" s="43"/>
      <c r="C24" s="44"/>
      <c r="D24" s="45"/>
      <c r="E24" s="57">
        <f>SUM(E15:E23)</f>
        <v>392000000</v>
      </c>
      <c r="F24"/>
    </row>
    <row r="25" spans="2:12" x14ac:dyDescent="0.25">
      <c r="F25"/>
    </row>
    <row r="26" spans="2:12" x14ac:dyDescent="0.25">
      <c r="F26"/>
    </row>
    <row r="27" spans="2:12" x14ac:dyDescent="0.25">
      <c r="E27" s="36"/>
      <c r="F27"/>
    </row>
    <row r="28" spans="2:12" x14ac:dyDescent="0.25">
      <c r="F28"/>
    </row>
    <row r="29" spans="2:12" x14ac:dyDescent="0.25">
      <c r="F29"/>
    </row>
    <row r="30" spans="2:12" x14ac:dyDescent="0.25">
      <c r="F30"/>
    </row>
    <row r="31" spans="2:12" x14ac:dyDescent="0.25">
      <c r="F31"/>
    </row>
    <row r="32" spans="2:12" x14ac:dyDescent="0.25">
      <c r="F32"/>
    </row>
  </sheetData>
  <mergeCells count="2">
    <mergeCell ref="B11:E11"/>
    <mergeCell ref="G11:L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Promedio_Servicios_Publicos</vt:lpstr>
      <vt:lpstr>Detalle_Aportes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Jheiny Vergara Marrugo</cp:lastModifiedBy>
  <cp:lastPrinted>2023-04-28T15:17:54Z</cp:lastPrinted>
  <dcterms:created xsi:type="dcterms:W3CDTF">2023-04-27T14:30:52Z</dcterms:created>
  <dcterms:modified xsi:type="dcterms:W3CDTF">2023-07-26T18:37:15Z</dcterms:modified>
</cp:coreProperties>
</file>