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GOBERNACION DE SUCRE 2023\SEC RECURSOS FISICOS\AS - SEM LOGISTICA\MODELO FINANCIERO\"/>
    </mc:Choice>
  </mc:AlternateContent>
  <bookViews>
    <workbookView xWindow="0" yWindow="0" windowWidth="20490" windowHeight="7650" activeTab="3"/>
  </bookViews>
  <sheets>
    <sheet name="Bases" sheetId="2" r:id="rId1"/>
    <sheet name="Proyecciones" sheetId="3" r:id="rId2"/>
    <sheet name="Estructura Organizacional" sheetId="4" state="hidden" r:id="rId3"/>
    <sheet name="Ingresos_Egresos_Mes" sheetId="6" r:id="rId4"/>
  </sheets>
  <definedNames>
    <definedName name="_xlnm.Print_Area" localSheetId="0">Bases!$B$91:$H$116</definedName>
    <definedName name="_xlnm.Print_Area" localSheetId="1">Proyecciones!#REF!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3" l="1"/>
  <c r="AE20" i="6" l="1"/>
  <c r="C14" i="6"/>
  <c r="D22" i="3"/>
  <c r="D139" i="3"/>
  <c r="E70" i="2" l="1"/>
  <c r="F63" i="2"/>
  <c r="G40" i="2"/>
  <c r="AE31" i="6"/>
  <c r="AE32" i="6"/>
  <c r="AE33" i="6"/>
  <c r="AE34" i="6"/>
  <c r="AE35" i="6"/>
  <c r="AE30" i="6"/>
  <c r="AF35" i="6"/>
  <c r="AF34" i="6"/>
  <c r="AF33" i="6"/>
  <c r="AF32" i="6"/>
  <c r="AF31" i="6"/>
  <c r="AF30" i="6"/>
  <c r="AF29" i="6"/>
  <c r="AF28" i="6"/>
  <c r="AF27" i="6"/>
  <c r="AF26" i="6"/>
  <c r="AF25" i="6"/>
  <c r="AF24" i="6"/>
  <c r="C6" i="6"/>
  <c r="C19" i="6" s="1"/>
  <c r="E82" i="2"/>
  <c r="AF20" i="6"/>
  <c r="E485" i="3"/>
  <c r="AE36" i="6" l="1"/>
  <c r="AF36" i="6"/>
  <c r="C16" i="6"/>
  <c r="C15" i="6"/>
  <c r="C18" i="6"/>
  <c r="C17" i="6"/>
  <c r="B472" i="3"/>
  <c r="Y471" i="3"/>
  <c r="Y489" i="3" s="1"/>
  <c r="X471" i="3"/>
  <c r="X489" i="3" s="1"/>
  <c r="W471" i="3"/>
  <c r="W489" i="3" s="1"/>
  <c r="V471" i="3"/>
  <c r="V489" i="3" s="1"/>
  <c r="U471" i="3"/>
  <c r="U489" i="3" s="1"/>
  <c r="T471" i="3"/>
  <c r="T489" i="3" s="1"/>
  <c r="S471" i="3"/>
  <c r="S489" i="3" s="1"/>
  <c r="R471" i="3"/>
  <c r="R489" i="3" s="1"/>
  <c r="Q471" i="3"/>
  <c r="Q489" i="3" s="1"/>
  <c r="P471" i="3"/>
  <c r="P489" i="3" s="1"/>
  <c r="O471" i="3"/>
  <c r="O489" i="3" s="1"/>
  <c r="N471" i="3"/>
  <c r="N489" i="3" s="1"/>
  <c r="M471" i="3"/>
  <c r="M489" i="3" s="1"/>
  <c r="L471" i="3"/>
  <c r="L489" i="3" s="1"/>
  <c r="K471" i="3"/>
  <c r="K489" i="3" s="1"/>
  <c r="J471" i="3"/>
  <c r="J489" i="3" s="1"/>
  <c r="I471" i="3"/>
  <c r="I489" i="3" s="1"/>
  <c r="H471" i="3"/>
  <c r="H489" i="3" s="1"/>
  <c r="G471" i="3"/>
  <c r="G489" i="3" s="1"/>
  <c r="F471" i="3"/>
  <c r="F489" i="3" s="1"/>
  <c r="B470" i="3"/>
  <c r="B488" i="3" s="1"/>
  <c r="B466" i="3"/>
  <c r="B465" i="3"/>
  <c r="Y461" i="3"/>
  <c r="X461" i="3"/>
  <c r="W461" i="3"/>
  <c r="V461" i="3"/>
  <c r="U461" i="3"/>
  <c r="T461" i="3"/>
  <c r="S461" i="3"/>
  <c r="R461" i="3"/>
  <c r="Q461" i="3"/>
  <c r="P461" i="3"/>
  <c r="O461" i="3"/>
  <c r="N461" i="3"/>
  <c r="M461" i="3"/>
  <c r="L461" i="3"/>
  <c r="K461" i="3"/>
  <c r="J461" i="3"/>
  <c r="I461" i="3"/>
  <c r="H461" i="3"/>
  <c r="G461" i="3"/>
  <c r="F461" i="3"/>
  <c r="B461" i="3"/>
  <c r="Y460" i="3"/>
  <c r="X460" i="3"/>
  <c r="W460" i="3"/>
  <c r="V460" i="3"/>
  <c r="U460" i="3"/>
  <c r="T460" i="3"/>
  <c r="S460" i="3"/>
  <c r="R460" i="3"/>
  <c r="Q460" i="3"/>
  <c r="P460" i="3"/>
  <c r="O460" i="3"/>
  <c r="N460" i="3"/>
  <c r="M460" i="3"/>
  <c r="L460" i="3"/>
  <c r="K460" i="3"/>
  <c r="J460" i="3"/>
  <c r="I460" i="3"/>
  <c r="H460" i="3"/>
  <c r="G460" i="3"/>
  <c r="F460" i="3"/>
  <c r="B460" i="3"/>
  <c r="B456" i="3"/>
  <c r="B455" i="3"/>
  <c r="B454" i="3"/>
  <c r="B453" i="3"/>
  <c r="U444" i="3"/>
  <c r="F392" i="3"/>
  <c r="E381" i="3"/>
  <c r="F284" i="3" s="1"/>
  <c r="Y380" i="3"/>
  <c r="E357" i="3"/>
  <c r="E356" i="3"/>
  <c r="F338" i="3"/>
  <c r="E338" i="3"/>
  <c r="Y336" i="3"/>
  <c r="X336" i="3"/>
  <c r="W336" i="3"/>
  <c r="V336" i="3"/>
  <c r="U336" i="3"/>
  <c r="T336" i="3"/>
  <c r="S336" i="3"/>
  <c r="R336" i="3"/>
  <c r="Q336" i="3"/>
  <c r="P336" i="3"/>
  <c r="O336" i="3"/>
  <c r="N336" i="3"/>
  <c r="M336" i="3"/>
  <c r="L336" i="3"/>
  <c r="K336" i="3"/>
  <c r="J336" i="3"/>
  <c r="I336" i="3"/>
  <c r="H336" i="3"/>
  <c r="G336" i="3"/>
  <c r="F336" i="3"/>
  <c r="E326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1" i="3"/>
  <c r="E307" i="3"/>
  <c r="Y299" i="3"/>
  <c r="X299" i="3"/>
  <c r="W299" i="3"/>
  <c r="V299" i="3"/>
  <c r="U299" i="3"/>
  <c r="T299" i="3"/>
  <c r="S299" i="3"/>
  <c r="R299" i="3"/>
  <c r="Q299" i="3"/>
  <c r="P299" i="3"/>
  <c r="O299" i="3"/>
  <c r="N299" i="3"/>
  <c r="M299" i="3"/>
  <c r="L299" i="3"/>
  <c r="K299" i="3"/>
  <c r="J299" i="3"/>
  <c r="I299" i="3"/>
  <c r="H299" i="3"/>
  <c r="G299" i="3"/>
  <c r="F299" i="3"/>
  <c r="E299" i="3"/>
  <c r="E276" i="3"/>
  <c r="F274" i="3"/>
  <c r="E267" i="3"/>
  <c r="C265" i="3"/>
  <c r="C357" i="3" s="1"/>
  <c r="C264" i="3"/>
  <c r="C356" i="3" s="1"/>
  <c r="Y261" i="3"/>
  <c r="X261" i="3"/>
  <c r="W261" i="3"/>
  <c r="V261" i="3"/>
  <c r="V481" i="3" s="1"/>
  <c r="U261" i="3"/>
  <c r="T261" i="3"/>
  <c r="S261" i="3"/>
  <c r="R261" i="3"/>
  <c r="R481" i="3" s="1"/>
  <c r="Q261" i="3"/>
  <c r="P261" i="3"/>
  <c r="O261" i="3"/>
  <c r="N261" i="3"/>
  <c r="N481" i="3" s="1"/>
  <c r="M261" i="3"/>
  <c r="L261" i="3"/>
  <c r="K261" i="3"/>
  <c r="J261" i="3"/>
  <c r="J481" i="3" s="1"/>
  <c r="I261" i="3"/>
  <c r="H261" i="3"/>
  <c r="G261" i="3"/>
  <c r="F261" i="3"/>
  <c r="F481" i="3" s="1"/>
  <c r="E259" i="3"/>
  <c r="E367" i="3" s="1"/>
  <c r="F367" i="3" s="1"/>
  <c r="G367" i="3" s="1"/>
  <c r="H367" i="3" s="1"/>
  <c r="I367" i="3" s="1"/>
  <c r="J367" i="3" s="1"/>
  <c r="K367" i="3" s="1"/>
  <c r="L367" i="3" s="1"/>
  <c r="M367" i="3" s="1"/>
  <c r="N367" i="3" s="1"/>
  <c r="O367" i="3" s="1"/>
  <c r="P367" i="3" s="1"/>
  <c r="Q367" i="3" s="1"/>
  <c r="R367" i="3" s="1"/>
  <c r="S367" i="3" s="1"/>
  <c r="T367" i="3" s="1"/>
  <c r="U367" i="3" s="1"/>
  <c r="V367" i="3" s="1"/>
  <c r="W367" i="3" s="1"/>
  <c r="X367" i="3" s="1"/>
  <c r="Y367" i="3" s="1"/>
  <c r="E239" i="3"/>
  <c r="C225" i="3"/>
  <c r="C223" i="3"/>
  <c r="C221" i="3"/>
  <c r="C219" i="3"/>
  <c r="C217" i="3"/>
  <c r="C215" i="3"/>
  <c r="C214" i="3"/>
  <c r="C212" i="3"/>
  <c r="C210" i="3"/>
  <c r="C208" i="3"/>
  <c r="Y205" i="3"/>
  <c r="X205" i="3"/>
  <c r="W205" i="3"/>
  <c r="V205" i="3"/>
  <c r="U205" i="3"/>
  <c r="T205" i="3"/>
  <c r="S205" i="3"/>
  <c r="R205" i="3"/>
  <c r="Q205" i="3"/>
  <c r="P205" i="3"/>
  <c r="O205" i="3"/>
  <c r="N205" i="3"/>
  <c r="M205" i="3"/>
  <c r="L205" i="3"/>
  <c r="K205" i="3"/>
  <c r="J205" i="3"/>
  <c r="I205" i="3"/>
  <c r="H205" i="3"/>
  <c r="G205" i="3"/>
  <c r="F205" i="3"/>
  <c r="AP181" i="3"/>
  <c r="BC180" i="3" s="1"/>
  <c r="AP180" i="3"/>
  <c r="D164" i="3"/>
  <c r="C146" i="3"/>
  <c r="C111" i="3"/>
  <c r="C110" i="3"/>
  <c r="C107" i="3"/>
  <c r="C106" i="3"/>
  <c r="D105" i="3"/>
  <c r="C105" i="3"/>
  <c r="C102" i="3"/>
  <c r="C101" i="3"/>
  <c r="C100" i="3"/>
  <c r="C81" i="3"/>
  <c r="C79" i="3"/>
  <c r="C73" i="3"/>
  <c r="M62" i="3"/>
  <c r="L62" i="3"/>
  <c r="K62" i="3"/>
  <c r="J62" i="3"/>
  <c r="I62" i="3"/>
  <c r="H62" i="3"/>
  <c r="G62" i="3"/>
  <c r="F62" i="3"/>
  <c r="E62" i="3"/>
  <c r="D62" i="3"/>
  <c r="C62" i="3"/>
  <c r="C60" i="3"/>
  <c r="C58" i="3"/>
  <c r="C56" i="3"/>
  <c r="D47" i="3"/>
  <c r="F181" i="3" s="1"/>
  <c r="D17" i="3"/>
  <c r="D19" i="3" s="1"/>
  <c r="D12" i="3"/>
  <c r="E260" i="3" s="1"/>
  <c r="E368" i="3" s="1"/>
  <c r="F368" i="3" s="1"/>
  <c r="G368" i="3" s="1"/>
  <c r="H368" i="3" s="1"/>
  <c r="I368" i="3" s="1"/>
  <c r="J368" i="3" s="1"/>
  <c r="K368" i="3" s="1"/>
  <c r="L368" i="3" s="1"/>
  <c r="M368" i="3" s="1"/>
  <c r="N368" i="3" s="1"/>
  <c r="O368" i="3" s="1"/>
  <c r="P368" i="3" s="1"/>
  <c r="Q368" i="3" s="1"/>
  <c r="R368" i="3" s="1"/>
  <c r="S368" i="3" s="1"/>
  <c r="T368" i="3" s="1"/>
  <c r="U368" i="3" s="1"/>
  <c r="V368" i="3" s="1"/>
  <c r="W368" i="3" s="1"/>
  <c r="X368" i="3" s="1"/>
  <c r="Y368" i="3" s="1"/>
  <c r="D10" i="3"/>
  <c r="D9" i="3"/>
  <c r="D8" i="3"/>
  <c r="E256" i="3" s="1"/>
  <c r="G104" i="2"/>
  <c r="G103" i="2"/>
  <c r="G102" i="2"/>
  <c r="G101" i="2"/>
  <c r="E84" i="2"/>
  <c r="D79" i="3" s="1"/>
  <c r="E83" i="2"/>
  <c r="D77" i="3" s="1"/>
  <c r="E81" i="2"/>
  <c r="D75" i="3" s="1"/>
  <c r="E80" i="2"/>
  <c r="D73" i="3" s="1"/>
  <c r="E72" i="2"/>
  <c r="D60" i="3" s="1"/>
  <c r="E71" i="2"/>
  <c r="D58" i="3" s="1"/>
  <c r="D56" i="3"/>
  <c r="G45" i="2"/>
  <c r="G43" i="2"/>
  <c r="F23" i="2"/>
  <c r="B36" i="3" s="1"/>
  <c r="B443" i="3" l="1"/>
  <c r="F71" i="2"/>
  <c r="E58" i="3" s="1"/>
  <c r="D6" i="6"/>
  <c r="F444" i="3"/>
  <c r="V444" i="3"/>
  <c r="W444" i="3"/>
  <c r="C20" i="6"/>
  <c r="Y444" i="3"/>
  <c r="J444" i="3"/>
  <c r="N444" i="3"/>
  <c r="R444" i="3"/>
  <c r="M444" i="3"/>
  <c r="I444" i="3"/>
  <c r="Q444" i="3"/>
  <c r="G444" i="3"/>
  <c r="O444" i="3"/>
  <c r="S444" i="3"/>
  <c r="K444" i="3"/>
  <c r="E313" i="3"/>
  <c r="R316" i="3"/>
  <c r="R318" i="3" s="1"/>
  <c r="H444" i="3"/>
  <c r="L444" i="3"/>
  <c r="P444" i="3"/>
  <c r="T444" i="3"/>
  <c r="X444" i="3"/>
  <c r="D64" i="3"/>
  <c r="B34" i="3"/>
  <c r="F70" i="2"/>
  <c r="G63" i="2"/>
  <c r="E6" i="6" s="1"/>
  <c r="E75" i="2"/>
  <c r="E363" i="3"/>
  <c r="F363" i="3" s="1"/>
  <c r="G363" i="3" s="1"/>
  <c r="H363" i="3" s="1"/>
  <c r="I363" i="3" s="1"/>
  <c r="J363" i="3" s="1"/>
  <c r="K363" i="3" s="1"/>
  <c r="L363" i="3" s="1"/>
  <c r="M363" i="3" s="1"/>
  <c r="N363" i="3" s="1"/>
  <c r="O363" i="3" s="1"/>
  <c r="P363" i="3" s="1"/>
  <c r="Q363" i="3" s="1"/>
  <c r="R363" i="3" s="1"/>
  <c r="S363" i="3" s="1"/>
  <c r="T363" i="3" s="1"/>
  <c r="U363" i="3" s="1"/>
  <c r="V363" i="3" s="1"/>
  <c r="W363" i="3" s="1"/>
  <c r="X363" i="3" s="1"/>
  <c r="Y363" i="3" s="1"/>
  <c r="AQ180" i="3"/>
  <c r="F208" i="3"/>
  <c r="D110" i="3"/>
  <c r="F72" i="2"/>
  <c r="E60" i="3" s="1"/>
  <c r="F80" i="2"/>
  <c r="F81" i="2"/>
  <c r="E75" i="3" s="1"/>
  <c r="F82" i="2"/>
  <c r="E77" i="3" s="1"/>
  <c r="F83" i="2"/>
  <c r="F84" i="2"/>
  <c r="E79" i="3" s="1"/>
  <c r="E257" i="3"/>
  <c r="E365" i="3" s="1"/>
  <c r="D95" i="3"/>
  <c r="E47" i="3"/>
  <c r="G181" i="3" s="1"/>
  <c r="X140" i="3"/>
  <c r="E258" i="3"/>
  <c r="E366" i="3" s="1"/>
  <c r="F366" i="3" s="1"/>
  <c r="G366" i="3" s="1"/>
  <c r="H366" i="3" s="1"/>
  <c r="I366" i="3" s="1"/>
  <c r="J366" i="3" s="1"/>
  <c r="K366" i="3" s="1"/>
  <c r="L366" i="3" s="1"/>
  <c r="M366" i="3" s="1"/>
  <c r="N366" i="3" s="1"/>
  <c r="O366" i="3" s="1"/>
  <c r="P366" i="3" s="1"/>
  <c r="Q366" i="3" s="1"/>
  <c r="R366" i="3" s="1"/>
  <c r="S366" i="3" s="1"/>
  <c r="T366" i="3" s="1"/>
  <c r="U366" i="3" s="1"/>
  <c r="V366" i="3" s="1"/>
  <c r="W366" i="3" s="1"/>
  <c r="X366" i="3" s="1"/>
  <c r="Y366" i="3" s="1"/>
  <c r="D100" i="3"/>
  <c r="E269" i="3"/>
  <c r="D126" i="3"/>
  <c r="D106" i="3"/>
  <c r="D107" i="3" s="1"/>
  <c r="H481" i="3"/>
  <c r="H316" i="3"/>
  <c r="H318" i="3" s="1"/>
  <c r="L481" i="3"/>
  <c r="L316" i="3"/>
  <c r="L318" i="3" s="1"/>
  <c r="P481" i="3"/>
  <c r="P316" i="3"/>
  <c r="P318" i="3" s="1"/>
  <c r="T481" i="3"/>
  <c r="T316" i="3"/>
  <c r="T318" i="3" s="1"/>
  <c r="X481" i="3"/>
  <c r="X316" i="3"/>
  <c r="X318" i="3" s="1"/>
  <c r="I481" i="3"/>
  <c r="I316" i="3"/>
  <c r="I318" i="3" s="1"/>
  <c r="M481" i="3"/>
  <c r="M316" i="3"/>
  <c r="M318" i="3" s="1"/>
  <c r="Q481" i="3"/>
  <c r="Q316" i="3"/>
  <c r="Q318" i="3" s="1"/>
  <c r="U481" i="3"/>
  <c r="U316" i="3"/>
  <c r="U318" i="3" s="1"/>
  <c r="Y481" i="3"/>
  <c r="Y316" i="3"/>
  <c r="Y318" i="3" s="1"/>
  <c r="F316" i="3"/>
  <c r="F318" i="3" s="1"/>
  <c r="V316" i="3"/>
  <c r="V318" i="3" s="1"/>
  <c r="J316" i="3"/>
  <c r="J318" i="3" s="1"/>
  <c r="G481" i="3"/>
  <c r="G316" i="3"/>
  <c r="G318" i="3" s="1"/>
  <c r="K481" i="3"/>
  <c r="K316" i="3"/>
  <c r="K318" i="3" s="1"/>
  <c r="O481" i="3"/>
  <c r="O316" i="3"/>
  <c r="O318" i="3" s="1"/>
  <c r="S481" i="3"/>
  <c r="S316" i="3"/>
  <c r="S318" i="3" s="1"/>
  <c r="W481" i="3"/>
  <c r="W316" i="3"/>
  <c r="W318" i="3" s="1"/>
  <c r="N316" i="3"/>
  <c r="N318" i="3" s="1"/>
  <c r="D140" i="3" l="1"/>
  <c r="D11" i="6"/>
  <c r="D13" i="6"/>
  <c r="D15" i="6"/>
  <c r="D16" i="6"/>
  <c r="D18" i="6"/>
  <c r="D9" i="6"/>
  <c r="D12" i="6"/>
  <c r="D14" i="6"/>
  <c r="D10" i="6"/>
  <c r="D19" i="6"/>
  <c r="D8" i="6"/>
  <c r="D17" i="6"/>
  <c r="E11" i="6"/>
  <c r="E15" i="6"/>
  <c r="E19" i="6"/>
  <c r="E16" i="6"/>
  <c r="E17" i="6"/>
  <c r="E12" i="6"/>
  <c r="E9" i="6"/>
  <c r="E13" i="6"/>
  <c r="E10" i="6"/>
  <c r="E14" i="6"/>
  <c r="E18" i="6"/>
  <c r="E8" i="6"/>
  <c r="E261" i="3"/>
  <c r="E282" i="3" s="1"/>
  <c r="E286" i="3" s="1"/>
  <c r="E139" i="3"/>
  <c r="G264" i="3" s="1"/>
  <c r="F265" i="3"/>
  <c r="F357" i="3" s="1"/>
  <c r="D23" i="3"/>
  <c r="D101" i="3"/>
  <c r="D102" i="3" s="1"/>
  <c r="F365" i="3"/>
  <c r="E369" i="3"/>
  <c r="E371" i="3" s="1"/>
  <c r="D111" i="3"/>
  <c r="F47" i="3"/>
  <c r="G84" i="2"/>
  <c r="F79" i="3" s="1"/>
  <c r="G83" i="2"/>
  <c r="G82" i="2"/>
  <c r="G81" i="2"/>
  <c r="F75" i="3" s="1"/>
  <c r="G80" i="2"/>
  <c r="H63" i="2"/>
  <c r="F6" i="6" s="1"/>
  <c r="G72" i="2"/>
  <c r="F60" i="3" s="1"/>
  <c r="G71" i="2"/>
  <c r="F58" i="3" s="1"/>
  <c r="G70" i="2"/>
  <c r="E56" i="3"/>
  <c r="E64" i="3" s="1"/>
  <c r="F75" i="2"/>
  <c r="E106" i="3"/>
  <c r="E105" i="3"/>
  <c r="E73" i="3"/>
  <c r="F183" i="3"/>
  <c r="E373" i="3"/>
  <c r="E317" i="3"/>
  <c r="D96" i="3"/>
  <c r="D97" i="3" s="1"/>
  <c r="D127" i="3"/>
  <c r="D128" i="3" s="1"/>
  <c r="G208" i="3"/>
  <c r="AR180" i="3"/>
  <c r="F264" i="3"/>
  <c r="D142" i="3"/>
  <c r="D112" i="3" l="1"/>
  <c r="D114" i="3"/>
  <c r="E316" i="3"/>
  <c r="E318" i="3" s="1"/>
  <c r="E320" i="3" s="1"/>
  <c r="E20" i="6"/>
  <c r="F18" i="6"/>
  <c r="F14" i="6"/>
  <c r="F10" i="6"/>
  <c r="F13" i="6"/>
  <c r="F9" i="6"/>
  <c r="F12" i="6"/>
  <c r="F17" i="6"/>
  <c r="F16" i="6"/>
  <c r="F19" i="6"/>
  <c r="F15" i="6"/>
  <c r="F11" i="6"/>
  <c r="F8" i="6"/>
  <c r="D20" i="6"/>
  <c r="F77" i="3"/>
  <c r="D25" i="3"/>
  <c r="D27" i="3" s="1"/>
  <c r="D36" i="3" s="1"/>
  <c r="E127" i="3"/>
  <c r="E126" i="3"/>
  <c r="E111" i="3"/>
  <c r="E110" i="3"/>
  <c r="E96" i="3"/>
  <c r="E95" i="3"/>
  <c r="E100" i="3"/>
  <c r="E101" i="3"/>
  <c r="F356" i="3"/>
  <c r="G356" i="3" s="1"/>
  <c r="F267" i="3"/>
  <c r="F478" i="3"/>
  <c r="F238" i="3"/>
  <c r="F306" i="3" s="1"/>
  <c r="D83" i="3"/>
  <c r="F188" i="3"/>
  <c r="F215" i="3" s="1"/>
  <c r="E85" i="2"/>
  <c r="H181" i="3"/>
  <c r="F139" i="3"/>
  <c r="G183" i="3"/>
  <c r="E140" i="3"/>
  <c r="I63" i="2"/>
  <c r="G6" i="6" s="1"/>
  <c r="H84" i="2"/>
  <c r="G79" i="3" s="1"/>
  <c r="H83" i="2"/>
  <c r="H80" i="2"/>
  <c r="H72" i="2"/>
  <c r="G60" i="3" s="1"/>
  <c r="H71" i="2"/>
  <c r="G58" i="3" s="1"/>
  <c r="H70" i="2"/>
  <c r="G47" i="3"/>
  <c r="H81" i="2"/>
  <c r="G75" i="3" s="1"/>
  <c r="H82" i="2"/>
  <c r="D143" i="3"/>
  <c r="G365" i="3"/>
  <c r="F369" i="3"/>
  <c r="F210" i="3"/>
  <c r="F185" i="3"/>
  <c r="E107" i="3"/>
  <c r="G75" i="2"/>
  <c r="F56" i="3"/>
  <c r="F64" i="3" s="1"/>
  <c r="F73" i="3"/>
  <c r="F20" i="6" l="1"/>
  <c r="G77" i="3"/>
  <c r="G15" i="6"/>
  <c r="G16" i="6"/>
  <c r="G17" i="6"/>
  <c r="G18" i="6"/>
  <c r="G19" i="6"/>
  <c r="G8" i="6"/>
  <c r="G9" i="6"/>
  <c r="G10" i="6"/>
  <c r="G11" i="6"/>
  <c r="G12" i="6"/>
  <c r="G13" i="6"/>
  <c r="G14" i="6"/>
  <c r="D34" i="3"/>
  <c r="D38" i="3" s="1"/>
  <c r="D485" i="3"/>
  <c r="F373" i="3"/>
  <c r="E245" i="3"/>
  <c r="E325" i="3" s="1"/>
  <c r="E328" i="3" s="1"/>
  <c r="E161" i="3"/>
  <c r="E163" i="3" s="1"/>
  <c r="F162" i="3" s="1"/>
  <c r="F272" i="3" s="1"/>
  <c r="E97" i="3"/>
  <c r="F95" i="3" s="1"/>
  <c r="E128" i="3"/>
  <c r="F127" i="3" s="1"/>
  <c r="E112" i="3"/>
  <c r="F111" i="3" s="1"/>
  <c r="H208" i="3"/>
  <c r="AS180" i="3"/>
  <c r="I181" i="3"/>
  <c r="G139" i="3"/>
  <c r="G73" i="3"/>
  <c r="D81" i="3"/>
  <c r="D85" i="3" s="1"/>
  <c r="D172" i="3" s="1"/>
  <c r="E87" i="2"/>
  <c r="C22" i="6" s="1"/>
  <c r="E102" i="3"/>
  <c r="G369" i="3"/>
  <c r="H365" i="3"/>
  <c r="G56" i="3"/>
  <c r="G64" i="3" s="1"/>
  <c r="H75" i="2"/>
  <c r="G265" i="3"/>
  <c r="E142" i="3"/>
  <c r="F477" i="3"/>
  <c r="F237" i="3"/>
  <c r="F309" i="3"/>
  <c r="H183" i="3"/>
  <c r="F140" i="3"/>
  <c r="H265" i="3" s="1"/>
  <c r="I72" i="2"/>
  <c r="H60" i="3" s="1"/>
  <c r="I71" i="2"/>
  <c r="H58" i="3" s="1"/>
  <c r="I70" i="2"/>
  <c r="J63" i="2"/>
  <c r="H6" i="6" s="1"/>
  <c r="H47" i="3"/>
  <c r="I84" i="2"/>
  <c r="H79" i="3" s="1"/>
  <c r="I83" i="2"/>
  <c r="I82" i="2"/>
  <c r="I81" i="2"/>
  <c r="H75" i="3" s="1"/>
  <c r="I80" i="2"/>
  <c r="F105" i="3"/>
  <c r="F106" i="3"/>
  <c r="F418" i="3"/>
  <c r="F212" i="3"/>
  <c r="G210" i="3"/>
  <c r="G185" i="3"/>
  <c r="H264" i="3"/>
  <c r="E114" i="3"/>
  <c r="F85" i="2"/>
  <c r="G478" i="3"/>
  <c r="G238" i="3"/>
  <c r="G306" i="3" s="1"/>
  <c r="E83" i="3"/>
  <c r="G188" i="3"/>
  <c r="G215" i="3" s="1"/>
  <c r="H77" i="3" l="1"/>
  <c r="H9" i="6"/>
  <c r="H18" i="6"/>
  <c r="H16" i="6"/>
  <c r="H14" i="6"/>
  <c r="H12" i="6"/>
  <c r="H10" i="6"/>
  <c r="H8" i="6"/>
  <c r="H19" i="6"/>
  <c r="H17" i="6"/>
  <c r="H15" i="6"/>
  <c r="H13" i="6"/>
  <c r="H11" i="6"/>
  <c r="G20" i="6"/>
  <c r="E241" i="3"/>
  <c r="F161" i="3"/>
  <c r="F163" i="3" s="1"/>
  <c r="E246" i="3"/>
  <c r="C32" i="6"/>
  <c r="C31" i="6"/>
  <c r="C30" i="6"/>
  <c r="C35" i="6"/>
  <c r="C34" i="6"/>
  <c r="C33" i="6"/>
  <c r="H210" i="3"/>
  <c r="F96" i="3"/>
  <c r="F97" i="3" s="1"/>
  <c r="F126" i="3"/>
  <c r="F128" i="3" s="1"/>
  <c r="F110" i="3"/>
  <c r="F112" i="3" s="1"/>
  <c r="F142" i="3"/>
  <c r="F143" i="3" s="1"/>
  <c r="H267" i="3"/>
  <c r="H309" i="3" s="1"/>
  <c r="G373" i="3"/>
  <c r="F101" i="3"/>
  <c r="F100" i="3"/>
  <c r="E81" i="3"/>
  <c r="E85" i="3" s="1"/>
  <c r="F87" i="2"/>
  <c r="J72" i="2"/>
  <c r="I60" i="3" s="1"/>
  <c r="I47" i="3"/>
  <c r="J84" i="2"/>
  <c r="I79" i="3" s="1"/>
  <c r="J83" i="2"/>
  <c r="J82" i="2"/>
  <c r="J81" i="2"/>
  <c r="I75" i="3" s="1"/>
  <c r="J80" i="2"/>
  <c r="J70" i="2"/>
  <c r="K63" i="2"/>
  <c r="I6" i="6" s="1"/>
  <c r="J71" i="2"/>
  <c r="I58" i="3" s="1"/>
  <c r="G267" i="3"/>
  <c r="G357" i="3"/>
  <c r="H357" i="3" s="1"/>
  <c r="E391" i="3"/>
  <c r="E336" i="3"/>
  <c r="E340" i="3" s="1"/>
  <c r="E342" i="3" s="1"/>
  <c r="AT180" i="3"/>
  <c r="I208" i="3"/>
  <c r="J181" i="3"/>
  <c r="H139" i="3"/>
  <c r="E143" i="3"/>
  <c r="G477" i="3"/>
  <c r="G237" i="3"/>
  <c r="G305" i="3" s="1"/>
  <c r="H56" i="3"/>
  <c r="H64" i="3" s="1"/>
  <c r="I75" i="2"/>
  <c r="H478" i="3"/>
  <c r="F83" i="3"/>
  <c r="H188" i="3"/>
  <c r="H215" i="3" s="1"/>
  <c r="H238" i="3"/>
  <c r="H306" i="3" s="1"/>
  <c r="E380" i="3"/>
  <c r="F276" i="3"/>
  <c r="H369" i="3"/>
  <c r="I365" i="3"/>
  <c r="F187" i="3"/>
  <c r="D146" i="3"/>
  <c r="I264" i="3"/>
  <c r="H356" i="3"/>
  <c r="G418" i="3"/>
  <c r="G212" i="3"/>
  <c r="F107" i="3"/>
  <c r="H73" i="3"/>
  <c r="F370" i="3"/>
  <c r="F305" i="3"/>
  <c r="I183" i="3"/>
  <c r="G140" i="3"/>
  <c r="I265" i="3" s="1"/>
  <c r="H185" i="3"/>
  <c r="E248" i="3" l="1"/>
  <c r="E252" i="3" s="1"/>
  <c r="E288" i="3" s="1"/>
  <c r="E292" i="3" s="1"/>
  <c r="I77" i="3"/>
  <c r="H20" i="6"/>
  <c r="I9" i="6"/>
  <c r="I8" i="6"/>
  <c r="I19" i="6"/>
  <c r="I18" i="6"/>
  <c r="I15" i="6"/>
  <c r="I17" i="6"/>
  <c r="I10" i="6"/>
  <c r="I14" i="6"/>
  <c r="I11" i="6"/>
  <c r="I13" i="6"/>
  <c r="I12" i="6"/>
  <c r="I16" i="6"/>
  <c r="D22" i="6"/>
  <c r="C36" i="6"/>
  <c r="C38" i="6" s="1"/>
  <c r="I210" i="3"/>
  <c r="F114" i="3"/>
  <c r="H477" i="3" s="1"/>
  <c r="G85" i="2"/>
  <c r="F81" i="3" s="1"/>
  <c r="F85" i="3" s="1"/>
  <c r="I356" i="3"/>
  <c r="G142" i="3"/>
  <c r="G143" i="3" s="1"/>
  <c r="F102" i="3"/>
  <c r="G100" i="3" s="1"/>
  <c r="E344" i="3"/>
  <c r="F341" i="3"/>
  <c r="J183" i="3"/>
  <c r="H140" i="3"/>
  <c r="J265" i="3" s="1"/>
  <c r="AU180" i="3"/>
  <c r="J208" i="3"/>
  <c r="I56" i="3"/>
  <c r="I64" i="3" s="1"/>
  <c r="J75" i="2"/>
  <c r="H418" i="3"/>
  <c r="H212" i="3"/>
  <c r="F214" i="3"/>
  <c r="F190" i="3"/>
  <c r="E394" i="3"/>
  <c r="D508" i="3" s="1"/>
  <c r="F391" i="3"/>
  <c r="G127" i="3"/>
  <c r="G126" i="3"/>
  <c r="I73" i="3"/>
  <c r="G162" i="3"/>
  <c r="G272" i="3" s="1"/>
  <c r="G161" i="3"/>
  <c r="F164" i="3"/>
  <c r="F192" i="3" s="1"/>
  <c r="G187" i="3"/>
  <c r="E172" i="3"/>
  <c r="E146" i="3"/>
  <c r="G370" i="3"/>
  <c r="F371" i="3"/>
  <c r="F428" i="3" s="1"/>
  <c r="G106" i="3"/>
  <c r="G105" i="3"/>
  <c r="I267" i="3"/>
  <c r="E383" i="3"/>
  <c r="E386" i="3"/>
  <c r="G95" i="3"/>
  <c r="G96" i="3"/>
  <c r="J365" i="3"/>
  <c r="I369" i="3"/>
  <c r="I357" i="3"/>
  <c r="K181" i="3"/>
  <c r="I139" i="3"/>
  <c r="D148" i="3"/>
  <c r="F244" i="3"/>
  <c r="G110" i="3"/>
  <c r="G111" i="3"/>
  <c r="J264" i="3"/>
  <c r="I185" i="3"/>
  <c r="E355" i="3"/>
  <c r="E359" i="3" s="1"/>
  <c r="E375" i="3" s="1"/>
  <c r="F290" i="3"/>
  <c r="G309" i="3"/>
  <c r="J47" i="3"/>
  <c r="K84" i="2"/>
  <c r="J79" i="3" s="1"/>
  <c r="K83" i="2"/>
  <c r="K82" i="2"/>
  <c r="K81" i="2"/>
  <c r="J75" i="3" s="1"/>
  <c r="K80" i="2"/>
  <c r="L63" i="2"/>
  <c r="J6" i="6" s="1"/>
  <c r="K72" i="2"/>
  <c r="J60" i="3" s="1"/>
  <c r="K71" i="2"/>
  <c r="J58" i="3" s="1"/>
  <c r="K70" i="2"/>
  <c r="H373" i="3"/>
  <c r="J77" i="3" l="1"/>
  <c r="I20" i="6"/>
  <c r="J10" i="6"/>
  <c r="J19" i="6"/>
  <c r="J11" i="6"/>
  <c r="J14" i="6"/>
  <c r="J9" i="6"/>
  <c r="J12" i="6"/>
  <c r="J13" i="6"/>
  <c r="J16" i="6"/>
  <c r="J17" i="6"/>
  <c r="J18" i="6"/>
  <c r="J8" i="6"/>
  <c r="J15" i="6"/>
  <c r="D25" i="6"/>
  <c r="D32" i="6"/>
  <c r="D26" i="6"/>
  <c r="D33" i="6"/>
  <c r="D27" i="6"/>
  <c r="D34" i="6"/>
  <c r="D31" i="6"/>
  <c r="D35" i="6"/>
  <c r="D28" i="6"/>
  <c r="D29" i="6"/>
  <c r="D30" i="6"/>
  <c r="D24" i="6"/>
  <c r="H237" i="3"/>
  <c r="H305" i="3" s="1"/>
  <c r="J267" i="3"/>
  <c r="J309" i="3" s="1"/>
  <c r="J210" i="3"/>
  <c r="G87" i="2"/>
  <c r="E22" i="6" s="1"/>
  <c r="G101" i="3"/>
  <c r="G114" i="3" s="1"/>
  <c r="J185" i="3"/>
  <c r="J418" i="3" s="1"/>
  <c r="G112" i="3"/>
  <c r="H111" i="3" s="1"/>
  <c r="K75" i="2"/>
  <c r="J56" i="3"/>
  <c r="J64" i="3" s="1"/>
  <c r="I478" i="3"/>
  <c r="I238" i="3"/>
  <c r="I306" i="3" s="1"/>
  <c r="I188" i="3"/>
  <c r="I215" i="3" s="1"/>
  <c r="G83" i="3"/>
  <c r="L181" i="3"/>
  <c r="J139" i="3"/>
  <c r="F379" i="3"/>
  <c r="F310" i="3"/>
  <c r="F311" i="3" s="1"/>
  <c r="F246" i="3"/>
  <c r="J357" i="3"/>
  <c r="K365" i="3"/>
  <c r="J369" i="3"/>
  <c r="E388" i="3"/>
  <c r="E396" i="3" s="1"/>
  <c r="E398" i="3" s="1"/>
  <c r="G214" i="3"/>
  <c r="G190" i="3"/>
  <c r="G391" i="3"/>
  <c r="F474" i="3"/>
  <c r="F419" i="3"/>
  <c r="F406" i="3"/>
  <c r="F304" i="3"/>
  <c r="F307" i="3" s="1"/>
  <c r="F236" i="3"/>
  <c r="F239" i="3" s="1"/>
  <c r="F217" i="3"/>
  <c r="F194" i="3"/>
  <c r="K208" i="3"/>
  <c r="AV180" i="3"/>
  <c r="D505" i="3"/>
  <c r="H187" i="3"/>
  <c r="F146" i="3"/>
  <c r="F172" i="3"/>
  <c r="K183" i="3"/>
  <c r="I140" i="3"/>
  <c r="K265" i="3" s="1"/>
  <c r="I309" i="3"/>
  <c r="H370" i="3"/>
  <c r="G371" i="3"/>
  <c r="G428" i="3" s="1"/>
  <c r="F278" i="3"/>
  <c r="F219" i="3"/>
  <c r="J73" i="3"/>
  <c r="F380" i="3"/>
  <c r="F386" i="3" s="1"/>
  <c r="I418" i="3"/>
  <c r="I212" i="3"/>
  <c r="D149" i="3"/>
  <c r="D151" i="3"/>
  <c r="D153" i="3" s="1"/>
  <c r="M63" i="2"/>
  <c r="K6" i="6" s="1"/>
  <c r="L81" i="2"/>
  <c r="K75" i="3" s="1"/>
  <c r="L72" i="2"/>
  <c r="K60" i="3" s="1"/>
  <c r="L71" i="2"/>
  <c r="K58" i="3" s="1"/>
  <c r="L70" i="2"/>
  <c r="L82" i="2"/>
  <c r="K47" i="3"/>
  <c r="L84" i="2"/>
  <c r="K79" i="3" s="1"/>
  <c r="L83" i="2"/>
  <c r="L80" i="2"/>
  <c r="H142" i="3"/>
  <c r="K264" i="3"/>
  <c r="G97" i="3"/>
  <c r="G107" i="3"/>
  <c r="G244" i="3"/>
  <c r="E148" i="3"/>
  <c r="G163" i="3"/>
  <c r="G128" i="3"/>
  <c r="J356" i="3"/>
  <c r="K77" i="3" l="1"/>
  <c r="K8" i="6"/>
  <c r="K18" i="6"/>
  <c r="K19" i="6"/>
  <c r="K13" i="6"/>
  <c r="K16" i="6"/>
  <c r="K17" i="6"/>
  <c r="K11" i="6"/>
  <c r="K14" i="6"/>
  <c r="K15" i="6"/>
  <c r="K9" i="6"/>
  <c r="K12" i="6"/>
  <c r="K10" i="6"/>
  <c r="J20" i="6"/>
  <c r="E25" i="6"/>
  <c r="E31" i="6"/>
  <c r="E34" i="6"/>
  <c r="E35" i="6"/>
  <c r="E26" i="6"/>
  <c r="E27" i="6"/>
  <c r="E29" i="6"/>
  <c r="E30" i="6"/>
  <c r="E32" i="6"/>
  <c r="E28" i="6"/>
  <c r="E33" i="6"/>
  <c r="D36" i="6"/>
  <c r="D38" i="6" s="1"/>
  <c r="H85" i="2"/>
  <c r="H87" i="2" s="1"/>
  <c r="F22" i="6" s="1"/>
  <c r="E24" i="6"/>
  <c r="F248" i="3"/>
  <c r="F313" i="3"/>
  <c r="F320" i="3" s="1"/>
  <c r="G102" i="3"/>
  <c r="H101" i="3" s="1"/>
  <c r="K210" i="3"/>
  <c r="J212" i="3"/>
  <c r="K267" i="3"/>
  <c r="K309" i="3" s="1"/>
  <c r="I142" i="3"/>
  <c r="I143" i="3" s="1"/>
  <c r="H110" i="3"/>
  <c r="H112" i="3" s="1"/>
  <c r="I110" i="3" s="1"/>
  <c r="I373" i="3"/>
  <c r="K356" i="3"/>
  <c r="K73" i="3"/>
  <c r="G419" i="3"/>
  <c r="G474" i="3"/>
  <c r="G406" i="3"/>
  <c r="G304" i="3"/>
  <c r="G307" i="3" s="1"/>
  <c r="G236" i="3"/>
  <c r="G239" i="3" s="1"/>
  <c r="G217" i="3"/>
  <c r="K369" i="3"/>
  <c r="L365" i="3"/>
  <c r="H127" i="3"/>
  <c r="H126" i="3"/>
  <c r="G246" i="3"/>
  <c r="L75" i="2"/>
  <c r="K56" i="3"/>
  <c r="K64" i="3" s="1"/>
  <c r="M72" i="2"/>
  <c r="L60" i="3" s="1"/>
  <c r="M71" i="2"/>
  <c r="L58" i="3" s="1"/>
  <c r="M70" i="2"/>
  <c r="L47" i="3"/>
  <c r="M84" i="2"/>
  <c r="L79" i="3" s="1"/>
  <c r="M83" i="2"/>
  <c r="M82" i="2"/>
  <c r="M81" i="2"/>
  <c r="L75" i="3" s="1"/>
  <c r="M80" i="2"/>
  <c r="N63" i="2"/>
  <c r="L6" i="6" s="1"/>
  <c r="F326" i="3"/>
  <c r="F282" i="3"/>
  <c r="F286" i="3" s="1"/>
  <c r="H244" i="3"/>
  <c r="F148" i="3"/>
  <c r="F475" i="3"/>
  <c r="K357" i="3"/>
  <c r="G379" i="3"/>
  <c r="H106" i="3"/>
  <c r="H105" i="3"/>
  <c r="H143" i="3"/>
  <c r="I477" i="3"/>
  <c r="I237" i="3"/>
  <c r="I305" i="3" s="1"/>
  <c r="H214" i="3"/>
  <c r="H190" i="3"/>
  <c r="K185" i="3"/>
  <c r="F221" i="3"/>
  <c r="F196" i="3"/>
  <c r="F198" i="3" s="1"/>
  <c r="F409" i="3"/>
  <c r="H391" i="3"/>
  <c r="L264" i="3"/>
  <c r="L183" i="3"/>
  <c r="J140" i="3"/>
  <c r="L265" i="3" s="1"/>
  <c r="E149" i="3"/>
  <c r="E151" i="3"/>
  <c r="E153" i="3" s="1"/>
  <c r="H162" i="3"/>
  <c r="H272" i="3" s="1"/>
  <c r="H161" i="3"/>
  <c r="G164" i="3"/>
  <c r="H96" i="3"/>
  <c r="H95" i="3"/>
  <c r="M181" i="3"/>
  <c r="K139" i="3"/>
  <c r="H371" i="3"/>
  <c r="H428" i="3" s="1"/>
  <c r="G81" i="3"/>
  <c r="G85" i="3" s="1"/>
  <c r="L208" i="3"/>
  <c r="AW180" i="3"/>
  <c r="L77" i="3" l="1"/>
  <c r="L9" i="6"/>
  <c r="L10" i="6"/>
  <c r="L11" i="6"/>
  <c r="L12" i="6"/>
  <c r="L13" i="6"/>
  <c r="L14" i="6"/>
  <c r="L8" i="6"/>
  <c r="L16" i="6"/>
  <c r="L17" i="6"/>
  <c r="L15" i="6"/>
  <c r="L18" i="6"/>
  <c r="L19" i="6"/>
  <c r="K20" i="6"/>
  <c r="F33" i="6"/>
  <c r="F31" i="6"/>
  <c r="F34" i="6"/>
  <c r="F35" i="6"/>
  <c r="F30" i="6"/>
  <c r="F26" i="6"/>
  <c r="F27" i="6"/>
  <c r="F28" i="6"/>
  <c r="F29" i="6"/>
  <c r="F25" i="6"/>
  <c r="F32" i="6"/>
  <c r="H100" i="3"/>
  <c r="H102" i="3" s="1"/>
  <c r="F24" i="6"/>
  <c r="E36" i="6"/>
  <c r="E38" i="6" s="1"/>
  <c r="I370" i="3"/>
  <c r="I371" i="3" s="1"/>
  <c r="I428" i="3" s="1"/>
  <c r="F476" i="3"/>
  <c r="F479" i="3" s="1"/>
  <c r="L210" i="3"/>
  <c r="H97" i="3"/>
  <c r="I96" i="3" s="1"/>
  <c r="L267" i="3"/>
  <c r="L309" i="3" s="1"/>
  <c r="H163" i="3"/>
  <c r="H164" i="3" s="1"/>
  <c r="I111" i="3"/>
  <c r="I112" i="3" s="1"/>
  <c r="F250" i="3"/>
  <c r="F252" i="3" s="1"/>
  <c r="F288" i="3" s="1"/>
  <c r="F292" i="3" s="1"/>
  <c r="G290" i="3" s="1"/>
  <c r="F420" i="3"/>
  <c r="F434" i="3" s="1"/>
  <c r="F415" i="3"/>
  <c r="F393" i="3"/>
  <c r="G280" i="3"/>
  <c r="G338" i="3" s="1"/>
  <c r="F225" i="3"/>
  <c r="AQ181" i="3"/>
  <c r="BD180" i="3" s="1"/>
  <c r="H379" i="3"/>
  <c r="L73" i="3"/>
  <c r="J478" i="3"/>
  <c r="J238" i="3"/>
  <c r="H83" i="3"/>
  <c r="J188" i="3"/>
  <c r="J215" i="3" s="1"/>
  <c r="I187" i="3"/>
  <c r="G146" i="3"/>
  <c r="G172" i="3"/>
  <c r="AX180" i="3"/>
  <c r="M208" i="3"/>
  <c r="J142" i="3"/>
  <c r="L356" i="3"/>
  <c r="N181" i="3"/>
  <c r="L139" i="3"/>
  <c r="M183" i="3"/>
  <c r="K140" i="3"/>
  <c r="M265" i="3" s="1"/>
  <c r="G409" i="3"/>
  <c r="K418" i="3"/>
  <c r="K212" i="3"/>
  <c r="L357" i="3"/>
  <c r="F149" i="3"/>
  <c r="F151" i="3"/>
  <c r="F153" i="3" s="1"/>
  <c r="L56" i="3"/>
  <c r="L64" i="3" s="1"/>
  <c r="M75" i="2"/>
  <c r="G475" i="3"/>
  <c r="M264" i="3"/>
  <c r="I391" i="3"/>
  <c r="L185" i="3"/>
  <c r="H114" i="3"/>
  <c r="I85" i="2"/>
  <c r="G380" i="3"/>
  <c r="G386" i="3" s="1"/>
  <c r="F480" i="3"/>
  <c r="F407" i="3"/>
  <c r="F408" i="3" s="1"/>
  <c r="F382" i="3"/>
  <c r="G273" i="3"/>
  <c r="F223" i="3"/>
  <c r="F414" i="3"/>
  <c r="H474" i="3"/>
  <c r="H419" i="3"/>
  <c r="H406" i="3"/>
  <c r="H217" i="3"/>
  <c r="H236" i="3"/>
  <c r="H239" i="3" s="1"/>
  <c r="H304" i="3"/>
  <c r="H307" i="3" s="1"/>
  <c r="H107" i="3"/>
  <c r="H246" i="3"/>
  <c r="N70" i="2"/>
  <c r="M47" i="3"/>
  <c r="N84" i="2"/>
  <c r="M79" i="3" s="1"/>
  <c r="N83" i="2"/>
  <c r="N82" i="2"/>
  <c r="N81" i="2"/>
  <c r="M75" i="3" s="1"/>
  <c r="N80" i="2"/>
  <c r="N71" i="2"/>
  <c r="M58" i="3" s="1"/>
  <c r="O63" i="2"/>
  <c r="M6" i="6" s="1"/>
  <c r="N72" i="2"/>
  <c r="M60" i="3" s="1"/>
  <c r="H128" i="3"/>
  <c r="L369" i="3"/>
  <c r="M365" i="3"/>
  <c r="G248" i="3"/>
  <c r="M77" i="3" l="1"/>
  <c r="L20" i="6"/>
  <c r="M13" i="6"/>
  <c r="M15" i="6"/>
  <c r="M18" i="6"/>
  <c r="M9" i="6"/>
  <c r="M10" i="6"/>
  <c r="M11" i="6"/>
  <c r="M12" i="6"/>
  <c r="M14" i="6"/>
  <c r="M17" i="6"/>
  <c r="M8" i="6"/>
  <c r="M16" i="6"/>
  <c r="M19" i="6"/>
  <c r="F36" i="6"/>
  <c r="F38" i="6" s="1"/>
  <c r="F482" i="3"/>
  <c r="F485" i="3" s="1"/>
  <c r="I161" i="3"/>
  <c r="G476" i="3"/>
  <c r="G479" i="3" s="1"/>
  <c r="M210" i="3"/>
  <c r="G274" i="3"/>
  <c r="G276" i="3" s="1"/>
  <c r="I95" i="3"/>
  <c r="I97" i="3" s="1"/>
  <c r="J96" i="3" s="1"/>
  <c r="I162" i="3"/>
  <c r="I272" i="3" s="1"/>
  <c r="H380" i="3" s="1"/>
  <c r="H386" i="3" s="1"/>
  <c r="K142" i="3"/>
  <c r="K143" i="3" s="1"/>
  <c r="M357" i="3"/>
  <c r="F381" i="3"/>
  <c r="F383" i="3" s="1"/>
  <c r="F388" i="3" s="1"/>
  <c r="F355" i="3"/>
  <c r="F359" i="3" s="1"/>
  <c r="F411" i="3" s="1"/>
  <c r="M267" i="3"/>
  <c r="M309" i="3" s="1"/>
  <c r="F325" i="3"/>
  <c r="F328" i="3" s="1"/>
  <c r="F340" i="3" s="1"/>
  <c r="F342" i="3" s="1"/>
  <c r="F344" i="3" s="1"/>
  <c r="N47" i="3"/>
  <c r="O84" i="2"/>
  <c r="N79" i="3" s="1"/>
  <c r="O83" i="2"/>
  <c r="O82" i="2"/>
  <c r="O81" i="2"/>
  <c r="N75" i="3" s="1"/>
  <c r="O80" i="2"/>
  <c r="P63" i="2"/>
  <c r="N6" i="6" s="1"/>
  <c r="O72" i="2"/>
  <c r="N60" i="3" s="1"/>
  <c r="O71" i="2"/>
  <c r="N58" i="3" s="1"/>
  <c r="O70" i="2"/>
  <c r="H409" i="3"/>
  <c r="L418" i="3"/>
  <c r="L212" i="3"/>
  <c r="AY180" i="3"/>
  <c r="N208" i="3"/>
  <c r="I214" i="3"/>
  <c r="I190" i="3"/>
  <c r="H248" i="3"/>
  <c r="J477" i="3"/>
  <c r="J237" i="3"/>
  <c r="N183" i="3"/>
  <c r="L140" i="3"/>
  <c r="N265" i="3" s="1"/>
  <c r="M356" i="3"/>
  <c r="G392" i="3"/>
  <c r="F394" i="3"/>
  <c r="N365" i="3"/>
  <c r="M369" i="3"/>
  <c r="M56" i="3"/>
  <c r="M64" i="3" s="1"/>
  <c r="N75" i="2"/>
  <c r="H81" i="3"/>
  <c r="H85" i="3" s="1"/>
  <c r="I87" i="2"/>
  <c r="G22" i="6" s="1"/>
  <c r="I127" i="3"/>
  <c r="I126" i="3"/>
  <c r="G310" i="3"/>
  <c r="G311" i="3" s="1"/>
  <c r="G313" i="3" s="1"/>
  <c r="G320" i="3" s="1"/>
  <c r="J391" i="3"/>
  <c r="G480" i="3"/>
  <c r="G407" i="3"/>
  <c r="G408" i="3" s="1"/>
  <c r="J111" i="3"/>
  <c r="J110" i="3"/>
  <c r="I100" i="3"/>
  <c r="I101" i="3"/>
  <c r="M185" i="3"/>
  <c r="M73" i="3"/>
  <c r="O181" i="3"/>
  <c r="M139" i="3"/>
  <c r="I106" i="3"/>
  <c r="I105" i="3"/>
  <c r="H475" i="3"/>
  <c r="N264" i="3"/>
  <c r="J143" i="3"/>
  <c r="I244" i="3"/>
  <c r="G148" i="3"/>
  <c r="J306" i="3"/>
  <c r="J373" i="3"/>
  <c r="N77" i="3" l="1"/>
  <c r="M20" i="6"/>
  <c r="N10" i="6"/>
  <c r="N12" i="6"/>
  <c r="N11" i="6"/>
  <c r="N14" i="6"/>
  <c r="N15" i="6"/>
  <c r="N16" i="6"/>
  <c r="N17" i="6"/>
  <c r="N18" i="6"/>
  <c r="N19" i="6"/>
  <c r="N9" i="6"/>
  <c r="N13" i="6"/>
  <c r="N8" i="6"/>
  <c r="G28" i="6"/>
  <c r="G26" i="6"/>
  <c r="G27" i="6"/>
  <c r="G34" i="6"/>
  <c r="G35" i="6"/>
  <c r="G25" i="6"/>
  <c r="G30" i="6"/>
  <c r="G33" i="6"/>
  <c r="G32" i="6"/>
  <c r="G29" i="6"/>
  <c r="G31" i="6"/>
  <c r="G24" i="6"/>
  <c r="G482" i="3"/>
  <c r="G485" i="3" s="1"/>
  <c r="H476" i="3"/>
  <c r="H479" i="3" s="1"/>
  <c r="N210" i="3"/>
  <c r="F375" i="3"/>
  <c r="F424" i="3" s="1"/>
  <c r="G284" i="3"/>
  <c r="G192" i="3" s="1"/>
  <c r="G278" i="3" s="1"/>
  <c r="G326" i="3" s="1"/>
  <c r="F429" i="3"/>
  <c r="N357" i="3"/>
  <c r="G341" i="3"/>
  <c r="I163" i="3"/>
  <c r="J161" i="3" s="1"/>
  <c r="F448" i="3"/>
  <c r="I102" i="3"/>
  <c r="J101" i="3" s="1"/>
  <c r="J95" i="3"/>
  <c r="J97" i="3" s="1"/>
  <c r="L142" i="3"/>
  <c r="L143" i="3" s="1"/>
  <c r="N267" i="3"/>
  <c r="N309" i="3" s="1"/>
  <c r="I114" i="3"/>
  <c r="K237" i="3" s="1"/>
  <c r="K305" i="3" s="1"/>
  <c r="I107" i="3"/>
  <c r="J106" i="3" s="1"/>
  <c r="I128" i="3"/>
  <c r="J127" i="3" s="1"/>
  <c r="N185" i="3"/>
  <c r="N418" i="3" s="1"/>
  <c r="O264" i="3"/>
  <c r="P181" i="3"/>
  <c r="N139" i="3"/>
  <c r="I246" i="3"/>
  <c r="O208" i="3"/>
  <c r="AZ180" i="3"/>
  <c r="K478" i="3"/>
  <c r="K238" i="3"/>
  <c r="K306" i="3" s="1"/>
  <c r="I83" i="3"/>
  <c r="K188" i="3"/>
  <c r="K215" i="3" s="1"/>
  <c r="J187" i="3"/>
  <c r="H172" i="3"/>
  <c r="H146" i="3"/>
  <c r="O365" i="3"/>
  <c r="N369" i="3"/>
  <c r="F449" i="3"/>
  <c r="F450" i="3" s="1"/>
  <c r="F454" i="3" s="1"/>
  <c r="F410" i="3"/>
  <c r="N356" i="3"/>
  <c r="G149" i="3"/>
  <c r="G151" i="3"/>
  <c r="G153" i="3" s="1"/>
  <c r="J85" i="2"/>
  <c r="F396" i="3"/>
  <c r="Q63" i="2"/>
  <c r="O6" i="6" s="1"/>
  <c r="O47" i="3"/>
  <c r="P82" i="2"/>
  <c r="P72" i="2"/>
  <c r="O60" i="3" s="1"/>
  <c r="P71" i="2"/>
  <c r="O58" i="3" s="1"/>
  <c r="P70" i="2"/>
  <c r="P84" i="2"/>
  <c r="O79" i="3" s="1"/>
  <c r="P83" i="2"/>
  <c r="P80" i="2"/>
  <c r="P81" i="2"/>
  <c r="O75" i="3" s="1"/>
  <c r="M418" i="3"/>
  <c r="M212" i="3"/>
  <c r="K391" i="3"/>
  <c r="J112" i="3"/>
  <c r="O183" i="3"/>
  <c r="M140" i="3"/>
  <c r="O265" i="3" s="1"/>
  <c r="I379" i="3"/>
  <c r="J305" i="3"/>
  <c r="J370" i="3"/>
  <c r="I474" i="3"/>
  <c r="I419" i="3"/>
  <c r="I406" i="3"/>
  <c r="I304" i="3"/>
  <c r="I307" i="3" s="1"/>
  <c r="I236" i="3"/>
  <c r="I239" i="3" s="1"/>
  <c r="I217" i="3"/>
  <c r="N56" i="3"/>
  <c r="N73" i="3"/>
  <c r="O77" i="3" l="1"/>
  <c r="O15" i="6"/>
  <c r="O16" i="6"/>
  <c r="O17" i="6"/>
  <c r="O18" i="6"/>
  <c r="O19" i="6"/>
  <c r="O8" i="6"/>
  <c r="O9" i="6"/>
  <c r="O10" i="6"/>
  <c r="O11" i="6"/>
  <c r="O12" i="6"/>
  <c r="O13" i="6"/>
  <c r="O14" i="6"/>
  <c r="N20" i="6"/>
  <c r="G36" i="6"/>
  <c r="G38" i="6" s="1"/>
  <c r="F423" i="3"/>
  <c r="F398" i="3"/>
  <c r="G219" i="3"/>
  <c r="F427" i="3"/>
  <c r="F435" i="3" s="1"/>
  <c r="G194" i="3"/>
  <c r="G221" i="3" s="1"/>
  <c r="F436" i="3"/>
  <c r="O210" i="3"/>
  <c r="O357" i="3"/>
  <c r="K477" i="3"/>
  <c r="I164" i="3"/>
  <c r="J162" i="3"/>
  <c r="J105" i="3"/>
  <c r="J107" i="3" s="1"/>
  <c r="K106" i="3" s="1"/>
  <c r="J100" i="3"/>
  <c r="J102" i="3" s="1"/>
  <c r="N212" i="3"/>
  <c r="K373" i="3"/>
  <c r="I248" i="3"/>
  <c r="J126" i="3"/>
  <c r="J128" i="3" s="1"/>
  <c r="J114" i="3"/>
  <c r="L237" i="3" s="1"/>
  <c r="L305" i="3" s="1"/>
  <c r="O356" i="3"/>
  <c r="M142" i="3"/>
  <c r="M143" i="3" s="1"/>
  <c r="F465" i="3"/>
  <c r="K96" i="3"/>
  <c r="K95" i="3"/>
  <c r="K110" i="3"/>
  <c r="K111" i="3"/>
  <c r="H148" i="3"/>
  <c r="J244" i="3"/>
  <c r="J379" i="3" s="1"/>
  <c r="P264" i="3"/>
  <c r="I409" i="3"/>
  <c r="K370" i="3"/>
  <c r="J371" i="3"/>
  <c r="J428" i="3" s="1"/>
  <c r="O56" i="3"/>
  <c r="Q181" i="3"/>
  <c r="O139" i="3"/>
  <c r="F455" i="3"/>
  <c r="F466" i="3" s="1"/>
  <c r="P208" i="3"/>
  <c r="BA180" i="3"/>
  <c r="I475" i="3"/>
  <c r="G282" i="3"/>
  <c r="L391" i="3"/>
  <c r="O73" i="3"/>
  <c r="Q72" i="2"/>
  <c r="P60" i="3" s="1"/>
  <c r="Q71" i="2"/>
  <c r="P58" i="3" s="1"/>
  <c r="Q70" i="2"/>
  <c r="R63" i="2"/>
  <c r="P6" i="6" s="1"/>
  <c r="P47" i="3"/>
  <c r="Q84" i="2"/>
  <c r="P79" i="3" s="1"/>
  <c r="Q83" i="2"/>
  <c r="Q82" i="2"/>
  <c r="Q81" i="2"/>
  <c r="P75" i="3" s="1"/>
  <c r="Q80" i="2"/>
  <c r="I81" i="3"/>
  <c r="I85" i="3" s="1"/>
  <c r="J87" i="2"/>
  <c r="H22" i="6" s="1"/>
  <c r="H480" i="3"/>
  <c r="H482" i="3" s="1"/>
  <c r="H485" i="3" s="1"/>
  <c r="H407" i="3"/>
  <c r="H408" i="3" s="1"/>
  <c r="J214" i="3"/>
  <c r="J190" i="3"/>
  <c r="K85" i="2"/>
  <c r="L478" i="3"/>
  <c r="J83" i="3"/>
  <c r="L238" i="3"/>
  <c r="L306" i="3" s="1"/>
  <c r="L188" i="3"/>
  <c r="L215" i="3" s="1"/>
  <c r="O369" i="3"/>
  <c r="P365" i="3"/>
  <c r="O185" i="3"/>
  <c r="O267" i="3"/>
  <c r="P77" i="3" l="1"/>
  <c r="P9" i="6"/>
  <c r="P8" i="6"/>
  <c r="P18" i="6"/>
  <c r="P16" i="6"/>
  <c r="P14" i="6"/>
  <c r="P12" i="6"/>
  <c r="P10" i="6"/>
  <c r="P19" i="6"/>
  <c r="P17" i="6"/>
  <c r="P15" i="6"/>
  <c r="P13" i="6"/>
  <c r="P11" i="6"/>
  <c r="O20" i="6"/>
  <c r="H26" i="6"/>
  <c r="H27" i="6"/>
  <c r="H31" i="6"/>
  <c r="H34" i="6"/>
  <c r="H35" i="6"/>
  <c r="H30" i="6"/>
  <c r="H32" i="6"/>
  <c r="H29" i="6"/>
  <c r="H28" i="6"/>
  <c r="H33" i="6"/>
  <c r="H25" i="6"/>
  <c r="F438" i="3"/>
  <c r="H24" i="6"/>
  <c r="G196" i="3"/>
  <c r="G223" i="3" s="1"/>
  <c r="I476" i="3"/>
  <c r="I479" i="3" s="1"/>
  <c r="K100" i="3"/>
  <c r="K101" i="3"/>
  <c r="L85" i="2" s="1"/>
  <c r="J272" i="3"/>
  <c r="I380" i="3" s="1"/>
  <c r="I386" i="3" s="1"/>
  <c r="J163" i="3"/>
  <c r="L477" i="3"/>
  <c r="K105" i="3"/>
  <c r="K107" i="3" s="1"/>
  <c r="P356" i="3"/>
  <c r="L373" i="3"/>
  <c r="K97" i="3"/>
  <c r="L96" i="3" s="1"/>
  <c r="F456" i="3"/>
  <c r="L370" i="3"/>
  <c r="K371" i="3"/>
  <c r="K428" i="3" s="1"/>
  <c r="O418" i="3"/>
  <c r="O212" i="3"/>
  <c r="J474" i="3"/>
  <c r="J419" i="3"/>
  <c r="J406" i="3"/>
  <c r="J304" i="3"/>
  <c r="J307" i="3" s="1"/>
  <c r="J236" i="3"/>
  <c r="J239" i="3" s="1"/>
  <c r="J217" i="3"/>
  <c r="R71" i="2"/>
  <c r="Q58" i="3" s="1"/>
  <c r="Q47" i="3"/>
  <c r="R84" i="2"/>
  <c r="Q79" i="3" s="1"/>
  <c r="R83" i="2"/>
  <c r="R82" i="2"/>
  <c r="R81" i="2"/>
  <c r="Q75" i="3" s="1"/>
  <c r="R80" i="2"/>
  <c r="R72" i="2"/>
  <c r="Q60" i="3" s="1"/>
  <c r="S63" i="2"/>
  <c r="Q6" i="6" s="1"/>
  <c r="R70" i="2"/>
  <c r="G286" i="3"/>
  <c r="G250" i="3"/>
  <c r="K112" i="3"/>
  <c r="O309" i="3"/>
  <c r="J81" i="3"/>
  <c r="J85" i="3" s="1"/>
  <c r="K87" i="2"/>
  <c r="I22" i="6" s="1"/>
  <c r="M391" i="3"/>
  <c r="P369" i="3"/>
  <c r="Q365" i="3"/>
  <c r="K187" i="3"/>
  <c r="I146" i="3"/>
  <c r="I172" i="3"/>
  <c r="P56" i="3"/>
  <c r="J246" i="3"/>
  <c r="R181" i="3"/>
  <c r="P139" i="3"/>
  <c r="BB180" i="3"/>
  <c r="Q208" i="3"/>
  <c r="P73" i="3"/>
  <c r="K126" i="3"/>
  <c r="K127" i="3"/>
  <c r="Q264" i="3"/>
  <c r="H149" i="3"/>
  <c r="H151" i="3"/>
  <c r="H153" i="3" s="1"/>
  <c r="F467" i="3"/>
  <c r="F491" i="3" s="1"/>
  <c r="Q77" i="3" l="1"/>
  <c r="P20" i="6"/>
  <c r="Q12" i="6"/>
  <c r="Q8" i="6"/>
  <c r="Q10" i="6"/>
  <c r="Q14" i="6"/>
  <c r="Q15" i="6"/>
  <c r="Q18" i="6"/>
  <c r="Q13" i="6"/>
  <c r="Q19" i="6"/>
  <c r="Q11" i="6"/>
  <c r="Q17" i="6"/>
  <c r="Q16" i="6"/>
  <c r="Q9" i="6"/>
  <c r="I27" i="6"/>
  <c r="I34" i="6"/>
  <c r="I26" i="6"/>
  <c r="I30" i="6"/>
  <c r="I33" i="6"/>
  <c r="I25" i="6"/>
  <c r="I32" i="6"/>
  <c r="I35" i="6"/>
  <c r="I29" i="6"/>
  <c r="I28" i="6"/>
  <c r="I31" i="6"/>
  <c r="G382" i="3"/>
  <c r="G414" i="3"/>
  <c r="H273" i="3"/>
  <c r="H36" i="6"/>
  <c r="H38" i="6" s="1"/>
  <c r="I24" i="6"/>
  <c r="G198" i="3"/>
  <c r="G393" i="3" s="1"/>
  <c r="K114" i="3"/>
  <c r="M477" i="3" s="1"/>
  <c r="K102" i="3"/>
  <c r="L101" i="3" s="1"/>
  <c r="K162" i="3"/>
  <c r="K272" i="3" s="1"/>
  <c r="J380" i="3" s="1"/>
  <c r="J386" i="3" s="1"/>
  <c r="K161" i="3"/>
  <c r="J164" i="3"/>
  <c r="L95" i="3"/>
  <c r="L97" i="3" s="1"/>
  <c r="M96" i="3" s="1"/>
  <c r="J248" i="3"/>
  <c r="K81" i="3"/>
  <c r="L87" i="2"/>
  <c r="J22" i="6" s="1"/>
  <c r="R47" i="3"/>
  <c r="S84" i="2"/>
  <c r="R79" i="3" s="1"/>
  <c r="S83" i="2"/>
  <c r="S82" i="2"/>
  <c r="S81" i="2"/>
  <c r="R75" i="3" s="1"/>
  <c r="S80" i="2"/>
  <c r="T63" i="2"/>
  <c r="R6" i="6" s="1"/>
  <c r="S72" i="2"/>
  <c r="R60" i="3" s="1"/>
  <c r="S71" i="2"/>
  <c r="R58" i="3" s="1"/>
  <c r="S70" i="2"/>
  <c r="R365" i="3"/>
  <c r="Q369" i="3"/>
  <c r="L111" i="3"/>
  <c r="L110" i="3"/>
  <c r="G325" i="3"/>
  <c r="G328" i="3" s="1"/>
  <c r="G340" i="3" s="1"/>
  <c r="G342" i="3" s="1"/>
  <c r="H274" i="3"/>
  <c r="G252" i="3"/>
  <c r="G288" i="3" s="1"/>
  <c r="G292" i="3" s="1"/>
  <c r="G381" i="3"/>
  <c r="J475" i="3"/>
  <c r="H310" i="3"/>
  <c r="H311" i="3" s="1"/>
  <c r="H313" i="3" s="1"/>
  <c r="H320" i="3" s="1"/>
  <c r="R208" i="3"/>
  <c r="I480" i="3"/>
  <c r="I482" i="3" s="1"/>
  <c r="I485" i="3" s="1"/>
  <c r="I407" i="3"/>
  <c r="I408" i="3" s="1"/>
  <c r="K244" i="3"/>
  <c r="I148" i="3"/>
  <c r="L187" i="3"/>
  <c r="J146" i="3"/>
  <c r="J172" i="3"/>
  <c r="Q73" i="3"/>
  <c r="J409" i="3"/>
  <c r="L371" i="3"/>
  <c r="L428" i="3" s="1"/>
  <c r="L106" i="3"/>
  <c r="L105" i="3"/>
  <c r="M478" i="3"/>
  <c r="M238" i="3"/>
  <c r="M188" i="3"/>
  <c r="M215" i="3" s="1"/>
  <c r="K83" i="3"/>
  <c r="F493" i="3"/>
  <c r="K128" i="3"/>
  <c r="R264" i="3"/>
  <c r="Q356" i="3"/>
  <c r="K214" i="3"/>
  <c r="K190" i="3"/>
  <c r="N391" i="3"/>
  <c r="Q56" i="3"/>
  <c r="S181" i="3"/>
  <c r="Q139" i="3"/>
  <c r="R77" i="3" l="1"/>
  <c r="G225" i="3"/>
  <c r="L100" i="3"/>
  <c r="Q20" i="6"/>
  <c r="R11" i="6"/>
  <c r="R14" i="6"/>
  <c r="R8" i="6"/>
  <c r="R16" i="6"/>
  <c r="R18" i="6"/>
  <c r="R12" i="6"/>
  <c r="R15" i="6"/>
  <c r="R19" i="6"/>
  <c r="R17" i="6"/>
  <c r="R9" i="6"/>
  <c r="R10" i="6"/>
  <c r="R13" i="6"/>
  <c r="J35" i="6"/>
  <c r="J34" i="6"/>
  <c r="J26" i="6"/>
  <c r="J25" i="6"/>
  <c r="J32" i="6"/>
  <c r="J30" i="6"/>
  <c r="J29" i="6"/>
  <c r="J31" i="6"/>
  <c r="J33" i="6"/>
  <c r="J28" i="6"/>
  <c r="J27" i="6"/>
  <c r="AR181" i="3"/>
  <c r="BE180" i="3" s="1"/>
  <c r="H276" i="3"/>
  <c r="G415" i="3"/>
  <c r="G420" i="3"/>
  <c r="G434" i="3" s="1"/>
  <c r="J24" i="6"/>
  <c r="H280" i="3"/>
  <c r="H338" i="3" s="1"/>
  <c r="M237" i="3"/>
  <c r="M305" i="3" s="1"/>
  <c r="I36" i="6"/>
  <c r="I38" i="6" s="1"/>
  <c r="J476" i="3"/>
  <c r="J479" i="3" s="1"/>
  <c r="M95" i="3"/>
  <c r="M97" i="3" s="1"/>
  <c r="N96" i="3" s="1"/>
  <c r="K163" i="3"/>
  <c r="R356" i="3"/>
  <c r="K85" i="3"/>
  <c r="K172" i="3" s="1"/>
  <c r="L114" i="3"/>
  <c r="N477" i="3" s="1"/>
  <c r="L127" i="3"/>
  <c r="L126" i="3"/>
  <c r="M306" i="3"/>
  <c r="M373" i="3"/>
  <c r="L214" i="3"/>
  <c r="L190" i="3"/>
  <c r="H341" i="3"/>
  <c r="G344" i="3"/>
  <c r="S365" i="3"/>
  <c r="R369" i="3"/>
  <c r="R56" i="3"/>
  <c r="R73" i="3"/>
  <c r="S208" i="3"/>
  <c r="L107" i="3"/>
  <c r="L102" i="3"/>
  <c r="H284" i="3"/>
  <c r="H192" i="3" s="1"/>
  <c r="G383" i="3"/>
  <c r="G388" i="3" s="1"/>
  <c r="G448" i="3"/>
  <c r="L112" i="3"/>
  <c r="M85" i="2"/>
  <c r="T181" i="3"/>
  <c r="R139" i="3"/>
  <c r="S264" i="3"/>
  <c r="O391" i="3"/>
  <c r="G394" i="3"/>
  <c r="K474" i="3"/>
  <c r="K419" i="3"/>
  <c r="K406" i="3"/>
  <c r="K304" i="3"/>
  <c r="K307" i="3" s="1"/>
  <c r="K236" i="3"/>
  <c r="K239" i="3" s="1"/>
  <c r="K217" i="3"/>
  <c r="I149" i="3"/>
  <c r="I151" i="3"/>
  <c r="I153" i="3" s="1"/>
  <c r="G355" i="3"/>
  <c r="G359" i="3" s="1"/>
  <c r="H290" i="3"/>
  <c r="L244" i="3"/>
  <c r="J148" i="3"/>
  <c r="K246" i="3"/>
  <c r="K379" i="3"/>
  <c r="U63" i="2"/>
  <c r="S6" i="6" s="1"/>
  <c r="T83" i="2"/>
  <c r="T80" i="2"/>
  <c r="T72" i="2"/>
  <c r="S60" i="3" s="1"/>
  <c r="T71" i="2"/>
  <c r="S58" i="3" s="1"/>
  <c r="T70" i="2"/>
  <c r="S47" i="3"/>
  <c r="T81" i="2"/>
  <c r="S75" i="3" s="1"/>
  <c r="T84" i="2"/>
  <c r="S79" i="3" s="1"/>
  <c r="T82" i="2"/>
  <c r="S77" i="3" s="1"/>
  <c r="R20" i="6" l="1"/>
  <c r="S11" i="6"/>
  <c r="S12" i="6"/>
  <c r="S15" i="6"/>
  <c r="S18" i="6"/>
  <c r="S9" i="6"/>
  <c r="S10" i="6"/>
  <c r="S13" i="6"/>
  <c r="S16" i="6"/>
  <c r="S8" i="6"/>
  <c r="S19" i="6"/>
  <c r="S14" i="6"/>
  <c r="S17" i="6"/>
  <c r="M370" i="3"/>
  <c r="M371" i="3" s="1"/>
  <c r="M428" i="3" s="1"/>
  <c r="J36" i="6"/>
  <c r="J38" i="6" s="1"/>
  <c r="H392" i="3"/>
  <c r="M187" i="3"/>
  <c r="M214" i="3" s="1"/>
  <c r="K146" i="3"/>
  <c r="M244" i="3" s="1"/>
  <c r="S356" i="3"/>
  <c r="K164" i="3"/>
  <c r="L162" i="3"/>
  <c r="L272" i="3" s="1"/>
  <c r="K380" i="3" s="1"/>
  <c r="K386" i="3" s="1"/>
  <c r="L161" i="3"/>
  <c r="L128" i="3"/>
  <c r="M126" i="3" s="1"/>
  <c r="N95" i="3"/>
  <c r="N97" i="3" s="1"/>
  <c r="O95" i="3" s="1"/>
  <c r="N237" i="3"/>
  <c r="T264" i="3"/>
  <c r="J480" i="3"/>
  <c r="J482" i="3" s="1"/>
  <c r="J485" i="3" s="1"/>
  <c r="J407" i="3"/>
  <c r="J408" i="3" s="1"/>
  <c r="K248" i="3"/>
  <c r="G449" i="3"/>
  <c r="G450" i="3" s="1"/>
  <c r="G454" i="3" s="1"/>
  <c r="G410" i="3"/>
  <c r="T208" i="3"/>
  <c r="M100" i="3"/>
  <c r="M101" i="3"/>
  <c r="S369" i="3"/>
  <c r="T365" i="3"/>
  <c r="L474" i="3"/>
  <c r="L419" i="3"/>
  <c r="L406" i="3"/>
  <c r="L304" i="3"/>
  <c r="L307" i="3" s="1"/>
  <c r="L217" i="3"/>
  <c r="L236" i="3"/>
  <c r="L239" i="3" s="1"/>
  <c r="U72" i="2"/>
  <c r="T60" i="3" s="1"/>
  <c r="U71" i="2"/>
  <c r="T58" i="3" s="1"/>
  <c r="U70" i="2"/>
  <c r="V63" i="2"/>
  <c r="T6" i="6" s="1"/>
  <c r="T47" i="3"/>
  <c r="U84" i="2"/>
  <c r="T79" i="3" s="1"/>
  <c r="U83" i="2"/>
  <c r="U82" i="2"/>
  <c r="T77" i="3" s="1"/>
  <c r="U81" i="2"/>
  <c r="T75" i="3" s="1"/>
  <c r="U80" i="2"/>
  <c r="S73" i="3"/>
  <c r="J149" i="3"/>
  <c r="J151" i="3"/>
  <c r="J153" i="3" s="1"/>
  <c r="K475" i="3"/>
  <c r="L81" i="3"/>
  <c r="M87" i="2"/>
  <c r="K22" i="6" s="1"/>
  <c r="G396" i="3"/>
  <c r="M106" i="3"/>
  <c r="M105" i="3"/>
  <c r="U181" i="3"/>
  <c r="S139" i="3"/>
  <c r="S56" i="3"/>
  <c r="L379" i="3"/>
  <c r="L246" i="3"/>
  <c r="G411" i="3"/>
  <c r="G375" i="3"/>
  <c r="G423" i="3" s="1"/>
  <c r="G429" i="3"/>
  <c r="K409" i="3"/>
  <c r="P391" i="3"/>
  <c r="M111" i="3"/>
  <c r="M110" i="3"/>
  <c r="H278" i="3"/>
  <c r="H219" i="3"/>
  <c r="H194" i="3"/>
  <c r="N478" i="3"/>
  <c r="N238" i="3"/>
  <c r="N306" i="3" s="1"/>
  <c r="L83" i="3"/>
  <c r="N188" i="3"/>
  <c r="N215" i="3" s="1"/>
  <c r="T9" i="6" l="1"/>
  <c r="T10" i="6"/>
  <c r="T11" i="6"/>
  <c r="T12" i="6"/>
  <c r="T13" i="6"/>
  <c r="T14" i="6"/>
  <c r="T15" i="6"/>
  <c r="T17" i="6"/>
  <c r="T18" i="6"/>
  <c r="T19" i="6"/>
  <c r="T16" i="6"/>
  <c r="T8" i="6"/>
  <c r="S20" i="6"/>
  <c r="K26" i="6"/>
  <c r="K35" i="6"/>
  <c r="K34" i="6"/>
  <c r="K33" i="6"/>
  <c r="K28" i="6"/>
  <c r="K30" i="6"/>
  <c r="K29" i="6"/>
  <c r="K32" i="6"/>
  <c r="K27" i="6"/>
  <c r="K25" i="6"/>
  <c r="K31" i="6"/>
  <c r="T356" i="3"/>
  <c r="K24" i="6"/>
  <c r="M190" i="3"/>
  <c r="M217" i="3" s="1"/>
  <c r="K148" i="3"/>
  <c r="K149" i="3" s="1"/>
  <c r="K476" i="3"/>
  <c r="K479" i="3" s="1"/>
  <c r="M127" i="3"/>
  <c r="O238" i="3" s="1"/>
  <c r="O306" i="3" s="1"/>
  <c r="L163" i="3"/>
  <c r="O96" i="3"/>
  <c r="O97" i="3" s="1"/>
  <c r="M107" i="3"/>
  <c r="N106" i="3" s="1"/>
  <c r="N305" i="3"/>
  <c r="N370" i="3"/>
  <c r="N371" i="3" s="1"/>
  <c r="G465" i="3"/>
  <c r="Q391" i="3"/>
  <c r="M112" i="3"/>
  <c r="M379" i="3"/>
  <c r="U208" i="3"/>
  <c r="M246" i="3"/>
  <c r="K480" i="3"/>
  <c r="K407" i="3"/>
  <c r="K408" i="3" s="1"/>
  <c r="T73" i="3"/>
  <c r="G436" i="3"/>
  <c r="G398" i="3"/>
  <c r="G427" i="3"/>
  <c r="G435" i="3" s="1"/>
  <c r="G424" i="3"/>
  <c r="T56" i="3"/>
  <c r="G455" i="3"/>
  <c r="G466" i="3" s="1"/>
  <c r="H221" i="3"/>
  <c r="H196" i="3"/>
  <c r="V181" i="3"/>
  <c r="T139" i="3"/>
  <c r="L475" i="3"/>
  <c r="M114" i="3"/>
  <c r="N85" i="2"/>
  <c r="H326" i="3"/>
  <c r="H282" i="3"/>
  <c r="U264" i="3"/>
  <c r="N373" i="3"/>
  <c r="L85" i="3"/>
  <c r="V72" i="2"/>
  <c r="U60" i="3" s="1"/>
  <c r="U47" i="3"/>
  <c r="V84" i="2"/>
  <c r="U79" i="3" s="1"/>
  <c r="V83" i="2"/>
  <c r="V82" i="2"/>
  <c r="V81" i="2"/>
  <c r="U75" i="3" s="1"/>
  <c r="V80" i="2"/>
  <c r="V70" i="2"/>
  <c r="W63" i="2"/>
  <c r="U6" i="6" s="1"/>
  <c r="V71" i="2"/>
  <c r="U58" i="3" s="1"/>
  <c r="L248" i="3"/>
  <c r="L409" i="3"/>
  <c r="T369" i="3"/>
  <c r="U365" i="3"/>
  <c r="M102" i="3"/>
  <c r="U77" i="3" l="1"/>
  <c r="T20" i="6"/>
  <c r="U11" i="6"/>
  <c r="U8" i="6"/>
  <c r="U16" i="6"/>
  <c r="U19" i="6"/>
  <c r="U9" i="6"/>
  <c r="U10" i="6"/>
  <c r="U12" i="6"/>
  <c r="U13" i="6"/>
  <c r="U15" i="6"/>
  <c r="U18" i="6"/>
  <c r="U14" i="6"/>
  <c r="U17" i="6"/>
  <c r="U356" i="3"/>
  <c r="M304" i="3"/>
  <c r="M307" i="3" s="1"/>
  <c r="M406" i="3"/>
  <c r="M409" i="3" s="1"/>
  <c r="M236" i="3"/>
  <c r="M239" i="3" s="1"/>
  <c r="M248" i="3" s="1"/>
  <c r="M419" i="3"/>
  <c r="K151" i="3"/>
  <c r="K153" i="3" s="1"/>
  <c r="L480" i="3" s="1"/>
  <c r="M474" i="3"/>
  <c r="M475" i="3" s="1"/>
  <c r="K36" i="6"/>
  <c r="K38" i="6" s="1"/>
  <c r="K482" i="3"/>
  <c r="K485" i="3" s="1"/>
  <c r="M83" i="3"/>
  <c r="O478" i="3"/>
  <c r="O188" i="3"/>
  <c r="O215" i="3" s="1"/>
  <c r="L476" i="3"/>
  <c r="L479" i="3" s="1"/>
  <c r="M128" i="3"/>
  <c r="N127" i="3" s="1"/>
  <c r="P95" i="3"/>
  <c r="P96" i="3"/>
  <c r="M162" i="3"/>
  <c r="M272" i="3" s="1"/>
  <c r="L380" i="3" s="1"/>
  <c r="L386" i="3" s="1"/>
  <c r="M161" i="3"/>
  <c r="L164" i="3"/>
  <c r="N428" i="3"/>
  <c r="N105" i="3"/>
  <c r="N107" i="3" s="1"/>
  <c r="W181" i="3"/>
  <c r="U139" i="3"/>
  <c r="G467" i="3"/>
  <c r="G491" i="3" s="1"/>
  <c r="U73" i="3"/>
  <c r="H286" i="3"/>
  <c r="H250" i="3"/>
  <c r="V47" i="3"/>
  <c r="W84" i="2"/>
  <c r="V79" i="3" s="1"/>
  <c r="W83" i="2"/>
  <c r="W82" i="2"/>
  <c r="W81" i="2"/>
  <c r="V75" i="3" s="1"/>
  <c r="W80" i="2"/>
  <c r="X63" i="2"/>
  <c r="V6" i="6" s="1"/>
  <c r="W72" i="2"/>
  <c r="V60" i="3" s="1"/>
  <c r="W71" i="2"/>
  <c r="V58" i="3" s="1"/>
  <c r="W70" i="2"/>
  <c r="M81" i="3"/>
  <c r="N87" i="2"/>
  <c r="L22" i="6" s="1"/>
  <c r="V264" i="3"/>
  <c r="H223" i="3"/>
  <c r="I273" i="3"/>
  <c r="H414" i="3"/>
  <c r="H382" i="3"/>
  <c r="R391" i="3"/>
  <c r="G456" i="3"/>
  <c r="V365" i="3"/>
  <c r="U369" i="3"/>
  <c r="N111" i="3"/>
  <c r="N110" i="3"/>
  <c r="N101" i="3"/>
  <c r="N100" i="3"/>
  <c r="U56" i="3"/>
  <c r="N187" i="3"/>
  <c r="L172" i="3"/>
  <c r="L146" i="3"/>
  <c r="O373" i="3"/>
  <c r="O477" i="3"/>
  <c r="O237" i="3"/>
  <c r="V208" i="3"/>
  <c r="H198" i="3"/>
  <c r="G438" i="3"/>
  <c r="V77" i="3" l="1"/>
  <c r="V8" i="6"/>
  <c r="V13" i="6"/>
  <c r="V12" i="6"/>
  <c r="V14" i="6"/>
  <c r="V15" i="6"/>
  <c r="V16" i="6"/>
  <c r="V17" i="6"/>
  <c r="V18" i="6"/>
  <c r="V19" i="6"/>
  <c r="V9" i="6"/>
  <c r="V10" i="6"/>
  <c r="V11" i="6"/>
  <c r="U20" i="6"/>
  <c r="L25" i="6"/>
  <c r="L26" i="6"/>
  <c r="L35" i="6"/>
  <c r="L27" i="6"/>
  <c r="L28" i="6"/>
  <c r="L33" i="6"/>
  <c r="L34" i="6"/>
  <c r="L31" i="6"/>
  <c r="L30" i="6"/>
  <c r="L29" i="6"/>
  <c r="L32" i="6"/>
  <c r="L407" i="3"/>
  <c r="L408" i="3" s="1"/>
  <c r="M85" i="3"/>
  <c r="M172" i="3" s="1"/>
  <c r="L24" i="6"/>
  <c r="N126" i="3"/>
  <c r="N128" i="3" s="1"/>
  <c r="O127" i="3" s="1"/>
  <c r="L482" i="3"/>
  <c r="L485" i="3" s="1"/>
  <c r="M476" i="3"/>
  <c r="M479" i="3" s="1"/>
  <c r="M163" i="3"/>
  <c r="M164" i="3" s="1"/>
  <c r="P97" i="3"/>
  <c r="Q96" i="3" s="1"/>
  <c r="N102" i="3"/>
  <c r="O101" i="3" s="1"/>
  <c r="S391" i="3"/>
  <c r="H325" i="3"/>
  <c r="H328" i="3" s="1"/>
  <c r="H340" i="3" s="1"/>
  <c r="H342" i="3" s="1"/>
  <c r="I274" i="3"/>
  <c r="I276" i="3" s="1"/>
  <c r="H252" i="3"/>
  <c r="H288" i="3" s="1"/>
  <c r="H292" i="3" s="1"/>
  <c r="H381" i="3"/>
  <c r="G493" i="3"/>
  <c r="V356" i="3"/>
  <c r="L148" i="3"/>
  <c r="N244" i="3"/>
  <c r="W208" i="3"/>
  <c r="N214" i="3"/>
  <c r="N190" i="3"/>
  <c r="O73" i="2"/>
  <c r="N114" i="3"/>
  <c r="O85" i="2"/>
  <c r="W365" i="3"/>
  <c r="V369" i="3"/>
  <c r="I310" i="3"/>
  <c r="I311" i="3" s="1"/>
  <c r="I313" i="3" s="1"/>
  <c r="I320" i="3" s="1"/>
  <c r="X81" i="2"/>
  <c r="W75" i="3" s="1"/>
  <c r="X72" i="2"/>
  <c r="W60" i="3" s="1"/>
  <c r="X71" i="2"/>
  <c r="W58" i="3" s="1"/>
  <c r="X70" i="2"/>
  <c r="X84" i="2"/>
  <c r="W79" i="3" s="1"/>
  <c r="X82" i="2"/>
  <c r="W47" i="3"/>
  <c r="X83" i="2"/>
  <c r="X80" i="2"/>
  <c r="X181" i="3"/>
  <c r="V139" i="3"/>
  <c r="H415" i="3"/>
  <c r="H420" i="3"/>
  <c r="H434" i="3" s="1"/>
  <c r="H393" i="3"/>
  <c r="I280" i="3"/>
  <c r="I338" i="3" s="1"/>
  <c r="AS181" i="3"/>
  <c r="BF180" i="3" s="1"/>
  <c r="H225" i="3"/>
  <c r="O305" i="3"/>
  <c r="O370" i="3"/>
  <c r="N112" i="3"/>
  <c r="V56" i="3"/>
  <c r="V73" i="3"/>
  <c r="O106" i="3"/>
  <c r="O105" i="3"/>
  <c r="W264" i="3"/>
  <c r="P478" i="3"/>
  <c r="P238" i="3"/>
  <c r="P306" i="3" s="1"/>
  <c r="N83" i="3"/>
  <c r="P188" i="3"/>
  <c r="P215" i="3" s="1"/>
  <c r="W77" i="3" l="1"/>
  <c r="V20" i="6"/>
  <c r="O187" i="3"/>
  <c r="O214" i="3" s="1"/>
  <c r="M146" i="3"/>
  <c r="M148" i="3" s="1"/>
  <c r="L36" i="6"/>
  <c r="L38" i="6" s="1"/>
  <c r="N161" i="3"/>
  <c r="N162" i="3"/>
  <c r="N272" i="3" s="1"/>
  <c r="M380" i="3" s="1"/>
  <c r="M386" i="3" s="1"/>
  <c r="O100" i="3"/>
  <c r="O102" i="3" s="1"/>
  <c r="Q95" i="3"/>
  <c r="Q97" i="3" s="1"/>
  <c r="O126" i="3"/>
  <c r="O128" i="3" s="1"/>
  <c r="W356" i="3"/>
  <c r="O107" i="3"/>
  <c r="P106" i="3" s="1"/>
  <c r="O110" i="3"/>
  <c r="O111" i="3"/>
  <c r="O114" i="3" s="1"/>
  <c r="Q478" i="3"/>
  <c r="Q238" i="3"/>
  <c r="Q306" i="3" s="1"/>
  <c r="Q188" i="3"/>
  <c r="Q215" i="3" s="1"/>
  <c r="O83" i="3"/>
  <c r="N474" i="3"/>
  <c r="N419" i="3"/>
  <c r="N406" i="3"/>
  <c r="N304" i="3"/>
  <c r="N307" i="3" s="1"/>
  <c r="N236" i="3"/>
  <c r="N239" i="3" s="1"/>
  <c r="N217" i="3"/>
  <c r="T391" i="3"/>
  <c r="P373" i="3"/>
  <c r="W73" i="3"/>
  <c r="N81" i="3"/>
  <c r="N85" i="3" s="1"/>
  <c r="P187" i="3" s="1"/>
  <c r="P214" i="3" s="1"/>
  <c r="O87" i="2"/>
  <c r="W369" i="3"/>
  <c r="X365" i="3"/>
  <c r="H355" i="3"/>
  <c r="H359" i="3" s="1"/>
  <c r="I290" i="3"/>
  <c r="O371" i="3"/>
  <c r="O428" i="3" s="1"/>
  <c r="X264" i="3"/>
  <c r="W56" i="3"/>
  <c r="P477" i="3"/>
  <c r="P237" i="3"/>
  <c r="P305" i="3" s="1"/>
  <c r="N246" i="3"/>
  <c r="N379" i="3"/>
  <c r="H344" i="3"/>
  <c r="I341" i="3"/>
  <c r="H394" i="3"/>
  <c r="I392" i="3"/>
  <c r="X208" i="3"/>
  <c r="Y181" i="3"/>
  <c r="W139" i="3"/>
  <c r="N62" i="3"/>
  <c r="N64" i="3" s="1"/>
  <c r="O75" i="2"/>
  <c r="L149" i="3"/>
  <c r="L151" i="3"/>
  <c r="L153" i="3" s="1"/>
  <c r="I284" i="3"/>
  <c r="I192" i="3" s="1"/>
  <c r="H383" i="3"/>
  <c r="H388" i="3" s="1"/>
  <c r="H448" i="3"/>
  <c r="O244" i="3" l="1"/>
  <c r="O190" i="3"/>
  <c r="O474" i="3" s="1"/>
  <c r="M22" i="6"/>
  <c r="N163" i="3"/>
  <c r="O161" i="3" s="1"/>
  <c r="R95" i="3"/>
  <c r="R96" i="3"/>
  <c r="P105" i="3"/>
  <c r="P107" i="3" s="1"/>
  <c r="P85" i="2"/>
  <c r="P87" i="2" s="1"/>
  <c r="P73" i="2"/>
  <c r="O62" i="3" s="1"/>
  <c r="O64" i="3" s="1"/>
  <c r="X356" i="3"/>
  <c r="N248" i="3"/>
  <c r="P183" i="3"/>
  <c r="N140" i="3"/>
  <c r="N146" i="3"/>
  <c r="N172" i="3"/>
  <c r="Y208" i="3"/>
  <c r="H449" i="3"/>
  <c r="H450" i="3" s="1"/>
  <c r="H454" i="3" s="1"/>
  <c r="H410" i="3"/>
  <c r="Q477" i="3"/>
  <c r="Q237" i="3"/>
  <c r="Q305" i="3" s="1"/>
  <c r="P370" i="3"/>
  <c r="P101" i="3"/>
  <c r="P100" i="3"/>
  <c r="N475" i="3"/>
  <c r="I278" i="3"/>
  <c r="I219" i="3"/>
  <c r="I194" i="3"/>
  <c r="U391" i="3"/>
  <c r="M480" i="3"/>
  <c r="M482" i="3" s="1"/>
  <c r="M485" i="3" s="1"/>
  <c r="M407" i="3"/>
  <c r="M408" i="3" s="1"/>
  <c r="P127" i="3"/>
  <c r="P126" i="3"/>
  <c r="M149" i="3"/>
  <c r="M151" i="3"/>
  <c r="M153" i="3" s="1"/>
  <c r="N409" i="3"/>
  <c r="Y264" i="3"/>
  <c r="X139" i="3"/>
  <c r="X142" i="3" s="1"/>
  <c r="O379" i="3"/>
  <c r="X369" i="3"/>
  <c r="Y365" i="3"/>
  <c r="Y369" i="3" s="1"/>
  <c r="H396" i="3"/>
  <c r="O246" i="3"/>
  <c r="H375" i="3"/>
  <c r="H423" i="3" s="1"/>
  <c r="H411" i="3"/>
  <c r="H429" i="3"/>
  <c r="Q373" i="3"/>
  <c r="O112" i="3"/>
  <c r="O419" i="3" l="1"/>
  <c r="O217" i="3"/>
  <c r="O304" i="3"/>
  <c r="O307" i="3" s="1"/>
  <c r="O406" i="3"/>
  <c r="O409" i="3" s="1"/>
  <c r="O236" i="3"/>
  <c r="O239" i="3" s="1"/>
  <c r="O248" i="3" s="1"/>
  <c r="M25" i="6"/>
  <c r="M26" i="6"/>
  <c r="M35" i="6"/>
  <c r="M32" i="6"/>
  <c r="M28" i="6"/>
  <c r="M27" i="6"/>
  <c r="M34" i="6"/>
  <c r="M33" i="6"/>
  <c r="M29" i="6"/>
  <c r="M31" i="6"/>
  <c r="M30" i="6"/>
  <c r="N164" i="3"/>
  <c r="O162" i="3"/>
  <c r="O272" i="3" s="1"/>
  <c r="N380" i="3" s="1"/>
  <c r="N386" i="3" s="1"/>
  <c r="M24" i="6"/>
  <c r="N476" i="3"/>
  <c r="N479" i="3" s="1"/>
  <c r="R97" i="3"/>
  <c r="O81" i="3"/>
  <c r="O85" i="3" s="1"/>
  <c r="Q187" i="3" s="1"/>
  <c r="Q214" i="3" s="1"/>
  <c r="P75" i="2"/>
  <c r="N22" i="6" s="1"/>
  <c r="P128" i="3"/>
  <c r="Q127" i="3" s="1"/>
  <c r="P102" i="3"/>
  <c r="Q101" i="3" s="1"/>
  <c r="H465" i="3"/>
  <c r="P111" i="3"/>
  <c r="Q73" i="2" s="1"/>
  <c r="P110" i="3"/>
  <c r="Q183" i="3"/>
  <c r="O140" i="3"/>
  <c r="P244" i="3"/>
  <c r="P379" i="3" s="1"/>
  <c r="N148" i="3"/>
  <c r="N149" i="3" s="1"/>
  <c r="N480" i="3"/>
  <c r="N407" i="3"/>
  <c r="N408" i="3" s="1"/>
  <c r="I326" i="3"/>
  <c r="I282" i="3"/>
  <c r="V391" i="3"/>
  <c r="I221" i="3"/>
  <c r="I196" i="3"/>
  <c r="H455" i="3"/>
  <c r="H466" i="3" s="1"/>
  <c r="P265" i="3"/>
  <c r="N142" i="3"/>
  <c r="Q106" i="3"/>
  <c r="Q105" i="3"/>
  <c r="Y356" i="3"/>
  <c r="H436" i="3"/>
  <c r="H398" i="3"/>
  <c r="H427" i="3"/>
  <c r="H435" i="3" s="1"/>
  <c r="H424" i="3"/>
  <c r="R478" i="3"/>
  <c r="R238" i="3"/>
  <c r="R306" i="3" s="1"/>
  <c r="P83" i="3"/>
  <c r="R188" i="3"/>
  <c r="R215" i="3" s="1"/>
  <c r="Q370" i="3"/>
  <c r="P371" i="3"/>
  <c r="P428" i="3" s="1"/>
  <c r="P210" i="3"/>
  <c r="P185" i="3"/>
  <c r="O475" i="3"/>
  <c r="N25" i="6" l="1"/>
  <c r="N27" i="6"/>
  <c r="N34" i="6"/>
  <c r="N26" i="6"/>
  <c r="N35" i="6"/>
  <c r="N32" i="6"/>
  <c r="N31" i="6"/>
  <c r="N28" i="6"/>
  <c r="N33" i="6"/>
  <c r="N30" i="6"/>
  <c r="N29" i="6"/>
  <c r="O163" i="3"/>
  <c r="P161" i="3" s="1"/>
  <c r="M36" i="6"/>
  <c r="M38" i="6" s="1"/>
  <c r="N482" i="3"/>
  <c r="N485" i="3" s="1"/>
  <c r="N24" i="6"/>
  <c r="O476" i="3"/>
  <c r="O479" i="3" s="1"/>
  <c r="Q100" i="3"/>
  <c r="Q102" i="3" s="1"/>
  <c r="R101" i="3" s="1"/>
  <c r="O172" i="3"/>
  <c r="O146" i="3"/>
  <c r="O148" i="3" s="1"/>
  <c r="O149" i="3" s="1"/>
  <c r="S95" i="3"/>
  <c r="S96" i="3"/>
  <c r="Q126" i="3"/>
  <c r="Q128" i="3" s="1"/>
  <c r="P114" i="3"/>
  <c r="R477" i="3" s="1"/>
  <c r="Q85" i="2"/>
  <c r="Q87" i="2" s="1"/>
  <c r="Q107" i="3"/>
  <c r="R106" i="3" s="1"/>
  <c r="P62" i="3"/>
  <c r="P64" i="3" s="1"/>
  <c r="Q75" i="2"/>
  <c r="I286" i="3"/>
  <c r="I250" i="3"/>
  <c r="R373" i="3"/>
  <c r="N151" i="3"/>
  <c r="N153" i="3" s="1"/>
  <c r="N143" i="3"/>
  <c r="W391" i="3"/>
  <c r="P246" i="3"/>
  <c r="Q265" i="3"/>
  <c r="Q267" i="3" s="1"/>
  <c r="O142" i="3"/>
  <c r="P112" i="3"/>
  <c r="H467" i="3"/>
  <c r="H491" i="3" s="1"/>
  <c r="H438" i="3"/>
  <c r="P357" i="3"/>
  <c r="P267" i="3"/>
  <c r="H456" i="3"/>
  <c r="S478" i="3"/>
  <c r="S238" i="3"/>
  <c r="S306" i="3" s="1"/>
  <c r="Q83" i="3"/>
  <c r="S188" i="3"/>
  <c r="S215" i="3" s="1"/>
  <c r="Q371" i="3"/>
  <c r="Q428" i="3" s="1"/>
  <c r="J273" i="3"/>
  <c r="I223" i="3"/>
  <c r="I414" i="3"/>
  <c r="I382" i="3"/>
  <c r="P418" i="3"/>
  <c r="P190" i="3"/>
  <c r="P212" i="3"/>
  <c r="I198" i="3"/>
  <c r="Q210" i="3"/>
  <c r="Q185" i="3"/>
  <c r="O22" i="6" l="1"/>
  <c r="P162" i="3"/>
  <c r="P272" i="3" s="1"/>
  <c r="O380" i="3" s="1"/>
  <c r="O386" i="3" s="1"/>
  <c r="O164" i="3"/>
  <c r="N36" i="6"/>
  <c r="N38" i="6" s="1"/>
  <c r="P81" i="3"/>
  <c r="P85" i="3" s="1"/>
  <c r="R187" i="3" s="1"/>
  <c r="R214" i="3" s="1"/>
  <c r="Q244" i="3"/>
  <c r="Q379" i="3" s="1"/>
  <c r="S97" i="3"/>
  <c r="R105" i="3"/>
  <c r="R107" i="3" s="1"/>
  <c r="S106" i="3" s="1"/>
  <c r="R237" i="3"/>
  <c r="R305" i="3" s="1"/>
  <c r="R100" i="3"/>
  <c r="R102" i="3" s="1"/>
  <c r="Q357" i="3"/>
  <c r="P474" i="3"/>
  <c r="P419" i="3"/>
  <c r="P406" i="3"/>
  <c r="P304" i="3"/>
  <c r="P307" i="3" s="1"/>
  <c r="P236" i="3"/>
  <c r="P239" i="3" s="1"/>
  <c r="P248" i="3" s="1"/>
  <c r="P217" i="3"/>
  <c r="H493" i="3"/>
  <c r="Q418" i="3"/>
  <c r="Q190" i="3"/>
  <c r="Q212" i="3"/>
  <c r="J310" i="3"/>
  <c r="J311" i="3" s="1"/>
  <c r="J313" i="3" s="1"/>
  <c r="J320" i="3" s="1"/>
  <c r="Q111" i="3"/>
  <c r="Q110" i="3"/>
  <c r="O480" i="3"/>
  <c r="O482" i="3" s="1"/>
  <c r="O407" i="3"/>
  <c r="O408" i="3" s="1"/>
  <c r="I420" i="3"/>
  <c r="I434" i="3" s="1"/>
  <c r="I415" i="3"/>
  <c r="I393" i="3"/>
  <c r="J280" i="3"/>
  <c r="J338" i="3" s="1"/>
  <c r="AT181" i="3"/>
  <c r="BG180" i="3" s="1"/>
  <c r="I225" i="3"/>
  <c r="O143" i="3"/>
  <c r="O151" i="3"/>
  <c r="O153" i="3" s="1"/>
  <c r="S373" i="3"/>
  <c r="I325" i="3"/>
  <c r="I328" i="3" s="1"/>
  <c r="I340" i="3" s="1"/>
  <c r="I342" i="3" s="1"/>
  <c r="J274" i="3"/>
  <c r="J276" i="3" s="1"/>
  <c r="I252" i="3"/>
  <c r="I288" i="3" s="1"/>
  <c r="I292" i="3" s="1"/>
  <c r="I381" i="3"/>
  <c r="R127" i="3"/>
  <c r="R126" i="3"/>
  <c r="P309" i="3"/>
  <c r="Q309" i="3"/>
  <c r="X391" i="3"/>
  <c r="R183" i="3"/>
  <c r="P140" i="3"/>
  <c r="O28" i="6" l="1"/>
  <c r="O27" i="6"/>
  <c r="O34" i="6"/>
  <c r="O26" i="6"/>
  <c r="O30" i="6"/>
  <c r="O35" i="6"/>
  <c r="O31" i="6"/>
  <c r="O29" i="6"/>
  <c r="O25" i="6"/>
  <c r="O32" i="6"/>
  <c r="O33" i="6"/>
  <c r="P163" i="3"/>
  <c r="P164" i="3" s="1"/>
  <c r="P146" i="3"/>
  <c r="R244" i="3" s="1"/>
  <c r="O24" i="6"/>
  <c r="P172" i="3"/>
  <c r="Q246" i="3"/>
  <c r="T96" i="3"/>
  <c r="T95" i="3"/>
  <c r="R370" i="3"/>
  <c r="R371" i="3" s="1"/>
  <c r="R428" i="3" s="1"/>
  <c r="S105" i="3"/>
  <c r="S107" i="3" s="1"/>
  <c r="S101" i="3"/>
  <c r="S100" i="3"/>
  <c r="Q112" i="3"/>
  <c r="R111" i="3" s="1"/>
  <c r="J284" i="3"/>
  <c r="J192" i="3" s="1"/>
  <c r="I383" i="3"/>
  <c r="I388" i="3" s="1"/>
  <c r="I448" i="3"/>
  <c r="P475" i="3"/>
  <c r="I355" i="3"/>
  <c r="I359" i="3" s="1"/>
  <c r="J290" i="3"/>
  <c r="P480" i="3"/>
  <c r="P407" i="3"/>
  <c r="P408" i="3" s="1"/>
  <c r="R73" i="2"/>
  <c r="Q114" i="3"/>
  <c r="R85" i="2"/>
  <c r="Q474" i="3"/>
  <c r="Q419" i="3"/>
  <c r="Q406" i="3"/>
  <c r="Q304" i="3"/>
  <c r="Q307" i="3" s="1"/>
  <c r="Q236" i="3"/>
  <c r="Q239" i="3" s="1"/>
  <c r="Q217" i="3"/>
  <c r="Y391" i="3"/>
  <c r="P409" i="3"/>
  <c r="R210" i="3"/>
  <c r="R185" i="3"/>
  <c r="T478" i="3"/>
  <c r="R83" i="3"/>
  <c r="T188" i="3"/>
  <c r="T215" i="3" s="1"/>
  <c r="T238" i="3"/>
  <c r="T306" i="3" s="1"/>
  <c r="R265" i="3"/>
  <c r="P142" i="3"/>
  <c r="R128" i="3"/>
  <c r="I344" i="3"/>
  <c r="J341" i="3"/>
  <c r="I394" i="3"/>
  <c r="J392" i="3"/>
  <c r="P148" i="3" l="1"/>
  <c r="P149" i="3" s="1"/>
  <c r="Q162" i="3"/>
  <c r="Q272" i="3" s="1"/>
  <c r="P380" i="3" s="1"/>
  <c r="P386" i="3" s="1"/>
  <c r="Q161" i="3"/>
  <c r="R110" i="3"/>
  <c r="R112" i="3" s="1"/>
  <c r="O36" i="6"/>
  <c r="O38" i="6" s="1"/>
  <c r="Q248" i="3"/>
  <c r="P476" i="3"/>
  <c r="P479" i="3" s="1"/>
  <c r="P482" i="3" s="1"/>
  <c r="S102" i="3"/>
  <c r="T101" i="3" s="1"/>
  <c r="T97" i="3"/>
  <c r="U96" i="3" s="1"/>
  <c r="T106" i="3"/>
  <c r="T105" i="3"/>
  <c r="R418" i="3"/>
  <c r="R212" i="3"/>
  <c r="R190" i="3"/>
  <c r="Q475" i="3"/>
  <c r="I411" i="3"/>
  <c r="I375" i="3"/>
  <c r="I423" i="3" s="1"/>
  <c r="I429" i="3"/>
  <c r="J278" i="3"/>
  <c r="J219" i="3"/>
  <c r="J194" i="3"/>
  <c r="R267" i="3"/>
  <c r="R357" i="3"/>
  <c r="Q62" i="3"/>
  <c r="Q64" i="3" s="1"/>
  <c r="R75" i="2"/>
  <c r="I396" i="3"/>
  <c r="I449" i="3"/>
  <c r="I450" i="3" s="1"/>
  <c r="I454" i="3" s="1"/>
  <c r="I410" i="3"/>
  <c r="S127" i="3"/>
  <c r="S126" i="3"/>
  <c r="S85" i="2"/>
  <c r="R114" i="3"/>
  <c r="S73" i="2"/>
  <c r="Q409" i="3"/>
  <c r="Q81" i="3"/>
  <c r="Q85" i="3" s="1"/>
  <c r="S187" i="3" s="1"/>
  <c r="S214" i="3" s="1"/>
  <c r="R87" i="2"/>
  <c r="P151" i="3"/>
  <c r="P153" i="3" s="1"/>
  <c r="P143" i="3"/>
  <c r="T373" i="3"/>
  <c r="S477" i="3"/>
  <c r="S237" i="3"/>
  <c r="R246" i="3"/>
  <c r="R379" i="3"/>
  <c r="P22" i="6" l="1"/>
  <c r="P26" i="6" s="1"/>
  <c r="Q163" i="3"/>
  <c r="Q164" i="3" s="1"/>
  <c r="P29" i="6"/>
  <c r="T100" i="3"/>
  <c r="Q476" i="3"/>
  <c r="Q479" i="3" s="1"/>
  <c r="U95" i="3"/>
  <c r="U97" i="3" s="1"/>
  <c r="V96" i="3" s="1"/>
  <c r="I465" i="3"/>
  <c r="R62" i="3"/>
  <c r="R64" i="3" s="1"/>
  <c r="S75" i="2"/>
  <c r="S110" i="3"/>
  <c r="S111" i="3"/>
  <c r="I436" i="3"/>
  <c r="I398" i="3"/>
  <c r="I427" i="3"/>
  <c r="I435" i="3" s="1"/>
  <c r="I424" i="3"/>
  <c r="Q480" i="3"/>
  <c r="Q407" i="3"/>
  <c r="Q408" i="3" s="1"/>
  <c r="T477" i="3"/>
  <c r="T237" i="3"/>
  <c r="T305" i="3" s="1"/>
  <c r="I455" i="3"/>
  <c r="I466" i="3" s="1"/>
  <c r="Q146" i="3"/>
  <c r="S183" i="3"/>
  <c r="Q172" i="3"/>
  <c r="Q140" i="3"/>
  <c r="J326" i="3"/>
  <c r="J282" i="3"/>
  <c r="R474" i="3"/>
  <c r="R419" i="3"/>
  <c r="R406" i="3"/>
  <c r="R304" i="3"/>
  <c r="R307" i="3" s="1"/>
  <c r="R236" i="3"/>
  <c r="R239" i="3" s="1"/>
  <c r="R248" i="3" s="1"/>
  <c r="R217" i="3"/>
  <c r="U478" i="3"/>
  <c r="U238" i="3"/>
  <c r="U306" i="3" s="1"/>
  <c r="U188" i="3"/>
  <c r="U215" i="3" s="1"/>
  <c r="S83" i="3"/>
  <c r="J196" i="3"/>
  <c r="J198" i="3" s="1"/>
  <c r="J221" i="3"/>
  <c r="S305" i="3"/>
  <c r="S370" i="3"/>
  <c r="T102" i="3"/>
  <c r="R81" i="3"/>
  <c r="R85" i="3" s="1"/>
  <c r="T187" i="3" s="1"/>
  <c r="T214" i="3" s="1"/>
  <c r="S87" i="2"/>
  <c r="S128" i="3"/>
  <c r="R309" i="3"/>
  <c r="T107" i="3"/>
  <c r="P33" i="6" l="1"/>
  <c r="P30" i="6"/>
  <c r="P34" i="6"/>
  <c r="R162" i="3"/>
  <c r="R272" i="3" s="1"/>
  <c r="Q380" i="3" s="1"/>
  <c r="Q386" i="3" s="1"/>
  <c r="P25" i="6"/>
  <c r="P27" i="6"/>
  <c r="P32" i="6"/>
  <c r="P35" i="6"/>
  <c r="P28" i="6"/>
  <c r="P31" i="6"/>
  <c r="R161" i="3"/>
  <c r="Q22" i="6"/>
  <c r="Q34" i="6" s="1"/>
  <c r="P24" i="6"/>
  <c r="Q482" i="3"/>
  <c r="V95" i="3"/>
  <c r="V97" i="3" s="1"/>
  <c r="W96" i="3" s="1"/>
  <c r="U373" i="3"/>
  <c r="I456" i="3"/>
  <c r="R475" i="3"/>
  <c r="S265" i="3"/>
  <c r="Q142" i="3"/>
  <c r="T370" i="3"/>
  <c r="S371" i="3"/>
  <c r="S428" i="3" s="1"/>
  <c r="J286" i="3"/>
  <c r="J250" i="3"/>
  <c r="T85" i="2"/>
  <c r="S114" i="3"/>
  <c r="T73" i="2"/>
  <c r="T183" i="3"/>
  <c r="R146" i="3"/>
  <c r="R140" i="3"/>
  <c r="R172" i="3"/>
  <c r="J420" i="3"/>
  <c r="J434" i="3" s="1"/>
  <c r="J415" i="3"/>
  <c r="J393" i="3"/>
  <c r="K280" i="3"/>
  <c r="K338" i="3" s="1"/>
  <c r="J225" i="3"/>
  <c r="AU181" i="3"/>
  <c r="BH180" i="3" s="1"/>
  <c r="S244" i="3"/>
  <c r="Q148" i="3"/>
  <c r="Q149" i="3" s="1"/>
  <c r="U100" i="3"/>
  <c r="U101" i="3"/>
  <c r="K273" i="3"/>
  <c r="J223" i="3"/>
  <c r="J414" i="3"/>
  <c r="J382" i="3"/>
  <c r="R409" i="3"/>
  <c r="U106" i="3"/>
  <c r="U105" i="3"/>
  <c r="T127" i="3"/>
  <c r="T126" i="3"/>
  <c r="S210" i="3"/>
  <c r="S185" i="3"/>
  <c r="I438" i="3"/>
  <c r="S112" i="3"/>
  <c r="I467" i="3"/>
  <c r="I491" i="3" s="1"/>
  <c r="R163" i="3" l="1"/>
  <c r="R164" i="3" s="1"/>
  <c r="Q26" i="6"/>
  <c r="Q24" i="6"/>
  <c r="Q25" i="6"/>
  <c r="Q29" i="6"/>
  <c r="Q35" i="6"/>
  <c r="Q27" i="6"/>
  <c r="Q33" i="6"/>
  <c r="S161" i="3"/>
  <c r="Q31" i="6"/>
  <c r="Q32" i="6"/>
  <c r="Q30" i="6"/>
  <c r="Q28" i="6"/>
  <c r="P36" i="6"/>
  <c r="P38" i="6" s="1"/>
  <c r="R476" i="3"/>
  <c r="R479" i="3" s="1"/>
  <c r="W95" i="3"/>
  <c r="W97" i="3" s="1"/>
  <c r="U107" i="3"/>
  <c r="V106" i="3" s="1"/>
  <c r="T128" i="3"/>
  <c r="U127" i="3" s="1"/>
  <c r="S418" i="3"/>
  <c r="S190" i="3"/>
  <c r="S212" i="3"/>
  <c r="T210" i="3"/>
  <c r="T185" i="3"/>
  <c r="Q151" i="3"/>
  <c r="Q153" i="3" s="1"/>
  <c r="Q143" i="3"/>
  <c r="J325" i="3"/>
  <c r="J328" i="3" s="1"/>
  <c r="J340" i="3" s="1"/>
  <c r="J342" i="3" s="1"/>
  <c r="K274" i="3"/>
  <c r="K276" i="3" s="1"/>
  <c r="J252" i="3"/>
  <c r="J288" i="3" s="1"/>
  <c r="J292" i="3" s="1"/>
  <c r="J381" i="3"/>
  <c r="I493" i="3"/>
  <c r="S62" i="3"/>
  <c r="S64" i="3" s="1"/>
  <c r="T75" i="2"/>
  <c r="T265" i="3"/>
  <c r="T267" i="3" s="1"/>
  <c r="R142" i="3"/>
  <c r="U477" i="3"/>
  <c r="U237" i="3"/>
  <c r="U305" i="3" s="1"/>
  <c r="S267" i="3"/>
  <c r="S357" i="3"/>
  <c r="U102" i="3"/>
  <c r="T111" i="3"/>
  <c r="T110" i="3"/>
  <c r="V478" i="3"/>
  <c r="V238" i="3"/>
  <c r="T83" i="3"/>
  <c r="V188" i="3"/>
  <c r="V215" i="3" s="1"/>
  <c r="K310" i="3"/>
  <c r="K311" i="3" s="1"/>
  <c r="K313" i="3" s="1"/>
  <c r="K320" i="3" s="1"/>
  <c r="S246" i="3"/>
  <c r="S379" i="3"/>
  <c r="K392" i="3"/>
  <c r="J394" i="3"/>
  <c r="T244" i="3"/>
  <c r="R148" i="3"/>
  <c r="R149" i="3" s="1"/>
  <c r="S81" i="3"/>
  <c r="S85" i="3" s="1"/>
  <c r="U187" i="3" s="1"/>
  <c r="U214" i="3" s="1"/>
  <c r="T87" i="2"/>
  <c r="T371" i="3"/>
  <c r="T428" i="3" s="1"/>
  <c r="S162" i="3" l="1"/>
  <c r="S272" i="3" s="1"/>
  <c r="R380" i="3" s="1"/>
  <c r="R386" i="3" s="1"/>
  <c r="S163" i="3"/>
  <c r="S164" i="3" s="1"/>
  <c r="Q36" i="6"/>
  <c r="Q38" i="6" s="1"/>
  <c r="R22" i="6"/>
  <c r="U126" i="3"/>
  <c r="U128" i="3" s="1"/>
  <c r="U370" i="3"/>
  <c r="U371" i="3" s="1"/>
  <c r="U428" i="3" s="1"/>
  <c r="V105" i="3"/>
  <c r="V107" i="3" s="1"/>
  <c r="W105" i="3" s="1"/>
  <c r="T357" i="3"/>
  <c r="T112" i="3"/>
  <c r="U111" i="3" s="1"/>
  <c r="K284" i="3"/>
  <c r="K192" i="3" s="1"/>
  <c r="J383" i="3"/>
  <c r="J388" i="3" s="1"/>
  <c r="J448" i="3"/>
  <c r="T418" i="3"/>
  <c r="T190" i="3"/>
  <c r="T212" i="3"/>
  <c r="S309" i="3"/>
  <c r="T309" i="3"/>
  <c r="U183" i="3"/>
  <c r="S146" i="3"/>
  <c r="S140" i="3"/>
  <c r="S172" i="3"/>
  <c r="J355" i="3"/>
  <c r="J359" i="3" s="1"/>
  <c r="K290" i="3"/>
  <c r="J410" i="3"/>
  <c r="J449" i="3"/>
  <c r="U85" i="2"/>
  <c r="T114" i="3"/>
  <c r="U73" i="2"/>
  <c r="S474" i="3"/>
  <c r="S419" i="3"/>
  <c r="S406" i="3"/>
  <c r="S304" i="3"/>
  <c r="S307" i="3" s="1"/>
  <c r="S236" i="3"/>
  <c r="S239" i="3" s="1"/>
  <c r="S248" i="3" s="1"/>
  <c r="S217" i="3"/>
  <c r="T379" i="3"/>
  <c r="V101" i="3"/>
  <c r="V100" i="3"/>
  <c r="R151" i="3"/>
  <c r="R153" i="3" s="1"/>
  <c r="R143" i="3"/>
  <c r="T246" i="3"/>
  <c r="V306" i="3"/>
  <c r="V373" i="3"/>
  <c r="W478" i="3"/>
  <c r="W238" i="3"/>
  <c r="W306" i="3" s="1"/>
  <c r="U83" i="3"/>
  <c r="W188" i="3"/>
  <c r="W215" i="3" s="1"/>
  <c r="J344" i="3"/>
  <c r="K341" i="3"/>
  <c r="R480" i="3"/>
  <c r="R482" i="3" s="1"/>
  <c r="R407" i="3"/>
  <c r="R408" i="3" s="1"/>
  <c r="T161" i="3" l="1"/>
  <c r="T162" i="3"/>
  <c r="T272" i="3" s="1"/>
  <c r="S380" i="3" s="1"/>
  <c r="S386" i="3" s="1"/>
  <c r="R34" i="6"/>
  <c r="R26" i="6"/>
  <c r="R31" i="6"/>
  <c r="R30" i="6"/>
  <c r="R33" i="6"/>
  <c r="R32" i="6"/>
  <c r="R28" i="6"/>
  <c r="R35" i="6"/>
  <c r="R27" i="6"/>
  <c r="R29" i="6"/>
  <c r="R25" i="6"/>
  <c r="R24" i="6"/>
  <c r="W106" i="3"/>
  <c r="W107" i="3" s="1"/>
  <c r="V102" i="3"/>
  <c r="W100" i="3" s="1"/>
  <c r="U110" i="3"/>
  <c r="U112" i="3" s="1"/>
  <c r="S475" i="3"/>
  <c r="S409" i="3"/>
  <c r="V127" i="3"/>
  <c r="V126" i="3"/>
  <c r="V477" i="3"/>
  <c r="V237" i="3"/>
  <c r="J411" i="3"/>
  <c r="J375" i="3"/>
  <c r="J423" i="3" s="1"/>
  <c r="J429" i="3"/>
  <c r="U210" i="3"/>
  <c r="U185" i="3"/>
  <c r="J450" i="3"/>
  <c r="J454" i="3" s="1"/>
  <c r="T62" i="3"/>
  <c r="T64" i="3" s="1"/>
  <c r="U75" i="2"/>
  <c r="K278" i="3"/>
  <c r="K219" i="3"/>
  <c r="K194" i="3"/>
  <c r="S480" i="3"/>
  <c r="S407" i="3"/>
  <c r="S408" i="3" s="1"/>
  <c r="T81" i="3"/>
  <c r="T85" i="3" s="1"/>
  <c r="V187" i="3" s="1"/>
  <c r="V214" i="3" s="1"/>
  <c r="U87" i="2"/>
  <c r="J396" i="3"/>
  <c r="U244" i="3"/>
  <c r="S148" i="3"/>
  <c r="S149" i="3" s="1"/>
  <c r="W373" i="3"/>
  <c r="U265" i="3"/>
  <c r="S142" i="3"/>
  <c r="V73" i="2"/>
  <c r="V85" i="2"/>
  <c r="U114" i="3"/>
  <c r="T474" i="3"/>
  <c r="T406" i="3"/>
  <c r="T304" i="3"/>
  <c r="T307" i="3" s="1"/>
  <c r="T419" i="3"/>
  <c r="T236" i="3"/>
  <c r="T239" i="3" s="1"/>
  <c r="T248" i="3" s="1"/>
  <c r="T217" i="3"/>
  <c r="T163" i="3" l="1"/>
  <c r="U162" i="3" s="1"/>
  <c r="U272" i="3" s="1"/>
  <c r="T380" i="3" s="1"/>
  <c r="T386" i="3" s="1"/>
  <c r="S22" i="6"/>
  <c r="S26" i="6" s="1"/>
  <c r="R36" i="6"/>
  <c r="R38" i="6" s="1"/>
  <c r="S35" i="6"/>
  <c r="S34" i="6"/>
  <c r="U161" i="3"/>
  <c r="U163" i="3" s="1"/>
  <c r="T164" i="3"/>
  <c r="S476" i="3"/>
  <c r="S479" i="3" s="1"/>
  <c r="S482" i="3" s="1"/>
  <c r="W101" i="3"/>
  <c r="W102" i="3" s="1"/>
  <c r="J455" i="3"/>
  <c r="J466" i="3" s="1"/>
  <c r="U62" i="3"/>
  <c r="U64" i="3" s="1"/>
  <c r="V75" i="2"/>
  <c r="T146" i="3"/>
  <c r="V183" i="3"/>
  <c r="T172" i="3"/>
  <c r="T140" i="3"/>
  <c r="T475" i="3"/>
  <c r="U246" i="3"/>
  <c r="V111" i="3"/>
  <c r="V110" i="3"/>
  <c r="U379" i="3"/>
  <c r="J436" i="3"/>
  <c r="J398" i="3"/>
  <c r="J427" i="3"/>
  <c r="J435" i="3" s="1"/>
  <c r="J424" i="3"/>
  <c r="V128" i="3"/>
  <c r="K221" i="3"/>
  <c r="K196" i="3"/>
  <c r="K198" i="3" s="1"/>
  <c r="S143" i="3"/>
  <c r="S151" i="3"/>
  <c r="S153" i="3" s="1"/>
  <c r="K326" i="3"/>
  <c r="K282" i="3"/>
  <c r="U418" i="3"/>
  <c r="U190" i="3"/>
  <c r="U212" i="3"/>
  <c r="X478" i="3"/>
  <c r="V83" i="3"/>
  <c r="X188" i="3"/>
  <c r="X215" i="3" s="1"/>
  <c r="X238" i="3"/>
  <c r="X306" i="3" s="1"/>
  <c r="J465" i="3"/>
  <c r="W477" i="3"/>
  <c r="W237" i="3"/>
  <c r="W305" i="3" s="1"/>
  <c r="T409" i="3"/>
  <c r="U81" i="3"/>
  <c r="U85" i="3" s="1"/>
  <c r="W187" i="3" s="1"/>
  <c r="W214" i="3" s="1"/>
  <c r="V87" i="2"/>
  <c r="U267" i="3"/>
  <c r="U357" i="3"/>
  <c r="V305" i="3"/>
  <c r="V370" i="3"/>
  <c r="S30" i="6" l="1"/>
  <c r="S31" i="6"/>
  <c r="S24" i="6"/>
  <c r="S25" i="6"/>
  <c r="S28" i="6"/>
  <c r="S29" i="6"/>
  <c r="S32" i="6"/>
  <c r="S27" i="6"/>
  <c r="S33" i="6"/>
  <c r="T22" i="6"/>
  <c r="T476" i="3"/>
  <c r="T479" i="3" s="1"/>
  <c r="J456" i="3"/>
  <c r="U164" i="3"/>
  <c r="V162" i="3"/>
  <c r="V272" i="3" s="1"/>
  <c r="U380" i="3" s="1"/>
  <c r="U386" i="3" s="1"/>
  <c r="V161" i="3"/>
  <c r="J467" i="3"/>
  <c r="J491" i="3" s="1"/>
  <c r="J493" i="3" s="1"/>
  <c r="J438" i="3"/>
  <c r="X373" i="3"/>
  <c r="K286" i="3"/>
  <c r="K250" i="3"/>
  <c r="U146" i="3"/>
  <c r="W183" i="3"/>
  <c r="U172" i="3"/>
  <c r="U140" i="3"/>
  <c r="L273" i="3"/>
  <c r="K223" i="3"/>
  <c r="K414" i="3"/>
  <c r="K382" i="3"/>
  <c r="V112" i="3"/>
  <c r="V210" i="3"/>
  <c r="V185" i="3"/>
  <c r="U309" i="3"/>
  <c r="T480" i="3"/>
  <c r="T407" i="3"/>
  <c r="T408" i="3" s="1"/>
  <c r="K420" i="3"/>
  <c r="K434" i="3" s="1"/>
  <c r="K415" i="3"/>
  <c r="K393" i="3"/>
  <c r="L280" i="3"/>
  <c r="L338" i="3" s="1"/>
  <c r="K225" i="3"/>
  <c r="AV181" i="3"/>
  <c r="BI180" i="3" s="1"/>
  <c r="W73" i="2"/>
  <c r="V114" i="3"/>
  <c r="W85" i="2"/>
  <c r="T148" i="3"/>
  <c r="T149" i="3" s="1"/>
  <c r="V244" i="3"/>
  <c r="U474" i="3"/>
  <c r="U419" i="3"/>
  <c r="U406" i="3"/>
  <c r="U304" i="3"/>
  <c r="U307" i="3" s="1"/>
  <c r="U236" i="3"/>
  <c r="U239" i="3" s="1"/>
  <c r="U248" i="3" s="1"/>
  <c r="U217" i="3"/>
  <c r="W370" i="3"/>
  <c r="V371" i="3"/>
  <c r="V428" i="3" s="1"/>
  <c r="W127" i="3"/>
  <c r="W126" i="3"/>
  <c r="V265" i="3"/>
  <c r="V267" i="3" s="1"/>
  <c r="T142" i="3"/>
  <c r="S36" i="6" l="1"/>
  <c r="S38" i="6" s="1"/>
  <c r="T28" i="6"/>
  <c r="T31" i="6"/>
  <c r="T32" i="6"/>
  <c r="T25" i="6"/>
  <c r="T29" i="6"/>
  <c r="T34" i="6"/>
  <c r="T35" i="6"/>
  <c r="T27" i="6"/>
  <c r="T26" i="6"/>
  <c r="T33" i="6"/>
  <c r="T30" i="6"/>
  <c r="T482" i="3"/>
  <c r="T24" i="6"/>
  <c r="V163" i="3"/>
  <c r="V164" i="3" s="1"/>
  <c r="T151" i="3"/>
  <c r="T153" i="3" s="1"/>
  <c r="T143" i="3"/>
  <c r="V246" i="3"/>
  <c r="X477" i="3"/>
  <c r="X237" i="3"/>
  <c r="X305" i="3" s="1"/>
  <c r="V62" i="3"/>
  <c r="V64" i="3" s="1"/>
  <c r="W75" i="2"/>
  <c r="L392" i="3"/>
  <c r="K394" i="3"/>
  <c r="W210" i="3"/>
  <c r="W185" i="3"/>
  <c r="W128" i="3"/>
  <c r="V418" i="3"/>
  <c r="V212" i="3"/>
  <c r="V190" i="3"/>
  <c r="V357" i="3"/>
  <c r="W244" i="3"/>
  <c r="U148" i="3"/>
  <c r="U149" i="3" s="1"/>
  <c r="U409" i="3"/>
  <c r="V379" i="3"/>
  <c r="W110" i="3"/>
  <c r="W111" i="3"/>
  <c r="L310" i="3"/>
  <c r="L311" i="3" s="1"/>
  <c r="L313" i="3" s="1"/>
  <c r="L320" i="3" s="1"/>
  <c r="V309" i="3"/>
  <c r="Y478" i="3"/>
  <c r="Y238" i="3"/>
  <c r="Y188" i="3"/>
  <c r="Y215" i="3" s="1"/>
  <c r="W83" i="3"/>
  <c r="W371" i="3"/>
  <c r="W428" i="3" s="1"/>
  <c r="U475" i="3"/>
  <c r="V81" i="3"/>
  <c r="V85" i="3" s="1"/>
  <c r="X187" i="3" s="1"/>
  <c r="X214" i="3" s="1"/>
  <c r="W87" i="2"/>
  <c r="W265" i="3"/>
  <c r="W267" i="3" s="1"/>
  <c r="U142" i="3"/>
  <c r="K325" i="3"/>
  <c r="K328" i="3" s="1"/>
  <c r="K340" i="3" s="1"/>
  <c r="K342" i="3" s="1"/>
  <c r="L274" i="3"/>
  <c r="L276" i="3" s="1"/>
  <c r="K252" i="3"/>
  <c r="K288" i="3" s="1"/>
  <c r="K292" i="3" s="1"/>
  <c r="K381" i="3"/>
  <c r="U22" i="6" l="1"/>
  <c r="T36" i="6"/>
  <c r="T38" i="6" s="1"/>
  <c r="U476" i="3"/>
  <c r="U479" i="3" s="1"/>
  <c r="W161" i="3"/>
  <c r="W162" i="3"/>
  <c r="W272" i="3" s="1"/>
  <c r="V380" i="3" s="1"/>
  <c r="V386" i="3" s="1"/>
  <c r="X370" i="3"/>
  <c r="W357" i="3"/>
  <c r="U480" i="3"/>
  <c r="U407" i="3"/>
  <c r="U408" i="3" s="1"/>
  <c r="X85" i="2"/>
  <c r="W114" i="3"/>
  <c r="X73" i="2"/>
  <c r="V474" i="3"/>
  <c r="V419" i="3"/>
  <c r="V406" i="3"/>
  <c r="V304" i="3"/>
  <c r="V307" i="3" s="1"/>
  <c r="V236" i="3"/>
  <c r="V239" i="3" s="1"/>
  <c r="V248" i="3" s="1"/>
  <c r="V217" i="3"/>
  <c r="K449" i="3"/>
  <c r="K410" i="3"/>
  <c r="K355" i="3"/>
  <c r="K359" i="3" s="1"/>
  <c r="L290" i="3"/>
  <c r="Y306" i="3"/>
  <c r="Y373" i="3"/>
  <c r="W112" i="3"/>
  <c r="L341" i="3"/>
  <c r="K344" i="3"/>
  <c r="X183" i="3"/>
  <c r="V146" i="3"/>
  <c r="V172" i="3"/>
  <c r="V140" i="3"/>
  <c r="L284" i="3"/>
  <c r="L192" i="3" s="1"/>
  <c r="K448" i="3"/>
  <c r="K383" i="3"/>
  <c r="K388" i="3" s="1"/>
  <c r="U151" i="3"/>
  <c r="U153" i="3" s="1"/>
  <c r="U143" i="3"/>
  <c r="W309" i="3"/>
  <c r="X371" i="3"/>
  <c r="X428" i="3" s="1"/>
  <c r="W379" i="3"/>
  <c r="W246" i="3"/>
  <c r="W418" i="3"/>
  <c r="W190" i="3"/>
  <c r="W212" i="3"/>
  <c r="U25" i="6" l="1"/>
  <c r="U26" i="6"/>
  <c r="U27" i="6"/>
  <c r="U34" i="6"/>
  <c r="U35" i="6"/>
  <c r="U28" i="6"/>
  <c r="U32" i="6"/>
  <c r="U30" i="6"/>
  <c r="U33" i="6"/>
  <c r="U31" i="6"/>
  <c r="U29" i="6"/>
  <c r="U482" i="3"/>
  <c r="U24" i="6"/>
  <c r="W163" i="3"/>
  <c r="X162" i="3" s="1"/>
  <c r="X272" i="3" s="1"/>
  <c r="W380" i="3" s="1"/>
  <c r="W386" i="3" s="1"/>
  <c r="V475" i="3"/>
  <c r="V409" i="3"/>
  <c r="W419" i="3"/>
  <c r="W474" i="3"/>
  <c r="W406" i="3"/>
  <c r="W304" i="3"/>
  <c r="W307" i="3" s="1"/>
  <c r="W217" i="3"/>
  <c r="W236" i="3"/>
  <c r="W239" i="3" s="1"/>
  <c r="W248" i="3" s="1"/>
  <c r="V480" i="3"/>
  <c r="V407" i="3"/>
  <c r="V408" i="3" s="1"/>
  <c r="L278" i="3"/>
  <c r="L219" i="3"/>
  <c r="L194" i="3"/>
  <c r="X244" i="3"/>
  <c r="X379" i="3" s="1"/>
  <c r="V148" i="3"/>
  <c r="V149" i="3" s="1"/>
  <c r="K411" i="3"/>
  <c r="K375" i="3"/>
  <c r="K423" i="3" s="1"/>
  <c r="K429" i="3"/>
  <c r="Y477" i="3"/>
  <c r="Y237" i="3"/>
  <c r="X265" i="3"/>
  <c r="V142" i="3"/>
  <c r="K450" i="3"/>
  <c r="K454" i="3" s="1"/>
  <c r="W62" i="3"/>
  <c r="W64" i="3" s="1"/>
  <c r="X75" i="2"/>
  <c r="K396" i="3"/>
  <c r="X210" i="3"/>
  <c r="X185" i="3"/>
  <c r="W81" i="3"/>
  <c r="W85" i="3" s="1"/>
  <c r="Y187" i="3" s="1"/>
  <c r="Y214" i="3" s="1"/>
  <c r="X87" i="2"/>
  <c r="V22" i="6" l="1"/>
  <c r="V25" i="6" s="1"/>
  <c r="V31" i="6"/>
  <c r="V35" i="6"/>
  <c r="V34" i="6"/>
  <c r="V29" i="6"/>
  <c r="V30" i="6"/>
  <c r="U36" i="6"/>
  <c r="U38" i="6" s="1"/>
  <c r="V476" i="3"/>
  <c r="V479" i="3" s="1"/>
  <c r="V482" i="3" s="1"/>
  <c r="X161" i="3"/>
  <c r="X163" i="3" s="1"/>
  <c r="W164" i="3"/>
  <c r="K455" i="3"/>
  <c r="K466" i="3" s="1"/>
  <c r="K465" i="3"/>
  <c r="Y183" i="3"/>
  <c r="W146" i="3"/>
  <c r="X146" i="3" s="1"/>
  <c r="X148" i="3" s="1"/>
  <c r="W140" i="3"/>
  <c r="W172" i="3"/>
  <c r="L326" i="3"/>
  <c r="L282" i="3"/>
  <c r="W475" i="3"/>
  <c r="Y305" i="3"/>
  <c r="Y370" i="3"/>
  <c r="Y371" i="3" s="1"/>
  <c r="Y428" i="3" s="1"/>
  <c r="W409" i="3"/>
  <c r="V151" i="3"/>
  <c r="V153" i="3" s="1"/>
  <c r="V143" i="3"/>
  <c r="X418" i="3"/>
  <c r="X190" i="3"/>
  <c r="X212" i="3"/>
  <c r="X267" i="3"/>
  <c r="X357" i="3"/>
  <c r="X246" i="3"/>
  <c r="K436" i="3"/>
  <c r="K398" i="3"/>
  <c r="K427" i="3"/>
  <c r="K435" i="3" s="1"/>
  <c r="K424" i="3"/>
  <c r="L221" i="3"/>
  <c r="L196" i="3"/>
  <c r="L198" i="3" s="1"/>
  <c r="V28" i="6" l="1"/>
  <c r="V27" i="6"/>
  <c r="V26" i="6"/>
  <c r="V24" i="6"/>
  <c r="V33" i="6"/>
  <c r="V32" i="6"/>
  <c r="W476" i="3"/>
  <c r="W479" i="3" s="1"/>
  <c r="Y162" i="3"/>
  <c r="Y272" i="3" s="1"/>
  <c r="X380" i="3" s="1"/>
  <c r="X386" i="3" s="1"/>
  <c r="Y386" i="3" s="1"/>
  <c r="Y161" i="3"/>
  <c r="X164" i="3"/>
  <c r="K467" i="3"/>
  <c r="K491" i="3" s="1"/>
  <c r="K493" i="3" s="1"/>
  <c r="K456" i="3"/>
  <c r="X474" i="3"/>
  <c r="X419" i="3"/>
  <c r="X406" i="3"/>
  <c r="X236" i="3"/>
  <c r="X239" i="3" s="1"/>
  <c r="X248" i="3" s="1"/>
  <c r="X217" i="3"/>
  <c r="X304" i="3"/>
  <c r="X307" i="3" s="1"/>
  <c r="L286" i="3"/>
  <c r="L250" i="3"/>
  <c r="Y244" i="3"/>
  <c r="W148" i="3"/>
  <c r="W480" i="3"/>
  <c r="W407" i="3"/>
  <c r="W408" i="3" s="1"/>
  <c r="Y210" i="3"/>
  <c r="Y185" i="3"/>
  <c r="L420" i="3"/>
  <c r="L434" i="3" s="1"/>
  <c r="L415" i="3"/>
  <c r="L393" i="3"/>
  <c r="M280" i="3"/>
  <c r="M338" i="3" s="1"/>
  <c r="AW181" i="3"/>
  <c r="BJ180" i="3" s="1"/>
  <c r="L225" i="3"/>
  <c r="Y265" i="3"/>
  <c r="Y267" i="3" s="1"/>
  <c r="W142" i="3"/>
  <c r="L223" i="3"/>
  <c r="M273" i="3"/>
  <c r="L414" i="3"/>
  <c r="L382" i="3"/>
  <c r="K438" i="3"/>
  <c r="X309" i="3"/>
  <c r="V36" i="6" l="1"/>
  <c r="V38" i="6" s="1"/>
  <c r="W482" i="3"/>
  <c r="Y163" i="3"/>
  <c r="Y164" i="3" s="1"/>
  <c r="M310" i="3"/>
  <c r="M311" i="3" s="1"/>
  <c r="M313" i="3" s="1"/>
  <c r="M320" i="3" s="1"/>
  <c r="L325" i="3"/>
  <c r="L328" i="3" s="1"/>
  <c r="L340" i="3" s="1"/>
  <c r="L342" i="3" s="1"/>
  <c r="M274" i="3"/>
  <c r="M276" i="3" s="1"/>
  <c r="L252" i="3"/>
  <c r="L288" i="3" s="1"/>
  <c r="L292" i="3" s="1"/>
  <c r="L381" i="3"/>
  <c r="W143" i="3"/>
  <c r="W151" i="3"/>
  <c r="X143" i="3"/>
  <c r="Y418" i="3"/>
  <c r="Y190" i="3"/>
  <c r="Y212" i="3"/>
  <c r="Y357" i="3"/>
  <c r="X475" i="3"/>
  <c r="Y246" i="3"/>
  <c r="Y379" i="3"/>
  <c r="Y309" i="3"/>
  <c r="L394" i="3"/>
  <c r="M392" i="3"/>
  <c r="W149" i="3"/>
  <c r="X149" i="3"/>
  <c r="X409" i="3"/>
  <c r="X476" i="3" l="1"/>
  <c r="X479" i="3" s="1"/>
  <c r="W153" i="3"/>
  <c r="X151" i="3"/>
  <c r="X153" i="3" s="1"/>
  <c r="Y474" i="3"/>
  <c r="Y419" i="3"/>
  <c r="Y406" i="3"/>
  <c r="Y304" i="3"/>
  <c r="Y307" i="3" s="1"/>
  <c r="Y236" i="3"/>
  <c r="Y239" i="3" s="1"/>
  <c r="Y248" i="3" s="1"/>
  <c r="Y217" i="3"/>
  <c r="L344" i="3"/>
  <c r="M341" i="3"/>
  <c r="L355" i="3"/>
  <c r="L359" i="3" s="1"/>
  <c r="M290" i="3"/>
  <c r="L449" i="3"/>
  <c r="L410" i="3"/>
  <c r="M284" i="3"/>
  <c r="M192" i="3" s="1"/>
  <c r="L448" i="3"/>
  <c r="L383" i="3"/>
  <c r="L388" i="3" s="1"/>
  <c r="L450" i="3" l="1"/>
  <c r="L455" i="3" s="1"/>
  <c r="L466" i="3" s="1"/>
  <c r="L375" i="3"/>
  <c r="L423" i="3" s="1"/>
  <c r="L411" i="3"/>
  <c r="L429" i="3"/>
  <c r="Y475" i="3"/>
  <c r="X480" i="3"/>
  <c r="X482" i="3" s="1"/>
  <c r="X407" i="3"/>
  <c r="X408" i="3" s="1"/>
  <c r="M278" i="3"/>
  <c r="M219" i="3"/>
  <c r="M194" i="3"/>
  <c r="L396" i="3"/>
  <c r="Y480" i="3"/>
  <c r="Y407" i="3"/>
  <c r="Y408" i="3" s="1"/>
  <c r="Y409" i="3"/>
  <c r="Y476" i="3" l="1"/>
  <c r="Y479" i="3" s="1"/>
  <c r="Y482" i="3" s="1"/>
  <c r="M221" i="3"/>
  <c r="M196" i="3"/>
  <c r="M326" i="3"/>
  <c r="M282" i="3"/>
  <c r="L436" i="3"/>
  <c r="L398" i="3"/>
  <c r="L427" i="3"/>
  <c r="L435" i="3" s="1"/>
  <c r="L424" i="3"/>
  <c r="L454" i="3"/>
  <c r="L438" i="3" l="1"/>
  <c r="L456" i="3"/>
  <c r="L465" i="3"/>
  <c r="L467" i="3" s="1"/>
  <c r="L491" i="3" s="1"/>
  <c r="M286" i="3"/>
  <c r="M250" i="3"/>
  <c r="N273" i="3"/>
  <c r="M223" i="3"/>
  <c r="M414" i="3"/>
  <c r="M382" i="3"/>
  <c r="M198" i="3"/>
  <c r="L493" i="3" l="1"/>
  <c r="M325" i="3"/>
  <c r="M328" i="3" s="1"/>
  <c r="M340" i="3" s="1"/>
  <c r="M342" i="3" s="1"/>
  <c r="N274" i="3"/>
  <c r="N276" i="3" s="1"/>
  <c r="M252" i="3"/>
  <c r="M288" i="3" s="1"/>
  <c r="M292" i="3" s="1"/>
  <c r="M381" i="3"/>
  <c r="M420" i="3"/>
  <c r="M434" i="3" s="1"/>
  <c r="M415" i="3"/>
  <c r="M393" i="3"/>
  <c r="N280" i="3"/>
  <c r="N338" i="3" s="1"/>
  <c r="AX181" i="3"/>
  <c r="M225" i="3"/>
  <c r="N310" i="3"/>
  <c r="N311" i="3" s="1"/>
  <c r="N313" i="3" s="1"/>
  <c r="N320" i="3" s="1"/>
  <c r="N284" i="3" l="1"/>
  <c r="N192" i="3" s="1"/>
  <c r="M383" i="3"/>
  <c r="M388" i="3" s="1"/>
  <c r="M448" i="3"/>
  <c r="M394" i="3"/>
  <c r="N392" i="3"/>
  <c r="M355" i="3"/>
  <c r="M359" i="3" s="1"/>
  <c r="N290" i="3"/>
  <c r="M344" i="3"/>
  <c r="N341" i="3"/>
  <c r="N278" i="3" l="1"/>
  <c r="N219" i="3"/>
  <c r="N194" i="3"/>
  <c r="M411" i="3"/>
  <c r="M375" i="3"/>
  <c r="M423" i="3" s="1"/>
  <c r="M429" i="3"/>
  <c r="M449" i="3"/>
  <c r="M410" i="3"/>
  <c r="M396" i="3"/>
  <c r="M436" i="3" l="1"/>
  <c r="M398" i="3"/>
  <c r="M427" i="3"/>
  <c r="M435" i="3" s="1"/>
  <c r="M424" i="3"/>
  <c r="N221" i="3"/>
  <c r="N196" i="3"/>
  <c r="M450" i="3"/>
  <c r="M454" i="3" s="1"/>
  <c r="N326" i="3"/>
  <c r="N282" i="3"/>
  <c r="M438" i="3" l="1"/>
  <c r="O273" i="3"/>
  <c r="N223" i="3"/>
  <c r="N414" i="3"/>
  <c r="N382" i="3"/>
  <c r="N286" i="3"/>
  <c r="N250" i="3"/>
  <c r="N198" i="3"/>
  <c r="M465" i="3"/>
  <c r="M455" i="3"/>
  <c r="M466" i="3" s="1"/>
  <c r="M456" i="3" l="1"/>
  <c r="N420" i="3"/>
  <c r="N434" i="3" s="1"/>
  <c r="N415" i="3"/>
  <c r="N393" i="3"/>
  <c r="O280" i="3"/>
  <c r="O338" i="3" s="1"/>
  <c r="N225" i="3"/>
  <c r="AY181" i="3"/>
  <c r="N325" i="3"/>
  <c r="N328" i="3" s="1"/>
  <c r="N340" i="3" s="1"/>
  <c r="N342" i="3" s="1"/>
  <c r="O274" i="3"/>
  <c r="O276" i="3" s="1"/>
  <c r="N252" i="3"/>
  <c r="N288" i="3" s="1"/>
  <c r="N292" i="3" s="1"/>
  <c r="N381" i="3"/>
  <c r="M467" i="3"/>
  <c r="M491" i="3" s="1"/>
  <c r="O310" i="3"/>
  <c r="O311" i="3" s="1"/>
  <c r="O313" i="3" s="1"/>
  <c r="O320" i="3" s="1"/>
  <c r="N344" i="3" l="1"/>
  <c r="O341" i="3"/>
  <c r="N394" i="3"/>
  <c r="O392" i="3"/>
  <c r="O284" i="3"/>
  <c r="O192" i="3" s="1"/>
  <c r="N448" i="3"/>
  <c r="N383" i="3"/>
  <c r="N388" i="3" s="1"/>
  <c r="M493" i="3"/>
  <c r="N355" i="3"/>
  <c r="N359" i="3" s="1"/>
  <c r="O290" i="3"/>
  <c r="N410" i="3" l="1"/>
  <c r="N449" i="3"/>
  <c r="N450" i="3" s="1"/>
  <c r="N454" i="3" s="1"/>
  <c r="N396" i="3"/>
  <c r="N411" i="3"/>
  <c r="N375" i="3"/>
  <c r="N423" i="3" s="1"/>
  <c r="N429" i="3"/>
  <c r="O278" i="3"/>
  <c r="O219" i="3"/>
  <c r="O194" i="3"/>
  <c r="N465" i="3" l="1"/>
  <c r="O326" i="3"/>
  <c r="O282" i="3"/>
  <c r="N436" i="3"/>
  <c r="N398" i="3"/>
  <c r="N427" i="3"/>
  <c r="N435" i="3" s="1"/>
  <c r="N424" i="3"/>
  <c r="N455" i="3"/>
  <c r="N466" i="3" s="1"/>
  <c r="O221" i="3"/>
  <c r="O196" i="3"/>
  <c r="N438" i="3" l="1"/>
  <c r="P273" i="3"/>
  <c r="O223" i="3"/>
  <c r="O414" i="3"/>
  <c r="O382" i="3"/>
  <c r="O286" i="3"/>
  <c r="O250" i="3"/>
  <c r="O198" i="3"/>
  <c r="N467" i="3"/>
  <c r="N491" i="3" s="1"/>
  <c r="N456" i="3"/>
  <c r="O420" i="3" l="1"/>
  <c r="O434" i="3" s="1"/>
  <c r="O415" i="3"/>
  <c r="O393" i="3"/>
  <c r="P280" i="3"/>
  <c r="P338" i="3" s="1"/>
  <c r="O225" i="3"/>
  <c r="AZ181" i="3"/>
  <c r="O325" i="3"/>
  <c r="O328" i="3" s="1"/>
  <c r="O340" i="3" s="1"/>
  <c r="O342" i="3" s="1"/>
  <c r="P274" i="3"/>
  <c r="P276" i="3" s="1"/>
  <c r="O252" i="3"/>
  <c r="O288" i="3" s="1"/>
  <c r="O292" i="3" s="1"/>
  <c r="O381" i="3"/>
  <c r="N493" i="3"/>
  <c r="P310" i="3"/>
  <c r="P311" i="3" s="1"/>
  <c r="P313" i="3" s="1"/>
  <c r="P320" i="3" s="1"/>
  <c r="O355" i="3" l="1"/>
  <c r="O359" i="3" s="1"/>
  <c r="P290" i="3"/>
  <c r="P341" i="3"/>
  <c r="O344" i="3"/>
  <c r="P392" i="3"/>
  <c r="O394" i="3"/>
  <c r="P284" i="3"/>
  <c r="P192" i="3" s="1"/>
  <c r="O448" i="3"/>
  <c r="O383" i="3"/>
  <c r="O388" i="3" s="1"/>
  <c r="O396" i="3" l="1"/>
  <c r="P278" i="3"/>
  <c r="P219" i="3"/>
  <c r="P194" i="3"/>
  <c r="O411" i="3"/>
  <c r="O375" i="3"/>
  <c r="O429" i="3"/>
  <c r="O449" i="3"/>
  <c r="O450" i="3" s="1"/>
  <c r="O454" i="3" s="1"/>
  <c r="O410" i="3"/>
  <c r="O465" i="3" l="1"/>
  <c r="O436" i="3"/>
  <c r="O398" i="3"/>
  <c r="O427" i="3"/>
  <c r="O435" i="3" s="1"/>
  <c r="O424" i="3"/>
  <c r="P326" i="3"/>
  <c r="P282" i="3"/>
  <c r="O423" i="3"/>
  <c r="O455" i="3"/>
  <c r="O466" i="3" s="1"/>
  <c r="P221" i="3"/>
  <c r="P196" i="3"/>
  <c r="P198" i="3" s="1"/>
  <c r="P415" i="3" l="1"/>
  <c r="P393" i="3"/>
  <c r="P420" i="3"/>
  <c r="P434" i="3" s="1"/>
  <c r="BA181" i="3"/>
  <c r="Q280" i="3"/>
  <c r="Q338" i="3" s="1"/>
  <c r="P225" i="3"/>
  <c r="O467" i="3"/>
  <c r="P286" i="3"/>
  <c r="P250" i="3"/>
  <c r="P223" i="3"/>
  <c r="Q273" i="3"/>
  <c r="P414" i="3"/>
  <c r="P382" i="3"/>
  <c r="O438" i="3"/>
  <c r="O456" i="3"/>
  <c r="Q310" i="3" l="1"/>
  <c r="Q311" i="3" s="1"/>
  <c r="Q313" i="3" s="1"/>
  <c r="Q320" i="3" s="1"/>
  <c r="O491" i="3"/>
  <c r="Q392" i="3"/>
  <c r="P394" i="3"/>
  <c r="P325" i="3"/>
  <c r="P328" i="3" s="1"/>
  <c r="P340" i="3" s="1"/>
  <c r="P342" i="3" s="1"/>
  <c r="Q274" i="3"/>
  <c r="Q276" i="3" s="1"/>
  <c r="P252" i="3"/>
  <c r="P288" i="3" s="1"/>
  <c r="P292" i="3" s="1"/>
  <c r="P381" i="3"/>
  <c r="Q284" i="3" l="1"/>
  <c r="Q192" i="3" s="1"/>
  <c r="P448" i="3"/>
  <c r="P383" i="3"/>
  <c r="P388" i="3" s="1"/>
  <c r="P355" i="3"/>
  <c r="P359" i="3" s="1"/>
  <c r="Q290" i="3"/>
  <c r="P449" i="3"/>
  <c r="P410" i="3"/>
  <c r="O485" i="3"/>
  <c r="O493" i="3"/>
  <c r="P344" i="3"/>
  <c r="Q341" i="3"/>
  <c r="P411" i="3" l="1"/>
  <c r="P375" i="3"/>
  <c r="P423" i="3" s="1"/>
  <c r="P429" i="3"/>
  <c r="Q278" i="3"/>
  <c r="Q219" i="3"/>
  <c r="Q194" i="3"/>
  <c r="P396" i="3"/>
  <c r="P450" i="3"/>
  <c r="P455" i="3" s="1"/>
  <c r="P466" i="3" s="1"/>
  <c r="P454" i="3" l="1"/>
  <c r="P465" i="3" s="1"/>
  <c r="P467" i="3" s="1"/>
  <c r="Q221" i="3"/>
  <c r="Q196" i="3"/>
  <c r="Q198" i="3" s="1"/>
  <c r="P436" i="3"/>
  <c r="P398" i="3"/>
  <c r="P427" i="3"/>
  <c r="P435" i="3" s="1"/>
  <c r="P424" i="3"/>
  <c r="Q326" i="3"/>
  <c r="Q282" i="3"/>
  <c r="P456" i="3" l="1"/>
  <c r="P438" i="3"/>
  <c r="Q286" i="3"/>
  <c r="Q250" i="3"/>
  <c r="P485" i="3"/>
  <c r="P491" i="3"/>
  <c r="Q420" i="3"/>
  <c r="Q434" i="3" s="1"/>
  <c r="Q415" i="3"/>
  <c r="Q393" i="3"/>
  <c r="R280" i="3"/>
  <c r="R338" i="3" s="1"/>
  <c r="BB181" i="3"/>
  <c r="Q225" i="3"/>
  <c r="R273" i="3"/>
  <c r="Q223" i="3"/>
  <c r="Q414" i="3"/>
  <c r="Q382" i="3"/>
  <c r="P493" i="3" l="1"/>
  <c r="Q325" i="3"/>
  <c r="Q328" i="3" s="1"/>
  <c r="Q340" i="3" s="1"/>
  <c r="Q342" i="3" s="1"/>
  <c r="R274" i="3"/>
  <c r="R276" i="3" s="1"/>
  <c r="Q252" i="3"/>
  <c r="Q288" i="3" s="1"/>
  <c r="Q292" i="3" s="1"/>
  <c r="Q381" i="3"/>
  <c r="R310" i="3"/>
  <c r="R311" i="3" s="1"/>
  <c r="R313" i="3" s="1"/>
  <c r="R320" i="3" s="1"/>
  <c r="R392" i="3"/>
  <c r="Q394" i="3"/>
  <c r="Q449" i="3" l="1"/>
  <c r="Q410" i="3"/>
  <c r="Q355" i="3"/>
  <c r="Q359" i="3" s="1"/>
  <c r="R290" i="3"/>
  <c r="Q344" i="3"/>
  <c r="R341" i="3"/>
  <c r="R284" i="3"/>
  <c r="R192" i="3" s="1"/>
  <c r="Q448" i="3"/>
  <c r="Q383" i="3"/>
  <c r="Q388" i="3" s="1"/>
  <c r="Q450" i="3" l="1"/>
  <c r="Q454" i="3" s="1"/>
  <c r="R278" i="3"/>
  <c r="R219" i="3"/>
  <c r="R194" i="3"/>
  <c r="Q396" i="3"/>
  <c r="Q411" i="3"/>
  <c r="Q375" i="3"/>
  <c r="Q423" i="3" s="1"/>
  <c r="Q429" i="3"/>
  <c r="Q455" i="3" l="1"/>
  <c r="Q466" i="3" s="1"/>
  <c r="Q465" i="3"/>
  <c r="R326" i="3"/>
  <c r="R282" i="3"/>
  <c r="Q436" i="3"/>
  <c r="Q398" i="3"/>
  <c r="Q427" i="3"/>
  <c r="Q435" i="3" s="1"/>
  <c r="Q424" i="3"/>
  <c r="R221" i="3"/>
  <c r="R196" i="3"/>
  <c r="Q456" i="3" l="1"/>
  <c r="Q467" i="3"/>
  <c r="Q491" i="3" s="1"/>
  <c r="Q438" i="3"/>
  <c r="R286" i="3"/>
  <c r="R250" i="3"/>
  <c r="S273" i="3"/>
  <c r="R223" i="3"/>
  <c r="R414" i="3"/>
  <c r="R382" i="3"/>
  <c r="R198" i="3"/>
  <c r="Q485" i="3" l="1"/>
  <c r="S310" i="3"/>
  <c r="S311" i="3" s="1"/>
  <c r="S313" i="3" s="1"/>
  <c r="S320" i="3" s="1"/>
  <c r="S274" i="3"/>
  <c r="S276" i="3" s="1"/>
  <c r="R325" i="3"/>
  <c r="R328" i="3" s="1"/>
  <c r="R340" i="3" s="1"/>
  <c r="R342" i="3" s="1"/>
  <c r="R252" i="3"/>
  <c r="R288" i="3" s="1"/>
  <c r="R292" i="3" s="1"/>
  <c r="R381" i="3"/>
  <c r="R420" i="3"/>
  <c r="R434" i="3" s="1"/>
  <c r="R415" i="3"/>
  <c r="R393" i="3"/>
  <c r="S280" i="3"/>
  <c r="S338" i="3" s="1"/>
  <c r="R225" i="3"/>
  <c r="BC181" i="3"/>
  <c r="Q493" i="3"/>
  <c r="R394" i="3" l="1"/>
  <c r="S392" i="3"/>
  <c r="R355" i="3"/>
  <c r="R359" i="3" s="1"/>
  <c r="S290" i="3"/>
  <c r="S284" i="3"/>
  <c r="S192" i="3" s="1"/>
  <c r="R448" i="3"/>
  <c r="R383" i="3"/>
  <c r="R388" i="3" s="1"/>
  <c r="R344" i="3"/>
  <c r="S341" i="3"/>
  <c r="R396" i="3" l="1"/>
  <c r="R449" i="3"/>
  <c r="R450" i="3" s="1"/>
  <c r="R454" i="3" s="1"/>
  <c r="R410" i="3"/>
  <c r="R411" i="3"/>
  <c r="R375" i="3"/>
  <c r="R429" i="3"/>
  <c r="S278" i="3"/>
  <c r="S219" i="3"/>
  <c r="S194" i="3"/>
  <c r="R465" i="3" l="1"/>
  <c r="R436" i="3"/>
  <c r="R398" i="3"/>
  <c r="R427" i="3"/>
  <c r="R435" i="3" s="1"/>
  <c r="R424" i="3"/>
  <c r="S221" i="3"/>
  <c r="S196" i="3"/>
  <c r="S198" i="3" s="1"/>
  <c r="S326" i="3"/>
  <c r="S282" i="3"/>
  <c r="R455" i="3"/>
  <c r="R466" i="3" s="1"/>
  <c r="R423" i="3"/>
  <c r="S420" i="3" l="1"/>
  <c r="S434" i="3" s="1"/>
  <c r="S415" i="3"/>
  <c r="S393" i="3"/>
  <c r="T280" i="3"/>
  <c r="T338" i="3" s="1"/>
  <c r="S225" i="3"/>
  <c r="BD181" i="3"/>
  <c r="R467" i="3"/>
  <c r="S286" i="3"/>
  <c r="S250" i="3"/>
  <c r="T273" i="3"/>
  <c r="S223" i="3"/>
  <c r="S414" i="3"/>
  <c r="S382" i="3"/>
  <c r="R438" i="3"/>
  <c r="R456" i="3"/>
  <c r="R485" i="3" l="1"/>
  <c r="R491" i="3"/>
  <c r="T392" i="3"/>
  <c r="S394" i="3"/>
  <c r="T310" i="3"/>
  <c r="T311" i="3" s="1"/>
  <c r="T313" i="3" s="1"/>
  <c r="T320" i="3" s="1"/>
  <c r="S325" i="3"/>
  <c r="S328" i="3" s="1"/>
  <c r="S340" i="3" s="1"/>
  <c r="S342" i="3" s="1"/>
  <c r="T274" i="3"/>
  <c r="T276" i="3" s="1"/>
  <c r="S252" i="3"/>
  <c r="S288" i="3" s="1"/>
  <c r="S292" i="3" s="1"/>
  <c r="S381" i="3"/>
  <c r="T284" i="3" l="1"/>
  <c r="T192" i="3" s="1"/>
  <c r="S448" i="3"/>
  <c r="S383" i="3"/>
  <c r="S388" i="3" s="1"/>
  <c r="R493" i="3"/>
  <c r="T341" i="3"/>
  <c r="S344" i="3"/>
  <c r="S449" i="3"/>
  <c r="S410" i="3"/>
  <c r="S355" i="3"/>
  <c r="S359" i="3" s="1"/>
  <c r="T290" i="3"/>
  <c r="S396" i="3" l="1"/>
  <c r="S411" i="3"/>
  <c r="S375" i="3"/>
  <c r="S423" i="3" s="1"/>
  <c r="S429" i="3"/>
  <c r="S450" i="3"/>
  <c r="S455" i="3" s="1"/>
  <c r="S466" i="3" s="1"/>
  <c r="T219" i="3"/>
  <c r="T278" i="3"/>
  <c r="T194" i="3"/>
  <c r="S454" i="3" l="1"/>
  <c r="T326" i="3"/>
  <c r="T282" i="3"/>
  <c r="T221" i="3"/>
  <c r="T196" i="3"/>
  <c r="S436" i="3"/>
  <c r="S398" i="3"/>
  <c r="S427" i="3"/>
  <c r="S435" i="3" s="1"/>
  <c r="S424" i="3"/>
  <c r="T286" i="3" l="1"/>
  <c r="T250" i="3"/>
  <c r="U273" i="3"/>
  <c r="T223" i="3"/>
  <c r="T414" i="3"/>
  <c r="T382" i="3"/>
  <c r="S438" i="3"/>
  <c r="T198" i="3"/>
  <c r="S456" i="3"/>
  <c r="S465" i="3"/>
  <c r="S467" i="3" s="1"/>
  <c r="S485" i="3" l="1"/>
  <c r="S491" i="3"/>
  <c r="T325" i="3"/>
  <c r="T328" i="3" s="1"/>
  <c r="T340" i="3" s="1"/>
  <c r="T342" i="3" s="1"/>
  <c r="U274" i="3"/>
  <c r="U276" i="3" s="1"/>
  <c r="T252" i="3"/>
  <c r="T288" i="3" s="1"/>
  <c r="T292" i="3" s="1"/>
  <c r="T381" i="3"/>
  <c r="T415" i="3"/>
  <c r="T420" i="3"/>
  <c r="T434" i="3" s="1"/>
  <c r="T393" i="3"/>
  <c r="BE181" i="3"/>
  <c r="U280" i="3"/>
  <c r="U338" i="3" s="1"/>
  <c r="T225" i="3"/>
  <c r="U310" i="3"/>
  <c r="U311" i="3" s="1"/>
  <c r="U313" i="3" s="1"/>
  <c r="U320" i="3" s="1"/>
  <c r="T344" i="3" l="1"/>
  <c r="U341" i="3"/>
  <c r="U392" i="3"/>
  <c r="T394" i="3"/>
  <c r="T355" i="3"/>
  <c r="T359" i="3" s="1"/>
  <c r="U290" i="3"/>
  <c r="S493" i="3"/>
  <c r="U284" i="3"/>
  <c r="U192" i="3" s="1"/>
  <c r="T448" i="3"/>
  <c r="T383" i="3"/>
  <c r="T388" i="3" s="1"/>
  <c r="T396" i="3" l="1"/>
  <c r="T375" i="3"/>
  <c r="T423" i="3" s="1"/>
  <c r="T411" i="3"/>
  <c r="T429" i="3"/>
  <c r="U278" i="3"/>
  <c r="U219" i="3"/>
  <c r="U194" i="3"/>
  <c r="T449" i="3"/>
  <c r="T450" i="3" s="1"/>
  <c r="T454" i="3" s="1"/>
  <c r="T410" i="3"/>
  <c r="T465" i="3" l="1"/>
  <c r="U221" i="3"/>
  <c r="U196" i="3"/>
  <c r="U198" i="3" s="1"/>
  <c r="U326" i="3"/>
  <c r="U282" i="3"/>
  <c r="T455" i="3"/>
  <c r="T466" i="3" s="1"/>
  <c r="T436" i="3"/>
  <c r="T398" i="3"/>
  <c r="T427" i="3"/>
  <c r="T435" i="3" s="1"/>
  <c r="T424" i="3"/>
  <c r="T438" i="3" l="1"/>
  <c r="T467" i="3"/>
  <c r="U420" i="3"/>
  <c r="U434" i="3" s="1"/>
  <c r="U415" i="3"/>
  <c r="U393" i="3"/>
  <c r="V280" i="3"/>
  <c r="V338" i="3" s="1"/>
  <c r="BF181" i="3"/>
  <c r="U225" i="3"/>
  <c r="U286" i="3"/>
  <c r="U250" i="3"/>
  <c r="V273" i="3"/>
  <c r="U223" i="3"/>
  <c r="U414" i="3"/>
  <c r="U382" i="3"/>
  <c r="T456" i="3"/>
  <c r="V392" i="3" l="1"/>
  <c r="U394" i="3"/>
  <c r="V310" i="3"/>
  <c r="V311" i="3" s="1"/>
  <c r="V313" i="3" s="1"/>
  <c r="V320" i="3" s="1"/>
  <c r="U325" i="3"/>
  <c r="U328" i="3" s="1"/>
  <c r="U340" i="3" s="1"/>
  <c r="U342" i="3" s="1"/>
  <c r="V274" i="3"/>
  <c r="V276" i="3" s="1"/>
  <c r="U252" i="3"/>
  <c r="U288" i="3" s="1"/>
  <c r="U292" i="3" s="1"/>
  <c r="U381" i="3"/>
  <c r="T485" i="3"/>
  <c r="T491" i="3"/>
  <c r="T493" i="3" l="1"/>
  <c r="U344" i="3"/>
  <c r="V341" i="3"/>
  <c r="V284" i="3"/>
  <c r="V192" i="3" s="1"/>
  <c r="U448" i="3"/>
  <c r="U383" i="3"/>
  <c r="U388" i="3" s="1"/>
  <c r="U449" i="3"/>
  <c r="U410" i="3"/>
  <c r="U355" i="3"/>
  <c r="U359" i="3" s="1"/>
  <c r="V290" i="3"/>
  <c r="V278" i="3" l="1"/>
  <c r="V219" i="3"/>
  <c r="V194" i="3"/>
  <c r="U411" i="3"/>
  <c r="U375" i="3"/>
  <c r="U423" i="3" s="1"/>
  <c r="U429" i="3"/>
  <c r="U396" i="3"/>
  <c r="U450" i="3"/>
  <c r="U454" i="3" s="1"/>
  <c r="U455" i="3" l="1"/>
  <c r="U466" i="3" s="1"/>
  <c r="U465" i="3"/>
  <c r="V221" i="3"/>
  <c r="V196" i="3"/>
  <c r="V198" i="3" s="1"/>
  <c r="U436" i="3"/>
  <c r="U398" i="3"/>
  <c r="U427" i="3"/>
  <c r="U435" i="3" s="1"/>
  <c r="U424" i="3"/>
  <c r="V326" i="3"/>
  <c r="V282" i="3"/>
  <c r="U456" i="3" l="1"/>
  <c r="U467" i="3"/>
  <c r="U491" i="3" s="1"/>
  <c r="U438" i="3"/>
  <c r="V286" i="3"/>
  <c r="V250" i="3"/>
  <c r="V420" i="3"/>
  <c r="V434" i="3" s="1"/>
  <c r="V415" i="3"/>
  <c r="V393" i="3"/>
  <c r="W280" i="3"/>
  <c r="W338" i="3" s="1"/>
  <c r="V225" i="3"/>
  <c r="BG181" i="3"/>
  <c r="W273" i="3"/>
  <c r="V223" i="3"/>
  <c r="V414" i="3"/>
  <c r="V382" i="3"/>
  <c r="U485" i="3" l="1"/>
  <c r="W310" i="3"/>
  <c r="W311" i="3" s="1"/>
  <c r="W313" i="3" s="1"/>
  <c r="W320" i="3" s="1"/>
  <c r="W274" i="3"/>
  <c r="W276" i="3" s="1"/>
  <c r="V325" i="3"/>
  <c r="V328" i="3" s="1"/>
  <c r="V340" i="3" s="1"/>
  <c r="V342" i="3" s="1"/>
  <c r="V252" i="3"/>
  <c r="V288" i="3" s="1"/>
  <c r="V292" i="3" s="1"/>
  <c r="V381" i="3"/>
  <c r="U493" i="3"/>
  <c r="V394" i="3"/>
  <c r="W392" i="3"/>
  <c r="V449" i="3" l="1"/>
  <c r="V410" i="3"/>
  <c r="W290" i="3"/>
  <c r="V355" i="3"/>
  <c r="V359" i="3" s="1"/>
  <c r="W284" i="3"/>
  <c r="W192" i="3" s="1"/>
  <c r="V448" i="3"/>
  <c r="V383" i="3"/>
  <c r="V388" i="3" s="1"/>
  <c r="V344" i="3"/>
  <c r="W341" i="3"/>
  <c r="V450" i="3" l="1"/>
  <c r="V455" i="3" s="1"/>
  <c r="V466" i="3" s="1"/>
  <c r="V411" i="3"/>
  <c r="V375" i="3"/>
  <c r="V423" i="3" s="1"/>
  <c r="V429" i="3"/>
  <c r="V396" i="3"/>
  <c r="W278" i="3"/>
  <c r="W219" i="3"/>
  <c r="W194" i="3"/>
  <c r="V454" i="3" l="1"/>
  <c r="W221" i="3"/>
  <c r="W196" i="3"/>
  <c r="W326" i="3"/>
  <c r="W282" i="3"/>
  <c r="V436" i="3"/>
  <c r="V398" i="3"/>
  <c r="V427" i="3"/>
  <c r="V435" i="3" s="1"/>
  <c r="V424" i="3"/>
  <c r="X273" i="3" l="1"/>
  <c r="W223" i="3"/>
  <c r="W414" i="3"/>
  <c r="W382" i="3"/>
  <c r="W198" i="3"/>
  <c r="W286" i="3"/>
  <c r="W250" i="3"/>
  <c r="V438" i="3"/>
  <c r="V456" i="3"/>
  <c r="V465" i="3"/>
  <c r="V467" i="3" s="1"/>
  <c r="W325" i="3" l="1"/>
  <c r="W328" i="3" s="1"/>
  <c r="W340" i="3" s="1"/>
  <c r="W342" i="3" s="1"/>
  <c r="X274" i="3"/>
  <c r="X276" i="3" s="1"/>
  <c r="W252" i="3"/>
  <c r="W288" i="3" s="1"/>
  <c r="W292" i="3" s="1"/>
  <c r="W381" i="3"/>
  <c r="V485" i="3"/>
  <c r="V491" i="3"/>
  <c r="W420" i="3"/>
  <c r="W434" i="3" s="1"/>
  <c r="W415" i="3"/>
  <c r="W393" i="3"/>
  <c r="X280" i="3"/>
  <c r="X338" i="3" s="1"/>
  <c r="W225" i="3"/>
  <c r="BH181" i="3"/>
  <c r="X310" i="3"/>
  <c r="X311" i="3" s="1"/>
  <c r="X313" i="3" s="1"/>
  <c r="X320" i="3" s="1"/>
  <c r="V493" i="3" l="1"/>
  <c r="X392" i="3"/>
  <c r="W394" i="3"/>
  <c r="X341" i="3"/>
  <c r="W344" i="3"/>
  <c r="W355" i="3"/>
  <c r="W359" i="3" s="1"/>
  <c r="X290" i="3"/>
  <c r="X284" i="3"/>
  <c r="X192" i="3" s="1"/>
  <c r="W448" i="3"/>
  <c r="W383" i="3"/>
  <c r="W388" i="3" s="1"/>
  <c r="W396" i="3" l="1"/>
  <c r="W449" i="3"/>
  <c r="W450" i="3" s="1"/>
  <c r="W454" i="3" s="1"/>
  <c r="W410" i="3"/>
  <c r="W411" i="3"/>
  <c r="W375" i="3"/>
  <c r="W429" i="3"/>
  <c r="X278" i="3"/>
  <c r="X219" i="3"/>
  <c r="X194" i="3"/>
  <c r="W465" i="3" l="1"/>
  <c r="X326" i="3"/>
  <c r="X282" i="3"/>
  <c r="X221" i="3"/>
  <c r="X196" i="3"/>
  <c r="W436" i="3"/>
  <c r="W398" i="3"/>
  <c r="W427" i="3"/>
  <c r="W435" i="3" s="1"/>
  <c r="W424" i="3"/>
  <c r="W455" i="3"/>
  <c r="W466" i="3" s="1"/>
  <c r="W423" i="3"/>
  <c r="X286" i="3" l="1"/>
  <c r="X250" i="3"/>
  <c r="X223" i="3"/>
  <c r="Y273" i="3"/>
  <c r="X414" i="3"/>
  <c r="X382" i="3"/>
  <c r="W438" i="3"/>
  <c r="X198" i="3"/>
  <c r="W467" i="3"/>
  <c r="W456" i="3"/>
  <c r="Y310" i="3" l="1"/>
  <c r="Y311" i="3" s="1"/>
  <c r="Y313" i="3" s="1"/>
  <c r="Y320" i="3" s="1"/>
  <c r="X325" i="3"/>
  <c r="X328" i="3" s="1"/>
  <c r="X340" i="3" s="1"/>
  <c r="X342" i="3" s="1"/>
  <c r="Y274" i="3"/>
  <c r="Y276" i="3" s="1"/>
  <c r="X252" i="3"/>
  <c r="X288" i="3" s="1"/>
  <c r="X292" i="3" s="1"/>
  <c r="X381" i="3"/>
  <c r="X415" i="3"/>
  <c r="X420" i="3"/>
  <c r="X434" i="3" s="1"/>
  <c r="X393" i="3"/>
  <c r="Y280" i="3"/>
  <c r="Y338" i="3" s="1"/>
  <c r="BI181" i="3"/>
  <c r="X225" i="3"/>
  <c r="W485" i="3"/>
  <c r="W491" i="3"/>
  <c r="X344" i="3" l="1"/>
  <c r="Y341" i="3"/>
  <c r="W493" i="3"/>
  <c r="Y284" i="3"/>
  <c r="Y192" i="3" s="1"/>
  <c r="X448" i="3"/>
  <c r="X383" i="3"/>
  <c r="X388" i="3" s="1"/>
  <c r="X394" i="3"/>
  <c r="Y392" i="3"/>
  <c r="X355" i="3"/>
  <c r="X359" i="3" s="1"/>
  <c r="Y290" i="3"/>
  <c r="Y278" i="3" l="1"/>
  <c r="Y219" i="3"/>
  <c r="Y194" i="3"/>
  <c r="X396" i="3"/>
  <c r="X375" i="3"/>
  <c r="X423" i="3" s="1"/>
  <c r="X411" i="3"/>
  <c r="X429" i="3"/>
  <c r="X449" i="3"/>
  <c r="X450" i="3" s="1"/>
  <c r="X454" i="3" s="1"/>
  <c r="X410" i="3"/>
  <c r="X465" i="3" l="1"/>
  <c r="Y221" i="3"/>
  <c r="Y196" i="3"/>
  <c r="Y198" i="3" s="1"/>
  <c r="X436" i="3"/>
  <c r="X398" i="3"/>
  <c r="X427" i="3"/>
  <c r="X435" i="3" s="1"/>
  <c r="X424" i="3"/>
  <c r="X455" i="3"/>
  <c r="X466" i="3" s="1"/>
  <c r="Y326" i="3"/>
  <c r="Y282" i="3"/>
  <c r="X438" i="3" l="1"/>
  <c r="X467" i="3"/>
  <c r="Y286" i="3"/>
  <c r="Y250" i="3"/>
  <c r="Y420" i="3"/>
  <c r="Y434" i="3" s="1"/>
  <c r="Y415" i="3"/>
  <c r="Y393" i="3"/>
  <c r="Y394" i="3" s="1"/>
  <c r="BJ181" i="3"/>
  <c r="Y225" i="3"/>
  <c r="Y223" i="3"/>
  <c r="Y414" i="3"/>
  <c r="Y382" i="3"/>
  <c r="X456" i="3"/>
  <c r="Y449" i="3" l="1"/>
  <c r="Y410" i="3"/>
  <c r="Y325" i="3"/>
  <c r="Y328" i="3" s="1"/>
  <c r="Y340" i="3" s="1"/>
  <c r="Y342" i="3" s="1"/>
  <c r="Y252" i="3"/>
  <c r="Y288" i="3" s="1"/>
  <c r="Y292" i="3" s="1"/>
  <c r="Y355" i="3" s="1"/>
  <c r="Y359" i="3" s="1"/>
  <c r="Y381" i="3"/>
  <c r="X485" i="3"/>
  <c r="X491" i="3"/>
  <c r="Y344" i="3" l="1"/>
  <c r="X493" i="3"/>
  <c r="Y448" i="3"/>
  <c r="Y383" i="3"/>
  <c r="Y388" i="3" s="1"/>
  <c r="Y411" i="3"/>
  <c r="Y375" i="3"/>
  <c r="Y424" i="3" s="1"/>
  <c r="Y429" i="3"/>
  <c r="Y450" i="3" l="1"/>
  <c r="Y455" i="3" s="1"/>
  <c r="Y466" i="3" s="1"/>
  <c r="Y436" i="3"/>
  <c r="Y427" i="3"/>
  <c r="Y435" i="3" s="1"/>
  <c r="Y423" i="3"/>
  <c r="Y396" i="3"/>
  <c r="Y398" i="3" s="1"/>
  <c r="Y438" i="3" l="1"/>
  <c r="Y454" i="3"/>
  <c r="Y456" i="3" l="1"/>
  <c r="Y465" i="3"/>
  <c r="Y467" i="3" s="1"/>
  <c r="Y484" i="3" l="1"/>
  <c r="Y491" i="3"/>
  <c r="Y485" i="3" l="1"/>
  <c r="D497" i="3"/>
  <c r="Y493" i="3"/>
  <c r="D495" i="3" s="1"/>
  <c r="D499" i="3" s="1"/>
  <c r="D503" i="3" s="1"/>
  <c r="D507" i="3" s="1"/>
  <c r="D509" i="3" s="1"/>
</calcChain>
</file>

<file path=xl/sharedStrings.xml><?xml version="1.0" encoding="utf-8"?>
<sst xmlns="http://schemas.openxmlformats.org/spreadsheetml/2006/main" count="726" uniqueCount="333">
  <si>
    <t>PROYECTO:</t>
  </si>
  <si>
    <t>Evaluación Financiera y Económica</t>
  </si>
  <si>
    <t>($000)</t>
  </si>
  <si>
    <t>1. SUPUESTOS  DE INVERSIÓN</t>
  </si>
  <si>
    <t>PERIODO PREOPERATIVO</t>
  </si>
  <si>
    <t>Terrenos</t>
  </si>
  <si>
    <t>Edificios</t>
  </si>
  <si>
    <t>Maquinaria y Equipos</t>
  </si>
  <si>
    <t>Muebles y Enseres</t>
  </si>
  <si>
    <t>Vehículos</t>
  </si>
  <si>
    <t>Gastos Preoperativos</t>
  </si>
  <si>
    <t xml:space="preserve">2. SUPUESTOS DE FINANCIACIÓN         </t>
  </si>
  <si>
    <t>FINANCIACION LARGO PLAZO</t>
  </si>
  <si>
    <t>Estructura Financiera Inicial</t>
  </si>
  <si>
    <t>2.1.</t>
  </si>
  <si>
    <t>Capital</t>
  </si>
  <si>
    <t>2.2.</t>
  </si>
  <si>
    <t>Créditos de largo plazo</t>
  </si>
  <si>
    <t>Interés Crédito de Largo Plazo</t>
  </si>
  <si>
    <t>Anual</t>
  </si>
  <si>
    <t xml:space="preserve">Plazo :  </t>
  </si>
  <si>
    <t>años</t>
  </si>
  <si>
    <t>Período de Gracia</t>
  </si>
  <si>
    <t>año(s)</t>
  </si>
  <si>
    <t>FINANCIACION CORTO PLAZO</t>
  </si>
  <si>
    <t>Interés Crédito de Corto Plazo</t>
  </si>
  <si>
    <t>3. NECESIDAD OPERATIVA DE FONDOS</t>
  </si>
  <si>
    <t>Activos Circulantes</t>
  </si>
  <si>
    <t>4.1.</t>
  </si>
  <si>
    <t>Caja Mínima Requerida</t>
  </si>
  <si>
    <t>Dias de Costos y gastos desembolsables</t>
  </si>
  <si>
    <t>4.2.</t>
  </si>
  <si>
    <t>Cuentas por Cobrar</t>
  </si>
  <si>
    <t>Dias de Venta</t>
  </si>
  <si>
    <t>4.3.</t>
  </si>
  <si>
    <t>Inventarios</t>
  </si>
  <si>
    <t>Pasivos Operativos</t>
  </si>
  <si>
    <t>4.4.</t>
  </si>
  <si>
    <t>Costos y Gastos por Pagar</t>
  </si>
  <si>
    <t>Del Consumo operación</t>
  </si>
  <si>
    <t>4.INFLACION Y CRECIMIENTO ECONÓMICO</t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</si>
  <si>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</si>
  <si>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</si>
  <si>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</si>
  <si>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</si>
  <si>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</si>
  <si>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</si>
  <si>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</si>
  <si>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</si>
  <si>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</si>
  <si>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</si>
  <si>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Año 11</t>
  </si>
  <si>
    <t>Año 12</t>
  </si>
  <si>
    <t>Año 13</t>
  </si>
  <si>
    <t>Año 14</t>
  </si>
  <si>
    <t>Año 15</t>
  </si>
  <si>
    <t>Año 16</t>
  </si>
  <si>
    <t>Año 17</t>
  </si>
  <si>
    <t>Año 18</t>
  </si>
  <si>
    <t>Año 19</t>
  </si>
  <si>
    <t>Año 20</t>
  </si>
  <si>
    <t>IPC</t>
  </si>
  <si>
    <t>PIB</t>
  </si>
  <si>
    <t xml:space="preserve">5. INGRESOS OPERACIONALES      </t>
  </si>
  <si>
    <t>Ingresos Operacionales</t>
  </si>
  <si>
    <t xml:space="preserve">6. COSTOS Y GASTOS OPERACIONALES      </t>
  </si>
  <si>
    <t>Costos</t>
  </si>
  <si>
    <t>Costos operacionales</t>
  </si>
  <si>
    <t>Total Costos Operacionales</t>
  </si>
  <si>
    <t>Gastos Operacionales</t>
  </si>
  <si>
    <t>Personal</t>
  </si>
  <si>
    <t>Honorarios</t>
  </si>
  <si>
    <t>Utiles y papeleria</t>
  </si>
  <si>
    <t>Diversos Admon</t>
  </si>
  <si>
    <t>Diversos Ventas</t>
  </si>
  <si>
    <t>Depreciacion</t>
  </si>
  <si>
    <t>Total Gastos Operacionales</t>
  </si>
  <si>
    <t xml:space="preserve">7. SUPUESTOS OPERACIONALES        </t>
  </si>
  <si>
    <t>4.3  Depreciación de Activos Fijos</t>
  </si>
  <si>
    <t>Vida Útil</t>
  </si>
  <si>
    <t>(años)</t>
  </si>
  <si>
    <t>4,4 Distribución de Depreciación</t>
  </si>
  <si>
    <t>Gastos</t>
  </si>
  <si>
    <t>4.5  Período de Amortización Inversión Diferida   :</t>
  </si>
  <si>
    <t>4.6  Tasa de Impuesto a la Renta</t>
  </si>
  <si>
    <t>.</t>
  </si>
  <si>
    <t>8. COSTO DE OPORTUNIDAD DEL INVERSIONISTA</t>
  </si>
  <si>
    <t>Costo después</t>
  </si>
  <si>
    <t>de Impuestos</t>
  </si>
  <si>
    <t>9. POLITICA DE DISTRIBUCION DE UTILIDADES</t>
  </si>
  <si>
    <t>Porcentaje de distribución utilidades año anterior</t>
  </si>
  <si>
    <t>I. Plan de Inversion</t>
  </si>
  <si>
    <t>Inversion</t>
  </si>
  <si>
    <t>Total</t>
  </si>
  <si>
    <t>Inversión Fija</t>
  </si>
  <si>
    <t>Total Inversión Fija</t>
  </si>
  <si>
    <t>Inversión Diferida</t>
  </si>
  <si>
    <t>Total Inversión Diferida</t>
  </si>
  <si>
    <t>Inversión Circulante</t>
  </si>
  <si>
    <t>Total Inversión Circulante</t>
  </si>
  <si>
    <t>TOTAL INVERSIONES</t>
  </si>
  <si>
    <t>II. Plan de Financiación</t>
  </si>
  <si>
    <t>TOTAL</t>
  </si>
  <si>
    <t xml:space="preserve"> </t>
  </si>
  <si>
    <t>Crédito</t>
  </si>
  <si>
    <t>III.  Ingresos Operacionales</t>
  </si>
  <si>
    <t>Ingresos operacionales ($000)</t>
  </si>
  <si>
    <t>IV.  Costos Operacionales</t>
  </si>
  <si>
    <t>Total Costos Operacionales ($000)</t>
  </si>
  <si>
    <t>V.  Gastos Operacionales</t>
  </si>
  <si>
    <t>Amortización de Diferidos</t>
  </si>
  <si>
    <t>Total Gastos Operacionales ($000)</t>
  </si>
  <si>
    <t>VI.  Depreciación.</t>
  </si>
  <si>
    <t>ACTIVOS</t>
  </si>
  <si>
    <t>Saldo Inicial</t>
  </si>
  <si>
    <t>Depreciación</t>
  </si>
  <si>
    <t>Saldo por depreciar</t>
  </si>
  <si>
    <t>Energía:</t>
  </si>
  <si>
    <t>Total Depreciación</t>
  </si>
  <si>
    <t>VII. Amortización Inversión Diferida</t>
  </si>
  <si>
    <t>Activos Diferidos</t>
  </si>
  <si>
    <t>Amortización</t>
  </si>
  <si>
    <t>Saldo por amortizar</t>
  </si>
  <si>
    <t>VIII.  Determinación Necesidad Operativa de Fondos</t>
  </si>
  <si>
    <t>Año 0</t>
  </si>
  <si>
    <t>Activos Corrientes Operativos</t>
  </si>
  <si>
    <t>Variación Anual</t>
  </si>
  <si>
    <t>Pasivos Corrientes Operativos</t>
  </si>
  <si>
    <t>Necesidad Operativa de Fondos</t>
  </si>
  <si>
    <t>IX. Servicio de la Deuda</t>
  </si>
  <si>
    <t>Tasa (%)</t>
  </si>
  <si>
    <t>Amortización de Capital</t>
  </si>
  <si>
    <t>Saldo Final</t>
  </si>
  <si>
    <t>Intereses (Sobre Saldo Promedio)</t>
  </si>
  <si>
    <t>X. Saldo Minimo de Caja</t>
  </si>
  <si>
    <t>Saldo Mínimo</t>
  </si>
  <si>
    <t>XI. Estado de Resultados Proyectado</t>
  </si>
  <si>
    <t>Ventas y Utilidad Neta($MM)</t>
  </si>
  <si>
    <t>INGRESOS OPERACIONALES</t>
  </si>
  <si>
    <t>(-) Costos Operacionales</t>
  </si>
  <si>
    <t>UTILIDAD BRUTA</t>
  </si>
  <si>
    <t>(-) Gastos Operacionales</t>
  </si>
  <si>
    <t>(-)Amortización de Diferidos</t>
  </si>
  <si>
    <t>UTILIDAD OPERACIONAL</t>
  </si>
  <si>
    <t>(-) Gastos Financieros</t>
  </si>
  <si>
    <t>UTILIDAD ANTES DE IMPTOS</t>
  </si>
  <si>
    <t>(-) Provisión para Impuestos</t>
  </si>
  <si>
    <t>UTILIDAD NETA</t>
  </si>
  <si>
    <t>XII. Estructura del Estado de Resultados</t>
  </si>
  <si>
    <t>XIII. Estado de Origen y Aplicación de Fondos Proyectado</t>
  </si>
  <si>
    <t xml:space="preserve">ORIGEN  DE FONDOS </t>
  </si>
  <si>
    <t>Utilidad antes de Intereses e Impuestos</t>
  </si>
  <si>
    <t>(+) Depreciación</t>
  </si>
  <si>
    <t>(+) Amortización de Diferidos</t>
  </si>
  <si>
    <t>Aportes de Capital</t>
  </si>
  <si>
    <t>Incremento de Pasivos</t>
  </si>
  <si>
    <t xml:space="preserve">    Proveedores </t>
  </si>
  <si>
    <t xml:space="preserve">    Pasivos Financieros largo plazo</t>
  </si>
  <si>
    <t>Total Incremento de Pasivos</t>
  </si>
  <si>
    <t>Subtotal Origen de Fondos</t>
  </si>
  <si>
    <t>Pasivos Financieros Corto Plazo</t>
  </si>
  <si>
    <t>TOTAL ORIGEN DE FONDOS</t>
  </si>
  <si>
    <t>APLICACIÓN DE FONDOS</t>
  </si>
  <si>
    <t>Incremento de Activos</t>
  </si>
  <si>
    <t>Activos Fijos</t>
  </si>
  <si>
    <t>Total Incremento Activos Fijos</t>
  </si>
  <si>
    <t>Activos Corrientes</t>
  </si>
  <si>
    <t>Total Incremento Activos Corrientes</t>
  </si>
  <si>
    <t>Disminución de Pasivos</t>
  </si>
  <si>
    <t xml:space="preserve">    Pasivos Financieros</t>
  </si>
  <si>
    <t xml:space="preserve">    Impuesto de Renta por Pagar</t>
  </si>
  <si>
    <t xml:space="preserve">    Pasivos Financiero Corto Plazo</t>
  </si>
  <si>
    <t>Total Disminución de Pasivos</t>
  </si>
  <si>
    <t>Gastos Financieros</t>
  </si>
  <si>
    <t>Distribución de Utilidades</t>
  </si>
  <si>
    <t>Subtotal Aplicación de Fondos</t>
  </si>
  <si>
    <t>Intereses Pasivos Financieros Corto Plazo</t>
  </si>
  <si>
    <t>TOTAL APLICACIÓN DE FONDOS</t>
  </si>
  <si>
    <t>Saldo Efectivo del Período</t>
  </si>
  <si>
    <t>(+) Saldo Anterior</t>
  </si>
  <si>
    <t>Saldo Efectivo Final</t>
  </si>
  <si>
    <t>XIV. Flujo de Caja Libre</t>
  </si>
  <si>
    <t>Flujo de Caja Operacional</t>
  </si>
  <si>
    <t>Utilidad Operacional</t>
  </si>
  <si>
    <t>(+) Depreciaciones</t>
  </si>
  <si>
    <t>(+) Amortizaciòn de Diferidos</t>
  </si>
  <si>
    <t>Generación Operacional (EBITDA)</t>
  </si>
  <si>
    <t>(Aumento) Disminución en activos corrientes operativos</t>
  </si>
  <si>
    <t>Aumento (Disminución) en pasivos operacionales</t>
  </si>
  <si>
    <t>(Aumento) Disminución Necesidad Operativa de Fondos</t>
  </si>
  <si>
    <t>Generación de Efectivo Operativo (GEO)</t>
  </si>
  <si>
    <t>Incremento de Activos no Corrientes :</t>
  </si>
  <si>
    <t>(Aumento) Disminución en Activos Fijos</t>
  </si>
  <si>
    <t>(Aumento) Disminución en Activos Diferidos</t>
  </si>
  <si>
    <t>Total Incremento de Activos no Corrientes</t>
  </si>
  <si>
    <t>Flujo de Caja Operacional (Déficit) Superávit</t>
  </si>
  <si>
    <t>Flujo de Caja Financiero</t>
  </si>
  <si>
    <t>Obligaciones Financieras</t>
  </si>
  <si>
    <t xml:space="preserve">      Contratación (Amortización) de Créditos</t>
  </si>
  <si>
    <t xml:space="preserve">      (-) Gastos Financieros</t>
  </si>
  <si>
    <t>Flujo de Caja Libre para Accionistas</t>
  </si>
  <si>
    <t>Inversiones Temporales :</t>
  </si>
  <si>
    <t xml:space="preserve">    (Aumento) o Disminución en inversiones temporales</t>
  </si>
  <si>
    <t xml:space="preserve">    (+) Ingresos Financieros</t>
  </si>
  <si>
    <t>Fondos provistos (cancelados) por inversiones temporales</t>
  </si>
  <si>
    <t>Accionistas :</t>
  </si>
  <si>
    <t xml:space="preserve">     (+) Incremento de capital</t>
  </si>
  <si>
    <t xml:space="preserve">     (+) Revalorización Patrimonial</t>
  </si>
  <si>
    <t xml:space="preserve">     (-) Pago de dividendos</t>
  </si>
  <si>
    <t>XV. Balance General  Proyectado</t>
  </si>
  <si>
    <t>Efectivo</t>
  </si>
  <si>
    <t>Total Activos Corrientes</t>
  </si>
  <si>
    <t>Activos No Corrientes</t>
  </si>
  <si>
    <t>No Depreciables</t>
  </si>
  <si>
    <t>Depreciables</t>
  </si>
  <si>
    <t>Maquinaria  y Equipos</t>
  </si>
  <si>
    <t>Total Activo Fijo Depreciable (Bruto)</t>
  </si>
  <si>
    <t>(-) Depreciación Acumulada</t>
  </si>
  <si>
    <t>Total Activo Fijo Depreciable (Neto)</t>
  </si>
  <si>
    <t>TOTAL ACTIVOS</t>
  </si>
  <si>
    <t>PASIVOS Y PATRIMONIO</t>
  </si>
  <si>
    <t>Pasivos Corrientes</t>
  </si>
  <si>
    <t xml:space="preserve">     Proveedores</t>
  </si>
  <si>
    <t xml:space="preserve">    Porción corriente pasivos a largo plazo</t>
  </si>
  <si>
    <t xml:space="preserve">    Pasivos Financieros corto plazo</t>
  </si>
  <si>
    <t>Total Pasivos Corrientes</t>
  </si>
  <si>
    <t>Pasivos No Corrientes</t>
  </si>
  <si>
    <t>Pasivos Financieros</t>
  </si>
  <si>
    <t>TOTAL PASIVOS</t>
  </si>
  <si>
    <t>PATRIMONIO</t>
  </si>
  <si>
    <t>Utilidades retenidas</t>
  </si>
  <si>
    <t>Utilidades del Ejercicio</t>
  </si>
  <si>
    <t>TOTAL PATRIMONIO</t>
  </si>
  <si>
    <t>TOTAL PASIVOS Y PATRIMONIO</t>
  </si>
  <si>
    <t>Cifra de Chequeo</t>
  </si>
  <si>
    <t>XVI. Índices Financieros</t>
  </si>
  <si>
    <t>LIQUIDEZ</t>
  </si>
  <si>
    <t>EBITDA</t>
  </si>
  <si>
    <t>Incremento de NOF</t>
  </si>
  <si>
    <t>Generación Operativa de Efectiva</t>
  </si>
  <si>
    <t>Margen EBITDA(%)</t>
  </si>
  <si>
    <t>Capital de Trabajo</t>
  </si>
  <si>
    <t>Necesidad Operativa de Fondos(NOF)</t>
  </si>
  <si>
    <t>RENTABILIDAD</t>
  </si>
  <si>
    <t>Rentabilidad sobre capital empleado(ROCE)(%)</t>
  </si>
  <si>
    <t>Rentabilidad sobre patrimonio(ROE)(%)</t>
  </si>
  <si>
    <t>MARGENES</t>
  </si>
  <si>
    <t>Utilidad Bruta/Ventas(%)</t>
  </si>
  <si>
    <t>Utilidad Operacional / Ventas (%)</t>
  </si>
  <si>
    <t>Utilidad Neta / Ventas (%)</t>
  </si>
  <si>
    <t>ENDEUDAMIENTO Y COBERTURA</t>
  </si>
  <si>
    <t>Pasivo Total / Activo Total (%)</t>
  </si>
  <si>
    <t>Pasivo Financiero/ Activo Total(%)</t>
  </si>
  <si>
    <t>ROTACION DE ACTIVOS</t>
  </si>
  <si>
    <t>Ventas / Activos Totales  (Veces)</t>
  </si>
  <si>
    <t>Ventas / Activos Fijos(Veces)</t>
  </si>
  <si>
    <t>Ventas/ Activos Corrientes(Veces)</t>
  </si>
  <si>
    <t>POTENCIAL DE GENERACIÓN DE UTILIDADES</t>
  </si>
  <si>
    <t>REMUNERATIVAS DEL PATRIMONIO</t>
  </si>
  <si>
    <t>Utilidad Neta/Ventas ( % )</t>
  </si>
  <si>
    <t>Ventas / Activos Totales  (veces)</t>
  </si>
  <si>
    <t>Activos Totales / Patrimonio (veces)</t>
  </si>
  <si>
    <t>Rentabilidad Patrimonial</t>
  </si>
  <si>
    <t>COSTO PROMEDIO PONDERADO DE CAPITAL</t>
  </si>
  <si>
    <t>(WACC)</t>
  </si>
  <si>
    <t>Financiación:</t>
  </si>
  <si>
    <t>Patrimonio</t>
  </si>
  <si>
    <t>Total Financiación con Costo</t>
  </si>
  <si>
    <t>Costo Después de Impuestos:</t>
  </si>
  <si>
    <t>Costo Ponderado:</t>
  </si>
  <si>
    <t>WACC</t>
  </si>
  <si>
    <t>FLUJO DE CAJA LIBRE PARA VALORACIÓN</t>
  </si>
  <si>
    <t>+</t>
  </si>
  <si>
    <t xml:space="preserve">U.A.I.I. </t>
  </si>
  <si>
    <t>(-) Impuestos Aplicables (t)</t>
  </si>
  <si>
    <t>(=) UODI</t>
  </si>
  <si>
    <t>(+) Amortización</t>
  </si>
  <si>
    <t>(=) Flujo de Caja Bruto</t>
  </si>
  <si>
    <t>(-) Variación en NOF</t>
  </si>
  <si>
    <t>(-) Variación Activos Fijos</t>
  </si>
  <si>
    <t>(=) Flujo de Caja Libre Operativo</t>
  </si>
  <si>
    <t xml:space="preserve">     (Para Proveedores de Capital)</t>
  </si>
  <si>
    <t>(+) Valor de Continuidad</t>
  </si>
  <si>
    <t>(=) Flujo de Caja Libre Total</t>
  </si>
  <si>
    <t>VALORACIÓN</t>
  </si>
  <si>
    <t>Factor de Actualización en el Momento Cero</t>
  </si>
  <si>
    <t>VP en el Año 1 de FCL Anuales</t>
  </si>
  <si>
    <t>VP en Momento Cero de FCL Anuales</t>
  </si>
  <si>
    <t>VP en Momento Cero del Valor de Continuidad</t>
  </si>
  <si>
    <t>Valor Presente Flujos de Caja Libre Total</t>
  </si>
  <si>
    <t xml:space="preserve">DETERMINACION DEL MVA </t>
  </si>
  <si>
    <t>Valor Presente (FCL + VC)</t>
  </si>
  <si>
    <t xml:space="preserve">(+) Valor Comercial Activos no Operativos </t>
  </si>
  <si>
    <t xml:space="preserve">(-) Pasivos Financieros </t>
  </si>
  <si>
    <t xml:space="preserve">(-) Pasivos Contingentes </t>
  </si>
  <si>
    <t xml:space="preserve">(=)Valor Económico del Patrimonio </t>
  </si>
  <si>
    <t xml:space="preserve">(-) Valor contable del Patrimonio </t>
  </si>
  <si>
    <t>(=) Valor de Mercado Agregado (MVA)</t>
  </si>
  <si>
    <t xml:space="preserve">Ejerce la representación legal de la sociedad, garantiza su sostenibilidad estableciendo la orientación estratégica de la organización, monitoreando permanentemente los indicadores del negocio y la calidad de los servicios, también verificando el uso óptimo de los recursos. </t>
  </si>
  <si>
    <t xml:space="preserve">Se encarga de fijar las políticas de la compañía con base en los parámetros fijados por los cuerpos colegiados, así como de planear, dirigir y controlar las actividades de la empresa. </t>
  </si>
  <si>
    <t>Es el responsable ante los accionistas, por los resultados de las operaciones y el desempeño organizacional con la administración.</t>
  </si>
  <si>
    <t>Garantiza la seguridad jurídica de la sociedad creando los instrumentos necesarios para su control e innovando en materia normativa y regulatoria.</t>
  </si>
  <si>
    <t xml:space="preserve">Desarrolla los procesos de cara al cliente como eje central de la estrategia de negocio, como son: prospección, venta y servicio al cliente. </t>
  </si>
  <si>
    <t xml:space="preserve">Se encarga de posicionar la marca como facilitadora del alcance de las metas y necesidades de los clientes, la generación de propuestas de valor y negocios innovadores. </t>
  </si>
  <si>
    <t xml:space="preserve">Equipo encargado de cautivar al cliente generando valor constante, permanencia y rentabilidad del negocio. </t>
  </si>
  <si>
    <t xml:space="preserve">Desarrolla proyectos que constituyen nuevos productos, servicios, mejoras sensibles a las actuales, al modelo de relacionamiento con el cliente que representen mejoras en las condiciones económicas del negocio. </t>
  </si>
  <si>
    <t>Tiene bajo su responsabilidad generar políticas transversales en toda la sociedad.</t>
  </si>
  <si>
    <t>Garantiza la infraestructura y suministro de bienes y servicios que permitan el funcionamiento efectivo de los procesos del negocio, también es el órgano de asesoramiento interno con el fin de que la organización genere valor económico sostenible y un crecimiento basado en la innovación y desarrollo de negocios apalancados en modelos de rentabilidad.</t>
  </si>
  <si>
    <t xml:space="preserve">Responsable de que la operación responda con los estándares de eficiencia, asegura el cumplimiento de los Acuerdos de Niveles de Servicio – ANS pactados contractualmente y realiza la gerencia de proyectos. </t>
  </si>
  <si>
    <t>Gerencia General</t>
  </si>
  <si>
    <t>Jurídica</t>
  </si>
  <si>
    <t>Dirección Comercial y de Operaciones</t>
  </si>
  <si>
    <t>Dirección Administrativa y Financiera</t>
  </si>
  <si>
    <t>Ago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</si>
  <si>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</si>
  <si>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</si>
  <si>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</si>
  <si>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</si>
  <si>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</si>
  <si>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</si>
  <si>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</si>
  <si>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</si>
  <si>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</si>
  <si>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</si>
  <si>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</si>
  <si>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MESES</t>
  </si>
  <si>
    <t>TOTAL INGRESOS</t>
  </si>
  <si>
    <t>INGRESOS</t>
  </si>
  <si>
    <t>COSTOS Y GASTOS</t>
  </si>
  <si>
    <t>TOTAL COSTOS Y GASTOS</t>
  </si>
  <si>
    <t>PROYECCION DE INGRESOS Y EGRESOS MENSUALES - VALORES EN MILLONES DE PESOS</t>
  </si>
  <si>
    <t>Otros</t>
  </si>
  <si>
    <t>SEM LOGÍSTICA INTEGRAL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</si>
</sst>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#,##0;[Red]\(#,##0\)"/>
    <numFmt numFmtId="168" formatCode="#,##0.0_);[Red]\(#,##0.0\)"/>
    <numFmt numFmtId="169" formatCode="0.0%"/>
    <numFmt numFmtId="170" formatCode="_(* #,##0_);_(* \(#,##0\);_(* &quot;-&quot;??_);_(@_)"/>
    <numFmt numFmtId="171" formatCode="#,##0.0"/>
    <numFmt numFmtId="172" formatCode="#,##0.00;[Red]\(#,##0.00\)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color indexed="12"/>
      <name val="Arial"/>
      <family val="2"/>
    </font>
    <font>
      <b/>
      <u/>
      <sz val="11"/>
      <name val="Arial"/>
      <family val="2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u/>
      <sz val="11"/>
      <name val="Arial"/>
      <family val="2"/>
    </font>
    <font>
      <b/>
      <sz val="11"/>
      <color indexed="12"/>
      <name val="Arial"/>
      <family val="2"/>
    </font>
    <font>
      <b/>
      <sz val="11"/>
      <color indexed="39"/>
      <name val="Arial"/>
      <family val="2"/>
    </font>
    <font>
      <b/>
      <sz val="11"/>
      <color indexed="17"/>
      <name val="Arial"/>
      <family val="2"/>
    </font>
    <font>
      <sz val="11"/>
      <color indexed="17"/>
      <name val="Arial"/>
      <family val="2"/>
    </font>
    <font>
      <b/>
      <u/>
      <sz val="11"/>
      <color indexed="9"/>
      <name val="Arial"/>
      <family val="2"/>
    </font>
    <font>
      <b/>
      <sz val="11"/>
      <color indexed="48"/>
      <name val="Arial"/>
      <family val="2"/>
    </font>
    <font>
      <sz val="11"/>
      <color indexed="48"/>
      <name val="Arial"/>
      <family val="2"/>
    </font>
    <font>
      <sz val="11"/>
      <color indexed="18"/>
      <name val="Arial"/>
      <family val="2"/>
    </font>
    <font>
      <b/>
      <u/>
      <sz val="11"/>
      <color indexed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color indexed="26"/>
      <name val="Arial"/>
      <family val="2"/>
    </font>
    <font>
      <b/>
      <sz val="10"/>
      <color indexed="58"/>
      <name val="Arial"/>
      <family val="2"/>
    </font>
    <font>
      <b/>
      <sz val="11"/>
      <color indexed="8"/>
      <name val="Arial"/>
      <family val="2"/>
    </font>
    <font>
      <b/>
      <sz val="10"/>
      <color indexed="26"/>
      <name val="Arial"/>
      <family val="2"/>
    </font>
    <font>
      <sz val="10"/>
      <color indexed="58"/>
      <name val="Arial"/>
      <family val="2"/>
    </font>
    <font>
      <sz val="10"/>
      <color indexed="59"/>
      <name val="Arial"/>
      <family val="2"/>
    </font>
    <font>
      <b/>
      <sz val="10"/>
      <color indexed="5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i/>
      <sz val="10"/>
      <color indexed="32"/>
      <name val="Arial"/>
      <family val="2"/>
    </font>
    <font>
      <sz val="10"/>
      <color indexed="12"/>
      <name val="Arial"/>
      <family val="2"/>
    </font>
    <font>
      <b/>
      <sz val="10"/>
      <color indexed="58"/>
      <name val="Tahoma"/>
      <family val="2"/>
    </font>
    <font>
      <b/>
      <sz val="10"/>
      <color indexed="26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9"/>
      <name val="Arial"/>
      <family val="2"/>
    </font>
    <font>
      <sz val="10"/>
      <color indexed="39"/>
      <name val="Arial"/>
      <family val="2"/>
    </font>
    <font>
      <b/>
      <sz val="10"/>
      <color indexed="18"/>
      <name val="Arial"/>
      <family val="2"/>
    </font>
    <font>
      <u/>
      <sz val="10"/>
      <name val="Arial"/>
      <family val="2"/>
    </font>
    <font>
      <b/>
      <u/>
      <sz val="10"/>
      <color indexed="8"/>
      <name val="Arial"/>
      <family val="2"/>
    </font>
    <font>
      <sz val="10"/>
      <color indexed="9"/>
      <name val="Arial"/>
      <family val="2"/>
    </font>
    <font>
      <i/>
      <u/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charset val="136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i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2">
    <xf numFmtId="0" fontId="0" fillId="0" borderId="0"/>
    <xf numFmtId="167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4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8">
    <xf numFmtId="0" fontId="0" fillId="0" borderId="0" xfId="0"/>
    <xf numFmtId="167" fontId="3" fillId="0" borderId="0" xfId="1" applyFont="1" applyAlignment="1">
      <alignment horizontal="centerContinuous"/>
    </xf>
    <xf numFmtId="167" fontId="4" fillId="0" borderId="0" xfId="1" applyFont="1" applyAlignment="1">
      <alignment horizontal="centerContinuous"/>
    </xf>
    <xf numFmtId="167" fontId="4" fillId="0" borderId="0" xfId="1" applyFont="1"/>
    <xf numFmtId="167" fontId="5" fillId="0" borderId="0" xfId="1" applyFont="1" applyAlignment="1">
      <alignment horizontal="centerContinuous"/>
    </xf>
    <xf numFmtId="167" fontId="6" fillId="0" borderId="0" xfId="1" applyFont="1" applyAlignment="1">
      <alignment horizontal="centerContinuous"/>
    </xf>
    <xf numFmtId="167" fontId="8" fillId="2" borderId="0" xfId="1" applyFont="1" applyFill="1" applyAlignment="1">
      <alignment horizontal="centerContinuous"/>
    </xf>
    <xf numFmtId="167" fontId="9" fillId="0" borderId="0" xfId="1" applyFont="1"/>
    <xf numFmtId="167" fontId="4" fillId="0" borderId="3" xfId="1" applyFont="1" applyBorder="1"/>
    <xf numFmtId="167" fontId="8" fillId="2" borderId="0" xfId="1" applyFont="1" applyFill="1"/>
    <xf numFmtId="167" fontId="8" fillId="2" borderId="3" xfId="1" applyFont="1" applyFill="1" applyBorder="1"/>
    <xf numFmtId="167" fontId="7" fillId="2" borderId="8" xfId="1" applyFont="1" applyFill="1" applyBorder="1" applyAlignment="1">
      <alignment horizontal="centerContinuous"/>
    </xf>
    <xf numFmtId="167" fontId="8" fillId="2" borderId="9" xfId="1" applyFont="1" applyFill="1" applyBorder="1" applyAlignment="1">
      <alignment horizontal="centerContinuous"/>
    </xf>
    <xf numFmtId="167" fontId="4" fillId="0" borderId="10" xfId="1" applyFont="1" applyBorder="1"/>
    <xf numFmtId="167" fontId="4" fillId="0" borderId="2" xfId="1" applyFont="1" applyBorder="1"/>
    <xf numFmtId="167" fontId="3" fillId="0" borderId="6" xfId="1" applyFont="1" applyBorder="1"/>
    <xf numFmtId="167" fontId="4" fillId="0" borderId="7" xfId="1" applyFont="1" applyBorder="1"/>
    <xf numFmtId="167" fontId="4" fillId="0" borderId="6" xfId="1" applyFont="1" applyBorder="1"/>
    <xf numFmtId="167" fontId="11" fillId="0" borderId="0" xfId="1" applyFont="1"/>
    <xf numFmtId="167" fontId="3" fillId="0" borderId="0" xfId="1" applyFont="1"/>
    <xf numFmtId="167" fontId="4" fillId="0" borderId="7" xfId="1" applyFont="1" applyBorder="1" applyAlignment="1">
      <alignment horizontal="centerContinuous"/>
    </xf>
    <xf numFmtId="167" fontId="11" fillId="0" borderId="0" xfId="1" applyFont="1" applyAlignment="1">
      <alignment horizontal="left"/>
    </xf>
    <xf numFmtId="167" fontId="4" fillId="0" borderId="12" xfId="1" applyFont="1" applyBorder="1" applyAlignment="1">
      <alignment horizontal="centerContinuous"/>
    </xf>
    <xf numFmtId="167" fontId="4" fillId="0" borderId="12" xfId="1" applyFont="1" applyBorder="1"/>
    <xf numFmtId="167" fontId="4" fillId="0" borderId="5" xfId="1" applyFont="1" applyBorder="1"/>
    <xf numFmtId="167" fontId="7" fillId="2" borderId="1" xfId="1" applyFont="1" applyFill="1" applyBorder="1" applyAlignment="1">
      <alignment horizontal="centerContinuous"/>
    </xf>
    <xf numFmtId="167" fontId="8" fillId="2" borderId="10" xfId="1" applyFont="1" applyFill="1" applyBorder="1" applyAlignment="1">
      <alignment horizontal="centerContinuous"/>
    </xf>
    <xf numFmtId="167" fontId="4" fillId="2" borderId="2" xfId="1" applyFont="1" applyFill="1" applyBorder="1" applyAlignment="1">
      <alignment horizontal="centerContinuous"/>
    </xf>
    <xf numFmtId="167" fontId="6" fillId="0" borderId="6" xfId="1" applyFont="1" applyBorder="1"/>
    <xf numFmtId="167" fontId="6" fillId="0" borderId="0" xfId="1" applyFont="1"/>
    <xf numFmtId="167" fontId="12" fillId="0" borderId="0" xfId="1" applyFont="1"/>
    <xf numFmtId="167" fontId="13" fillId="0" borderId="0" xfId="1" applyFont="1"/>
    <xf numFmtId="167" fontId="12" fillId="0" borderId="12" xfId="1" applyFont="1" applyBorder="1"/>
    <xf numFmtId="167" fontId="13" fillId="0" borderId="12" xfId="1" applyFont="1" applyBorder="1"/>
    <xf numFmtId="9" fontId="4" fillId="0" borderId="0" xfId="2" applyFont="1"/>
    <xf numFmtId="10" fontId="10" fillId="0" borderId="0" xfId="2" applyNumberFormat="1" applyFont="1" applyFill="1" applyBorder="1" applyProtection="1">
      <protection locked="0"/>
    </xf>
    <xf numFmtId="167" fontId="14" fillId="2" borderId="10" xfId="1" applyFont="1" applyFill="1" applyBorder="1" applyAlignment="1">
      <alignment horizontal="centerContinuous"/>
    </xf>
    <xf numFmtId="167" fontId="8" fillId="3" borderId="10" xfId="1" applyFont="1" applyFill="1" applyBorder="1" applyAlignment="1">
      <alignment horizontal="centerContinuous"/>
    </xf>
    <xf numFmtId="167" fontId="4" fillId="3" borderId="10" xfId="1" applyFont="1" applyFill="1" applyBorder="1"/>
    <xf numFmtId="167" fontId="4" fillId="3" borderId="2" xfId="1" applyFont="1" applyFill="1" applyBorder="1"/>
    <xf numFmtId="167" fontId="14" fillId="2" borderId="0" xfId="1" applyFont="1" applyFill="1" applyAlignment="1">
      <alignment horizontal="centerContinuous"/>
    </xf>
    <xf numFmtId="167" fontId="14" fillId="2" borderId="7" xfId="1" applyFont="1" applyFill="1" applyBorder="1" applyAlignment="1">
      <alignment horizontal="centerContinuous"/>
    </xf>
    <xf numFmtId="167" fontId="15" fillId="0" borderId="0" xfId="1" applyFont="1"/>
    <xf numFmtId="167" fontId="14" fillId="0" borderId="0" xfId="1" applyFont="1" applyAlignment="1">
      <alignment horizontal="centerContinuous"/>
    </xf>
    <xf numFmtId="167" fontId="14" fillId="0" borderId="7" xfId="1" applyFont="1" applyBorder="1" applyAlignment="1">
      <alignment horizontal="centerContinuous"/>
    </xf>
    <xf numFmtId="167" fontId="16" fillId="0" borderId="0" xfId="1" applyFont="1"/>
    <xf numFmtId="169" fontId="17" fillId="4" borderId="0" xfId="2" applyNumberFormat="1" applyFont="1" applyFill="1" applyBorder="1" applyAlignment="1" applyProtection="1">
      <alignment horizontal="center"/>
      <protection locked="0"/>
    </xf>
    <xf numFmtId="167" fontId="4" fillId="0" borderId="4" xfId="1" applyFont="1" applyBorder="1"/>
    <xf numFmtId="169" fontId="17" fillId="0" borderId="12" xfId="1" applyNumberFormat="1" applyFont="1" applyBorder="1" applyAlignment="1">
      <alignment horizontal="center"/>
    </xf>
    <xf numFmtId="167" fontId="17" fillId="0" borderId="12" xfId="1" applyFont="1" applyBorder="1" applyAlignment="1" applyProtection="1">
      <alignment horizontal="center"/>
      <protection locked="0"/>
    </xf>
    <xf numFmtId="167" fontId="17" fillId="0" borderId="5" xfId="1" applyFont="1" applyBorder="1" applyAlignment="1" applyProtection="1">
      <alignment horizontal="center"/>
      <protection locked="0"/>
    </xf>
    <xf numFmtId="167" fontId="16" fillId="0" borderId="12" xfId="1" applyFont="1" applyBorder="1"/>
    <xf numFmtId="167" fontId="17" fillId="0" borderId="12" xfId="1" applyFont="1" applyBorder="1" applyProtection="1">
      <protection locked="0"/>
    </xf>
    <xf numFmtId="169" fontId="17" fillId="0" borderId="5" xfId="1" applyNumberFormat="1" applyFont="1" applyBorder="1" applyAlignment="1">
      <alignment horizontal="center"/>
    </xf>
    <xf numFmtId="167" fontId="17" fillId="0" borderId="0" xfId="1" applyFont="1" applyProtection="1">
      <protection locked="0"/>
    </xf>
    <xf numFmtId="169" fontId="17" fillId="0" borderId="0" xfId="1" applyNumberFormat="1" applyFont="1" applyAlignment="1">
      <alignment horizontal="center"/>
    </xf>
    <xf numFmtId="169" fontId="17" fillId="0" borderId="7" xfId="1" applyNumberFormat="1" applyFont="1" applyBorder="1" applyAlignment="1">
      <alignment horizontal="center"/>
    </xf>
    <xf numFmtId="9" fontId="4" fillId="4" borderId="0" xfId="2" applyFont="1" applyFill="1" applyBorder="1"/>
    <xf numFmtId="167" fontId="17" fillId="0" borderId="7" xfId="1" applyFont="1" applyBorder="1" applyProtection="1">
      <protection locked="0"/>
    </xf>
    <xf numFmtId="167" fontId="18" fillId="0" borderId="1" xfId="1" applyFont="1" applyBorder="1"/>
    <xf numFmtId="167" fontId="6" fillId="0" borderId="10" xfId="1" applyFont="1" applyBorder="1" applyAlignment="1">
      <alignment horizontal="center"/>
    </xf>
    <xf numFmtId="167" fontId="6" fillId="0" borderId="0" xfId="1" applyFont="1" applyAlignment="1">
      <alignment horizontal="center"/>
    </xf>
    <xf numFmtId="167" fontId="3" fillId="0" borderId="0" xfId="1" applyFont="1" applyAlignment="1">
      <alignment horizontal="center"/>
    </xf>
    <xf numFmtId="167" fontId="3" fillId="0" borderId="7" xfId="1" applyFont="1" applyBorder="1"/>
    <xf numFmtId="167" fontId="4" fillId="0" borderId="6" xfId="1" applyFont="1" applyBorder="1" applyAlignment="1">
      <alignment horizontal="justify" vertical="center" textRotation="90"/>
    </xf>
    <xf numFmtId="167" fontId="2" fillId="0" borderId="6" xfId="1" applyBorder="1" applyAlignment="1">
      <alignment horizontal="justify" vertical="center" textRotation="90"/>
    </xf>
    <xf numFmtId="167" fontId="2" fillId="0" borderId="0" xfId="1"/>
    <xf numFmtId="9" fontId="2" fillId="0" borderId="0" xfId="2" applyFont="1" applyFill="1" applyBorder="1"/>
    <xf numFmtId="167" fontId="2" fillId="0" borderId="7" xfId="1" applyBorder="1"/>
    <xf numFmtId="167" fontId="18" fillId="0" borderId="6" xfId="1" applyFont="1" applyBorder="1"/>
    <xf numFmtId="167" fontId="3" fillId="0" borderId="7" xfId="1" applyFont="1" applyBorder="1" applyAlignment="1">
      <alignment horizontal="center"/>
    </xf>
    <xf numFmtId="167" fontId="7" fillId="2" borderId="6" xfId="1" applyFont="1" applyFill="1" applyBorder="1" applyAlignment="1">
      <alignment horizontal="centerContinuous"/>
    </xf>
    <xf numFmtId="167" fontId="8" fillId="2" borderId="7" xfId="1" applyFont="1" applyFill="1" applyBorder="1" applyAlignment="1">
      <alignment horizontal="centerContinuous"/>
    </xf>
    <xf numFmtId="167" fontId="16" fillId="0" borderId="6" xfId="1" applyFont="1" applyBorder="1"/>
    <xf numFmtId="167" fontId="8" fillId="2" borderId="14" xfId="1" applyFont="1" applyFill="1" applyBorder="1" applyAlignment="1">
      <alignment horizontal="centerContinuous"/>
    </xf>
    <xf numFmtId="167" fontId="19" fillId="0" borderId="0" xfId="1" applyFont="1" applyAlignment="1">
      <alignment horizontal="centerContinuous"/>
    </xf>
    <xf numFmtId="167" fontId="20" fillId="0" borderId="0" xfId="1" applyFont="1" applyAlignment="1">
      <alignment horizontal="centerContinuous"/>
    </xf>
    <xf numFmtId="167" fontId="2" fillId="0" borderId="0" xfId="1" applyAlignment="1">
      <alignment horizontal="centerContinuous"/>
    </xf>
    <xf numFmtId="167" fontId="20" fillId="0" borderId="0" xfId="1" applyFont="1" applyAlignment="1">
      <alignment horizontal="center"/>
    </xf>
    <xf numFmtId="167" fontId="20" fillId="0" borderId="0" xfId="1" applyFont="1"/>
    <xf numFmtId="167" fontId="21" fillId="6" borderId="15" xfId="1" applyFont="1" applyFill="1" applyBorder="1"/>
    <xf numFmtId="167" fontId="22" fillId="6" borderId="16" xfId="1" applyFont="1" applyFill="1" applyBorder="1"/>
    <xf numFmtId="167" fontId="23" fillId="7" borderId="17" xfId="1" applyFont="1" applyFill="1" applyBorder="1" applyAlignment="1">
      <alignment horizontal="center"/>
    </xf>
    <xf numFmtId="167" fontId="23" fillId="0" borderId="0" xfId="1" applyFont="1"/>
    <xf numFmtId="167" fontId="22" fillId="0" borderId="0" xfId="1" applyFont="1" applyAlignment="1">
      <alignment horizontal="centerContinuous"/>
    </xf>
    <xf numFmtId="167" fontId="24" fillId="6" borderId="18" xfId="1" applyFont="1" applyFill="1" applyBorder="1" applyAlignment="1">
      <alignment horizontal="centerContinuous"/>
    </xf>
    <xf numFmtId="167" fontId="22" fillId="6" borderId="3" xfId="1" applyFont="1" applyFill="1" applyBorder="1" applyAlignment="1">
      <alignment horizontal="centerContinuous"/>
    </xf>
    <xf numFmtId="167" fontId="23" fillId="7" borderId="19" xfId="1" applyFont="1" applyFill="1" applyBorder="1" applyAlignment="1">
      <alignment horizontal="center"/>
    </xf>
    <xf numFmtId="167" fontId="20" fillId="0" borderId="20" xfId="1" applyFont="1" applyBorder="1"/>
    <xf numFmtId="167" fontId="2" fillId="0" borderId="21" xfId="1" applyBorder="1"/>
    <xf numFmtId="167" fontId="19" fillId="0" borderId="20" xfId="1" applyFont="1" applyBorder="1"/>
    <xf numFmtId="167" fontId="2" fillId="0" borderId="20" xfId="1" applyBorder="1"/>
    <xf numFmtId="167" fontId="22" fillId="6" borderId="18" xfId="1" applyFont="1" applyFill="1" applyBorder="1"/>
    <xf numFmtId="167" fontId="22" fillId="6" borderId="3" xfId="1" applyFont="1" applyFill="1" applyBorder="1"/>
    <xf numFmtId="167" fontId="22" fillId="0" borderId="0" xfId="1" applyFont="1" applyAlignment="1">
      <alignment horizontal="right"/>
    </xf>
    <xf numFmtId="167" fontId="2" fillId="0" borderId="0" xfId="1" applyAlignment="1">
      <alignment horizontal="right"/>
    </xf>
    <xf numFmtId="167" fontId="25" fillId="0" borderId="0" xfId="1" applyFont="1" applyAlignment="1">
      <alignment horizontal="right"/>
    </xf>
    <xf numFmtId="167" fontId="2" fillId="0" borderId="18" xfId="1" applyBorder="1"/>
    <xf numFmtId="167" fontId="2" fillId="0" borderId="3" xfId="1" applyBorder="1"/>
    <xf numFmtId="167" fontId="2" fillId="0" borderId="19" xfId="1" applyBorder="1"/>
    <xf numFmtId="167" fontId="26" fillId="6" borderId="15" xfId="1" applyFont="1" applyFill="1" applyBorder="1"/>
    <xf numFmtId="167" fontId="27" fillId="6" borderId="16" xfId="1" applyFont="1" applyFill="1" applyBorder="1"/>
    <xf numFmtId="167" fontId="27" fillId="6" borderId="17" xfId="1" applyFont="1" applyFill="1" applyBorder="1" applyAlignment="1">
      <alignment horizontal="centerContinuous"/>
    </xf>
    <xf numFmtId="167" fontId="27" fillId="0" borderId="0" xfId="1" applyFont="1" applyAlignment="1">
      <alignment horizontal="centerContinuous"/>
    </xf>
    <xf numFmtId="167" fontId="27" fillId="6" borderId="18" xfId="1" applyFont="1" applyFill="1" applyBorder="1"/>
    <xf numFmtId="167" fontId="27" fillId="6" borderId="3" xfId="1" applyFont="1" applyFill="1" applyBorder="1"/>
    <xf numFmtId="167" fontId="27" fillId="6" borderId="19" xfId="1" applyFont="1" applyFill="1" applyBorder="1" applyAlignment="1">
      <alignment horizontal="centerContinuous"/>
    </xf>
    <xf numFmtId="167" fontId="24" fillId="0" borderId="15" xfId="1" applyFont="1" applyBorder="1"/>
    <xf numFmtId="167" fontId="24" fillId="0" borderId="15" xfId="1" applyFont="1" applyBorder="1" applyAlignment="1">
      <alignment horizontal="center"/>
    </xf>
    <xf numFmtId="167" fontId="24" fillId="0" borderId="17" xfId="1" applyFont="1" applyBorder="1" applyAlignment="1">
      <alignment horizontal="centerContinuous"/>
    </xf>
    <xf numFmtId="167" fontId="24" fillId="0" borderId="0" xfId="1" applyFont="1" applyAlignment="1">
      <alignment horizontal="centerContinuous"/>
    </xf>
    <xf numFmtId="9" fontId="2" fillId="0" borderId="20" xfId="2" applyFont="1" applyBorder="1"/>
    <xf numFmtId="169" fontId="2" fillId="0" borderId="20" xfId="1" applyNumberFormat="1" applyBorder="1" applyAlignment="1">
      <alignment horizontal="center"/>
    </xf>
    <xf numFmtId="167" fontId="28" fillId="0" borderId="21" xfId="1" applyFont="1" applyBorder="1"/>
    <xf numFmtId="167" fontId="2" fillId="0" borderId="20" xfId="1" applyBorder="1" applyAlignment="1">
      <alignment horizontal="center"/>
    </xf>
    <xf numFmtId="9" fontId="29" fillId="0" borderId="20" xfId="2" applyFont="1" applyFill="1" applyBorder="1"/>
    <xf numFmtId="167" fontId="20" fillId="6" borderId="20" xfId="1" applyFont="1" applyFill="1" applyBorder="1"/>
    <xf numFmtId="167" fontId="20" fillId="6" borderId="20" xfId="1" applyFont="1" applyFill="1" applyBorder="1" applyAlignment="1">
      <alignment horizontal="center"/>
    </xf>
    <xf numFmtId="167" fontId="2" fillId="0" borderId="18" xfId="1" applyBorder="1" applyAlignment="1">
      <alignment horizontal="center"/>
    </xf>
    <xf numFmtId="167" fontId="22" fillId="6" borderId="15" xfId="1" applyFont="1" applyFill="1" applyBorder="1"/>
    <xf numFmtId="167" fontId="22" fillId="6" borderId="17" xfId="1" applyFont="1" applyFill="1" applyBorder="1"/>
    <xf numFmtId="167" fontId="22" fillId="6" borderId="20" xfId="1" applyFont="1" applyFill="1" applyBorder="1"/>
    <xf numFmtId="167" fontId="22" fillId="6" borderId="0" xfId="1" applyFont="1" applyFill="1"/>
    <xf numFmtId="167" fontId="22" fillId="6" borderId="20" xfId="1" applyFont="1" applyFill="1" applyBorder="1" applyAlignment="1">
      <alignment horizontal="center"/>
    </xf>
    <xf numFmtId="167" fontId="22" fillId="6" borderId="21" xfId="1" applyFont="1" applyFill="1" applyBorder="1" applyAlignment="1">
      <alignment horizontal="center"/>
    </xf>
    <xf numFmtId="167" fontId="22" fillId="6" borderId="21" xfId="1" applyFont="1" applyFill="1" applyBorder="1"/>
    <xf numFmtId="170" fontId="2" fillId="0" borderId="20" xfId="3" applyNumberFormat="1" applyFont="1" applyFill="1" applyBorder="1"/>
    <xf numFmtId="167" fontId="20" fillId="6" borderId="0" xfId="1" applyFont="1" applyFill="1"/>
    <xf numFmtId="167" fontId="24" fillId="0" borderId="20" xfId="1" applyFont="1" applyBorder="1"/>
    <xf numFmtId="167" fontId="24" fillId="0" borderId="0" xfId="1" applyFont="1"/>
    <xf numFmtId="167" fontId="24" fillId="0" borderId="21" xfId="1" applyFont="1" applyBorder="1"/>
    <xf numFmtId="167" fontId="29" fillId="0" borderId="0" xfId="1" applyFont="1"/>
    <xf numFmtId="167" fontId="2" fillId="0" borderId="20" xfId="1" applyBorder="1" applyAlignment="1">
      <alignment horizontal="justify" vertical="center" textRotation="90"/>
    </xf>
    <xf numFmtId="167" fontId="20" fillId="0" borderId="20" xfId="1" applyFont="1" applyBorder="1" applyAlignment="1">
      <alignment horizontal="justify" vertical="center" textRotation="90"/>
    </xf>
    <xf numFmtId="167" fontId="27" fillId="6" borderId="15" xfId="1" applyFont="1" applyFill="1" applyBorder="1"/>
    <xf numFmtId="167" fontId="27" fillId="6" borderId="17" xfId="1" applyFont="1" applyFill="1" applyBorder="1"/>
    <xf numFmtId="167" fontId="27" fillId="6" borderId="20" xfId="1" applyFont="1" applyFill="1" applyBorder="1"/>
    <xf numFmtId="167" fontId="27" fillId="6" borderId="0" xfId="1" applyFont="1" applyFill="1" applyAlignment="1">
      <alignment horizontal="center"/>
    </xf>
    <xf numFmtId="167" fontId="27" fillId="6" borderId="21" xfId="1" applyFont="1" applyFill="1" applyBorder="1" applyAlignment="1">
      <alignment horizontal="center"/>
    </xf>
    <xf numFmtId="167" fontId="27" fillId="6" borderId="0" xfId="1" applyFont="1" applyFill="1"/>
    <xf numFmtId="167" fontId="27" fillId="6" borderId="21" xfId="1" applyFont="1" applyFill="1" applyBorder="1"/>
    <xf numFmtId="167" fontId="2" fillId="0" borderId="22" xfId="1" applyBorder="1" applyAlignment="1">
      <alignment horizontal="centerContinuous"/>
    </xf>
    <xf numFmtId="167" fontId="2" fillId="0" borderId="21" xfId="1" applyBorder="1" applyAlignment="1">
      <alignment horizontal="centerContinuous"/>
    </xf>
    <xf numFmtId="167" fontId="22" fillId="6" borderId="0" xfId="1" applyFont="1" applyFill="1" applyAlignment="1">
      <alignment horizontal="center"/>
    </xf>
    <xf numFmtId="167" fontId="20" fillId="0" borderId="21" xfId="1" applyFont="1" applyBorder="1"/>
    <xf numFmtId="167" fontId="2" fillId="0" borderId="15" xfId="1" applyBorder="1"/>
    <xf numFmtId="167" fontId="30" fillId="0" borderId="0" xfId="1" applyFont="1"/>
    <xf numFmtId="167" fontId="20" fillId="0" borderId="18" xfId="1" applyFont="1" applyBorder="1"/>
    <xf numFmtId="167" fontId="20" fillId="0" borderId="3" xfId="1" applyFont="1" applyBorder="1"/>
    <xf numFmtId="167" fontId="27" fillId="7" borderId="15" xfId="1" applyFont="1" applyFill="1" applyBorder="1"/>
    <xf numFmtId="167" fontId="27" fillId="7" borderId="16" xfId="1" applyFont="1" applyFill="1" applyBorder="1"/>
    <xf numFmtId="167" fontId="27" fillId="7" borderId="17" xfId="1" applyFont="1" applyFill="1" applyBorder="1"/>
    <xf numFmtId="167" fontId="27" fillId="7" borderId="20" xfId="1" applyFont="1" applyFill="1" applyBorder="1"/>
    <xf numFmtId="167" fontId="27" fillId="7" borderId="0" xfId="1" applyFont="1" applyFill="1" applyAlignment="1">
      <alignment horizontal="center"/>
    </xf>
    <xf numFmtId="167" fontId="27" fillId="7" borderId="21" xfId="1" applyFont="1" applyFill="1" applyBorder="1" applyAlignment="1">
      <alignment horizontal="center"/>
    </xf>
    <xf numFmtId="167" fontId="27" fillId="7" borderId="20" xfId="1" applyFont="1" applyFill="1" applyBorder="1" applyAlignment="1">
      <alignment horizontal="center"/>
    </xf>
    <xf numFmtId="167" fontId="27" fillId="7" borderId="0" xfId="1" applyFont="1" applyFill="1"/>
    <xf numFmtId="167" fontId="26" fillId="7" borderId="21" xfId="1" applyFont="1" applyFill="1" applyBorder="1" applyAlignment="1">
      <alignment horizontal="center"/>
    </xf>
    <xf numFmtId="167" fontId="27" fillId="7" borderId="21" xfId="1" applyFont="1" applyFill="1" applyBorder="1"/>
    <xf numFmtId="169" fontId="31" fillId="0" borderId="21" xfId="2" applyNumberFormat="1" applyFont="1" applyFill="1" applyBorder="1" applyAlignment="1">
      <alignment horizontal="center"/>
    </xf>
    <xf numFmtId="167" fontId="32" fillId="6" borderId="15" xfId="1" applyFont="1" applyFill="1" applyBorder="1"/>
    <xf numFmtId="167" fontId="32" fillId="6" borderId="16" xfId="1" applyFont="1" applyFill="1" applyBorder="1"/>
    <xf numFmtId="167" fontId="32" fillId="6" borderId="17" xfId="1" applyFont="1" applyFill="1" applyBorder="1"/>
    <xf numFmtId="167" fontId="32" fillId="6" borderId="23" xfId="1" applyFont="1" applyFill="1" applyBorder="1"/>
    <xf numFmtId="167" fontId="32" fillId="6" borderId="20" xfId="1" applyFont="1" applyFill="1" applyBorder="1"/>
    <xf numFmtId="167" fontId="32" fillId="6" borderId="0" xfId="1" applyFont="1" applyFill="1"/>
    <xf numFmtId="167" fontId="32" fillId="6" borderId="21" xfId="1" applyFont="1" applyFill="1" applyBorder="1" applyAlignment="1">
      <alignment horizontal="center"/>
    </xf>
    <xf numFmtId="167" fontId="32" fillId="6" borderId="22" xfId="1" applyFont="1" applyFill="1" applyBorder="1" applyAlignment="1">
      <alignment horizontal="center"/>
    </xf>
    <xf numFmtId="167" fontId="33" fillId="0" borderId="20" xfId="1" applyFont="1" applyBorder="1"/>
    <xf numFmtId="167" fontId="34" fillId="0" borderId="0" xfId="1" applyFont="1" applyAlignment="1">
      <alignment horizontal="left"/>
    </xf>
    <xf numFmtId="167" fontId="34" fillId="0" borderId="21" xfId="1" applyFont="1" applyBorder="1"/>
    <xf numFmtId="167" fontId="34" fillId="0" borderId="22" xfId="1" applyFont="1" applyBorder="1"/>
    <xf numFmtId="167" fontId="33" fillId="0" borderId="18" xfId="1" applyFont="1" applyBorder="1"/>
    <xf numFmtId="167" fontId="34" fillId="0" borderId="3" xfId="1" applyFont="1" applyBorder="1" applyAlignment="1">
      <alignment horizontal="left"/>
    </xf>
    <xf numFmtId="167" fontId="34" fillId="0" borderId="19" xfId="1" applyFont="1" applyBorder="1"/>
    <xf numFmtId="167" fontId="34" fillId="0" borderId="24" xfId="1" applyFont="1" applyBorder="1"/>
    <xf numFmtId="167" fontId="22" fillId="6" borderId="1" xfId="1" applyFont="1" applyFill="1" applyBorder="1"/>
    <xf numFmtId="167" fontId="22" fillId="6" borderId="25" xfId="1" applyFont="1" applyFill="1" applyBorder="1"/>
    <xf numFmtId="167" fontId="22" fillId="6" borderId="10" xfId="1" applyFont="1" applyFill="1" applyBorder="1"/>
    <xf numFmtId="167" fontId="22" fillId="6" borderId="26" xfId="1" applyFont="1" applyFill="1" applyBorder="1"/>
    <xf numFmtId="167" fontId="22" fillId="6" borderId="27" xfId="1" applyFont="1" applyFill="1" applyBorder="1"/>
    <xf numFmtId="167" fontId="22" fillId="6" borderId="28" xfId="1" applyFont="1" applyFill="1" applyBorder="1"/>
    <xf numFmtId="167" fontId="22" fillId="6" borderId="6" xfId="1" applyFont="1" applyFill="1" applyBorder="1"/>
    <xf numFmtId="167" fontId="22" fillId="6" borderId="22" xfId="1" applyFont="1" applyFill="1" applyBorder="1" applyAlignment="1">
      <alignment horizontal="center"/>
    </xf>
    <xf numFmtId="167" fontId="22" fillId="6" borderId="29" xfId="1" applyFont="1" applyFill="1" applyBorder="1" applyAlignment="1">
      <alignment horizontal="center"/>
    </xf>
    <xf numFmtId="167" fontId="36" fillId="8" borderId="8" xfId="1" applyFont="1" applyFill="1" applyBorder="1" applyAlignment="1">
      <alignment horizontal="centerContinuous"/>
    </xf>
    <xf numFmtId="167" fontId="36" fillId="8" borderId="9" xfId="1" applyFont="1" applyFill="1" applyBorder="1" applyAlignment="1">
      <alignment horizontal="centerContinuous"/>
    </xf>
    <xf numFmtId="167" fontId="36" fillId="8" borderId="14" xfId="1" applyFont="1" applyFill="1" applyBorder="1" applyAlignment="1">
      <alignment horizontal="centerContinuous"/>
    </xf>
    <xf numFmtId="167" fontId="22" fillId="6" borderId="22" xfId="1" applyFont="1" applyFill="1" applyBorder="1"/>
    <xf numFmtId="167" fontId="25" fillId="6" borderId="0" xfId="1" applyFont="1" applyFill="1" applyAlignment="1">
      <alignment horizontal="center"/>
    </xf>
    <xf numFmtId="167" fontId="22" fillId="6" borderId="29" xfId="1" applyFont="1" applyFill="1" applyBorder="1"/>
    <xf numFmtId="167" fontId="2" fillId="0" borderId="6" xfId="1" applyBorder="1"/>
    <xf numFmtId="167" fontId="36" fillId="8" borderId="8" xfId="1" applyFont="1" applyFill="1" applyBorder="1" applyAlignment="1">
      <alignment horizontal="center"/>
    </xf>
    <xf numFmtId="167" fontId="36" fillId="8" borderId="30" xfId="1" applyFont="1" applyFill="1" applyBorder="1" applyAlignment="1">
      <alignment horizontal="center"/>
    </xf>
    <xf numFmtId="167" fontId="36" fillId="8" borderId="14" xfId="1" applyFont="1" applyFill="1" applyBorder="1" applyAlignment="1">
      <alignment horizontal="center"/>
    </xf>
    <xf numFmtId="167" fontId="24" fillId="0" borderId="6" xfId="1" applyFont="1" applyBorder="1"/>
    <xf numFmtId="167" fontId="24" fillId="0" borderId="22" xfId="1" applyFont="1" applyBorder="1"/>
    <xf numFmtId="167" fontId="24" fillId="0" borderId="29" xfId="1" applyFont="1" applyBorder="1"/>
    <xf numFmtId="167" fontId="20" fillId="0" borderId="31" xfId="1" applyFont="1" applyBorder="1"/>
    <xf numFmtId="167" fontId="2" fillId="0" borderId="1" xfId="1" applyBorder="1"/>
    <xf numFmtId="167" fontId="20" fillId="0" borderId="22" xfId="1" applyFont="1" applyBorder="1"/>
    <xf numFmtId="167" fontId="20" fillId="0" borderId="32" xfId="1" applyFont="1" applyBorder="1"/>
    <xf numFmtId="167" fontId="2" fillId="0" borderId="4" xfId="1" applyBorder="1"/>
    <xf numFmtId="167" fontId="2" fillId="0" borderId="22" xfId="1" applyBorder="1"/>
    <xf numFmtId="167" fontId="20" fillId="0" borderId="6" xfId="1" applyFont="1" applyBorder="1"/>
    <xf numFmtId="10" fontId="37" fillId="0" borderId="0" xfId="2" applyNumberFormat="1" applyFont="1" applyFill="1" applyBorder="1"/>
    <xf numFmtId="167" fontId="2" fillId="0" borderId="33" xfId="1" applyBorder="1"/>
    <xf numFmtId="167" fontId="2" fillId="0" borderId="12" xfId="1" applyBorder="1"/>
    <xf numFmtId="167" fontId="2" fillId="0" borderId="34" xfId="1" applyBorder="1"/>
    <xf numFmtId="167" fontId="2" fillId="0" borderId="35" xfId="1" applyBorder="1"/>
    <xf numFmtId="167" fontId="2" fillId="0" borderId="36" xfId="1" applyBorder="1"/>
    <xf numFmtId="167" fontId="22" fillId="6" borderId="23" xfId="1" applyFont="1" applyFill="1" applyBorder="1"/>
    <xf numFmtId="169" fontId="20" fillId="0" borderId="21" xfId="1" applyNumberFormat="1" applyFont="1" applyBorder="1"/>
    <xf numFmtId="9" fontId="20" fillId="0" borderId="21" xfId="1" applyNumberFormat="1" applyFont="1" applyBorder="1"/>
    <xf numFmtId="169" fontId="2" fillId="0" borderId="21" xfId="1" applyNumberFormat="1" applyBorder="1"/>
    <xf numFmtId="10" fontId="37" fillId="9" borderId="0" xfId="2" applyNumberFormat="1" applyFont="1" applyFill="1" applyBorder="1"/>
    <xf numFmtId="167" fontId="2" fillId="0" borderId="24" xfId="1" applyBorder="1"/>
    <xf numFmtId="169" fontId="20" fillId="0" borderId="19" xfId="1" applyNumberFormat="1" applyFont="1" applyBorder="1"/>
    <xf numFmtId="167" fontId="19" fillId="0" borderId="0" xfId="1" applyFont="1"/>
    <xf numFmtId="167" fontId="38" fillId="0" borderId="18" xfId="1" applyFont="1" applyBorder="1"/>
    <xf numFmtId="167" fontId="38" fillId="0" borderId="3" xfId="1" applyFont="1" applyBorder="1"/>
    <xf numFmtId="167" fontId="39" fillId="0" borderId="0" xfId="1" applyFont="1"/>
    <xf numFmtId="9" fontId="2" fillId="0" borderId="0" xfId="2" applyFont="1"/>
    <xf numFmtId="9" fontId="20" fillId="0" borderId="0" xfId="2" applyFont="1"/>
    <xf numFmtId="167" fontId="38" fillId="0" borderId="20" xfId="1" applyFont="1" applyBorder="1"/>
    <xf numFmtId="167" fontId="38" fillId="0" borderId="0" xfId="1" applyFont="1"/>
    <xf numFmtId="167" fontId="28" fillId="0" borderId="20" xfId="1" applyFont="1" applyBorder="1"/>
    <xf numFmtId="167" fontId="28" fillId="6" borderId="15" xfId="1" applyFont="1" applyFill="1" applyBorder="1"/>
    <xf numFmtId="167" fontId="28" fillId="6" borderId="23" xfId="1" applyFont="1" applyFill="1" applyBorder="1"/>
    <xf numFmtId="167" fontId="28" fillId="6" borderId="17" xfId="1" applyFont="1" applyFill="1" applyBorder="1"/>
    <xf numFmtId="167" fontId="28" fillId="6" borderId="20" xfId="1" applyFont="1" applyFill="1" applyBorder="1" applyAlignment="1">
      <alignment horizontal="left"/>
    </xf>
    <xf numFmtId="167" fontId="28" fillId="6" borderId="22" xfId="1" applyFont="1" applyFill="1" applyBorder="1" applyAlignment="1">
      <alignment horizontal="left"/>
    </xf>
    <xf numFmtId="167" fontId="28" fillId="6" borderId="21" xfId="1" applyFont="1" applyFill="1" applyBorder="1" applyAlignment="1">
      <alignment horizontal="center"/>
    </xf>
    <xf numFmtId="167" fontId="28" fillId="6" borderId="20" xfId="1" applyFont="1" applyFill="1" applyBorder="1"/>
    <xf numFmtId="167" fontId="28" fillId="6" borderId="22" xfId="1" applyFont="1" applyFill="1" applyBorder="1"/>
    <xf numFmtId="167" fontId="29" fillId="6" borderId="21" xfId="1" applyFont="1" applyFill="1" applyBorder="1" applyAlignment="1">
      <alignment horizontal="center"/>
    </xf>
    <xf numFmtId="167" fontId="28" fillId="6" borderId="21" xfId="1" applyFont="1" applyFill="1" applyBorder="1"/>
    <xf numFmtId="9" fontId="2" fillId="0" borderId="21" xfId="2" applyFont="1" applyBorder="1"/>
    <xf numFmtId="9" fontId="20" fillId="0" borderId="21" xfId="2" applyFont="1" applyBorder="1"/>
    <xf numFmtId="167" fontId="20" fillId="7" borderId="20" xfId="1" applyFont="1" applyFill="1" applyBorder="1"/>
    <xf numFmtId="167" fontId="20" fillId="7" borderId="22" xfId="1" applyFont="1" applyFill="1" applyBorder="1"/>
    <xf numFmtId="167" fontId="20" fillId="7" borderId="21" xfId="1" applyFont="1" applyFill="1" applyBorder="1"/>
    <xf numFmtId="167" fontId="28" fillId="6" borderId="16" xfId="1" applyFont="1" applyFill="1" applyBorder="1"/>
    <xf numFmtId="167" fontId="28" fillId="6" borderId="0" xfId="1" applyFont="1" applyFill="1" applyAlignment="1">
      <alignment horizontal="left"/>
    </xf>
    <xf numFmtId="167" fontId="28" fillId="6" borderId="0" xfId="1" applyFont="1" applyFill="1" applyAlignment="1">
      <alignment horizontal="center"/>
    </xf>
    <xf numFmtId="167" fontId="28" fillId="6" borderId="20" xfId="1" applyFont="1" applyFill="1" applyBorder="1" applyAlignment="1">
      <alignment horizontal="center"/>
    </xf>
    <xf numFmtId="167" fontId="28" fillId="6" borderId="0" xfId="1" applyFont="1" applyFill="1"/>
    <xf numFmtId="167" fontId="29" fillId="6" borderId="0" xfId="1" applyFont="1" applyFill="1" applyAlignment="1">
      <alignment horizontal="center"/>
    </xf>
    <xf numFmtId="167" fontId="40" fillId="0" borderId="0" xfId="1" applyFont="1"/>
    <xf numFmtId="167" fontId="28" fillId="0" borderId="0" xfId="1" applyFont="1"/>
    <xf numFmtId="167" fontId="39" fillId="0" borderId="20" xfId="1" applyFont="1" applyBorder="1"/>
    <xf numFmtId="167" fontId="28" fillId="0" borderId="34" xfId="1" applyFont="1" applyBorder="1"/>
    <xf numFmtId="167" fontId="28" fillId="0" borderId="12" xfId="1" applyFont="1" applyBorder="1"/>
    <xf numFmtId="167" fontId="2" fillId="0" borderId="3" xfId="1" applyBorder="1" applyAlignment="1">
      <alignment horizontal="right"/>
    </xf>
    <xf numFmtId="167" fontId="19" fillId="0" borderId="6" xfId="1" applyFont="1" applyBorder="1"/>
    <xf numFmtId="167" fontId="2" fillId="0" borderId="29" xfId="1" applyBorder="1"/>
    <xf numFmtId="171" fontId="2" fillId="0" borderId="20" xfId="1" applyNumberFormat="1" applyBorder="1"/>
    <xf numFmtId="171" fontId="2" fillId="0" borderId="21" xfId="1" applyNumberFormat="1" applyBorder="1"/>
    <xf numFmtId="171" fontId="2" fillId="0" borderId="29" xfId="1" applyNumberFormat="1" applyBorder="1"/>
    <xf numFmtId="4" fontId="2" fillId="0" borderId="20" xfId="1" applyNumberFormat="1" applyBorder="1"/>
    <xf numFmtId="4" fontId="2" fillId="0" borderId="21" xfId="1" applyNumberFormat="1" applyBorder="1"/>
    <xf numFmtId="4" fontId="2" fillId="0" borderId="29" xfId="1" applyNumberFormat="1" applyBorder="1"/>
    <xf numFmtId="4" fontId="41" fillId="0" borderId="29" xfId="1" applyNumberFormat="1" applyFont="1" applyBorder="1"/>
    <xf numFmtId="4" fontId="2" fillId="0" borderId="20" xfId="2" applyNumberFormat="1" applyFont="1" applyBorder="1"/>
    <xf numFmtId="4" fontId="2" fillId="0" borderId="21" xfId="2" applyNumberFormat="1" applyFont="1" applyBorder="1"/>
    <xf numFmtId="4" fontId="2" fillId="0" borderId="29" xfId="2" applyNumberFormat="1" applyFont="1" applyBorder="1"/>
    <xf numFmtId="169" fontId="2" fillId="0" borderId="20" xfId="2" applyNumberFormat="1" applyFont="1" applyBorder="1"/>
    <xf numFmtId="169" fontId="2" fillId="0" borderId="21" xfId="2" applyNumberFormat="1" applyFont="1" applyBorder="1"/>
    <xf numFmtId="169" fontId="2" fillId="0" borderId="29" xfId="2" applyNumberFormat="1" applyFont="1" applyBorder="1"/>
    <xf numFmtId="169" fontId="2" fillId="0" borderId="20" xfId="2" applyNumberFormat="1" applyFont="1" applyBorder="1" applyAlignment="1">
      <alignment horizontal="right"/>
    </xf>
    <xf numFmtId="169" fontId="2" fillId="0" borderId="21" xfId="2" applyNumberFormat="1" applyFont="1" applyBorder="1" applyAlignment="1">
      <alignment horizontal="right"/>
    </xf>
    <xf numFmtId="169" fontId="2" fillId="0" borderId="29" xfId="2" applyNumberFormat="1" applyFont="1" applyBorder="1" applyAlignment="1">
      <alignment horizontal="right"/>
    </xf>
    <xf numFmtId="4" fontId="2" fillId="0" borderId="20" xfId="1" applyNumberFormat="1" applyBorder="1" applyAlignment="1">
      <alignment horizontal="right"/>
    </xf>
    <xf numFmtId="4" fontId="2" fillId="0" borderId="21" xfId="1" applyNumberFormat="1" applyBorder="1" applyAlignment="1">
      <alignment horizontal="right"/>
    </xf>
    <xf numFmtId="4" fontId="2" fillId="0" borderId="29" xfId="1" applyNumberFormat="1" applyBorder="1" applyAlignment="1">
      <alignment horizontal="right"/>
    </xf>
    <xf numFmtId="167" fontId="20" fillId="7" borderId="15" xfId="1" applyFont="1" applyFill="1" applyBorder="1" applyAlignment="1">
      <alignment horizontal="left"/>
    </xf>
    <xf numFmtId="167" fontId="20" fillId="7" borderId="16" xfId="1" applyFont="1" applyFill="1" applyBorder="1"/>
    <xf numFmtId="167" fontId="20" fillId="7" borderId="23" xfId="1" applyFont="1" applyFill="1" applyBorder="1"/>
    <xf numFmtId="167" fontId="20" fillId="7" borderId="20" xfId="1" applyFont="1" applyFill="1" applyBorder="1" applyAlignment="1">
      <alignment horizontal="left"/>
    </xf>
    <xf numFmtId="167" fontId="20" fillId="7" borderId="0" xfId="1" applyFont="1" applyFill="1"/>
    <xf numFmtId="167" fontId="20" fillId="7" borderId="0" xfId="1" applyFont="1" applyFill="1" applyAlignment="1">
      <alignment horizontal="center"/>
    </xf>
    <xf numFmtId="167" fontId="20" fillId="7" borderId="22" xfId="1" applyFont="1" applyFill="1" applyBorder="1" applyAlignment="1">
      <alignment horizontal="center"/>
    </xf>
    <xf numFmtId="167" fontId="20" fillId="7" borderId="18" xfId="1" applyFont="1" applyFill="1" applyBorder="1" applyAlignment="1">
      <alignment horizontal="left"/>
    </xf>
    <xf numFmtId="167" fontId="20" fillId="7" borderId="3" xfId="1" applyFont="1" applyFill="1" applyBorder="1"/>
    <xf numFmtId="167" fontId="20" fillId="7" borderId="24" xfId="1" applyFont="1" applyFill="1" applyBorder="1"/>
    <xf numFmtId="167" fontId="2" fillId="0" borderId="17" xfId="1" applyBorder="1"/>
    <xf numFmtId="167" fontId="42" fillId="0" borderId="20" xfId="1" applyFont="1" applyBorder="1"/>
    <xf numFmtId="37" fontId="2" fillId="0" borderId="0" xfId="1" applyNumberFormat="1"/>
    <xf numFmtId="170" fontId="2" fillId="0" borderId="0" xfId="3" applyNumberFormat="1" applyFont="1" applyFill="1" applyBorder="1"/>
    <xf numFmtId="170" fontId="2" fillId="0" borderId="21" xfId="3" applyNumberFormat="1" applyFont="1" applyFill="1" applyBorder="1"/>
    <xf numFmtId="37" fontId="20" fillId="0" borderId="0" xfId="1" applyNumberFormat="1" applyFont="1"/>
    <xf numFmtId="170" fontId="20" fillId="0" borderId="0" xfId="3" applyNumberFormat="1" applyFont="1" applyFill="1" applyBorder="1"/>
    <xf numFmtId="170" fontId="20" fillId="0" borderId="21" xfId="3" applyNumberFormat="1" applyFont="1" applyFill="1" applyBorder="1"/>
    <xf numFmtId="169" fontId="2" fillId="0" borderId="0" xfId="2" applyNumberFormat="1" applyFont="1" applyFill="1" applyBorder="1"/>
    <xf numFmtId="169" fontId="2" fillId="0" borderId="21" xfId="2" applyNumberFormat="1" applyFont="1" applyFill="1" applyBorder="1"/>
    <xf numFmtId="9" fontId="20" fillId="0" borderId="0" xfId="2" applyFont="1" applyFill="1" applyBorder="1"/>
    <xf numFmtId="169" fontId="20" fillId="0" borderId="0" xfId="2" applyNumberFormat="1" applyFont="1" applyFill="1" applyBorder="1"/>
    <xf numFmtId="169" fontId="20" fillId="0" borderId="21" xfId="2" applyNumberFormat="1" applyFont="1" applyFill="1" applyBorder="1"/>
    <xf numFmtId="10" fontId="2" fillId="0" borderId="0" xfId="2" applyNumberFormat="1" applyFont="1" applyFill="1" applyBorder="1"/>
    <xf numFmtId="10" fontId="2" fillId="0" borderId="0" xfId="1" applyNumberFormat="1"/>
    <xf numFmtId="10" fontId="20" fillId="0" borderId="3" xfId="1" applyNumberFormat="1" applyFont="1" applyBorder="1"/>
    <xf numFmtId="169" fontId="20" fillId="0" borderId="3" xfId="2" applyNumberFormat="1" applyFont="1" applyFill="1" applyBorder="1"/>
    <xf numFmtId="169" fontId="20" fillId="0" borderId="19" xfId="2" applyNumberFormat="1" applyFont="1" applyFill="1" applyBorder="1"/>
    <xf numFmtId="167" fontId="2" fillId="0" borderId="0" xfId="1" applyAlignment="1">
      <alignment horizontal="left"/>
    </xf>
    <xf numFmtId="167" fontId="2" fillId="0" borderId="0" xfId="1" applyAlignment="1">
      <alignment horizontal="center"/>
    </xf>
    <xf numFmtId="167" fontId="20" fillId="7" borderId="16" xfId="1" applyFont="1" applyFill="1" applyBorder="1" applyAlignment="1">
      <alignment horizontal="left"/>
    </xf>
    <xf numFmtId="167" fontId="20" fillId="7" borderId="16" xfId="1" applyFont="1" applyFill="1" applyBorder="1" applyAlignment="1">
      <alignment horizontal="center"/>
    </xf>
    <xf numFmtId="167" fontId="20" fillId="7" borderId="23" xfId="1" applyFont="1" applyFill="1" applyBorder="1" applyAlignment="1">
      <alignment horizontal="center"/>
    </xf>
    <xf numFmtId="167" fontId="20" fillId="7" borderId="3" xfId="1" applyFont="1" applyFill="1" applyBorder="1" applyAlignment="1">
      <alignment horizontal="left"/>
    </xf>
    <xf numFmtId="167" fontId="20" fillId="7" borderId="3" xfId="1" applyFont="1" applyFill="1" applyBorder="1" applyAlignment="1">
      <alignment horizontal="center"/>
    </xf>
    <xf numFmtId="167" fontId="20" fillId="7" borderId="24" xfId="1" applyFont="1" applyFill="1" applyBorder="1" applyAlignment="1">
      <alignment horizontal="center"/>
    </xf>
    <xf numFmtId="167" fontId="2" fillId="0" borderId="15" xfId="1" applyBorder="1" applyAlignment="1">
      <alignment horizontal="left"/>
    </xf>
    <xf numFmtId="167" fontId="2" fillId="0" borderId="16" xfId="1" applyBorder="1" applyAlignment="1">
      <alignment horizontal="center"/>
    </xf>
    <xf numFmtId="170" fontId="2" fillId="0" borderId="17" xfId="3" applyNumberFormat="1" applyFont="1" applyFill="1" applyBorder="1" applyAlignment="1">
      <alignment horizontal="center"/>
    </xf>
    <xf numFmtId="167" fontId="2" fillId="0" borderId="20" xfId="1" applyBorder="1" applyAlignment="1">
      <alignment horizontal="left"/>
    </xf>
    <xf numFmtId="170" fontId="2" fillId="0" borderId="21" xfId="3" applyNumberFormat="1" applyFont="1" applyFill="1" applyBorder="1" applyAlignment="1">
      <alignment horizontal="center"/>
    </xf>
    <xf numFmtId="167" fontId="20" fillId="0" borderId="20" xfId="1" applyFont="1" applyBorder="1" applyAlignment="1">
      <alignment horizontal="left"/>
    </xf>
    <xf numFmtId="170" fontId="20" fillId="0" borderId="21" xfId="3" applyNumberFormat="1" applyFont="1" applyFill="1" applyBorder="1" applyAlignment="1">
      <alignment horizontal="center"/>
    </xf>
    <xf numFmtId="167" fontId="20" fillId="0" borderId="18" xfId="1" applyFont="1" applyBorder="1" applyAlignment="1">
      <alignment horizontal="left"/>
    </xf>
    <xf numFmtId="167" fontId="2" fillId="0" borderId="3" xfId="1" applyBorder="1" applyAlignment="1">
      <alignment horizontal="center"/>
    </xf>
    <xf numFmtId="37" fontId="2" fillId="0" borderId="0" xfId="1" applyNumberFormat="1" applyAlignment="1">
      <alignment horizontal="center"/>
    </xf>
    <xf numFmtId="37" fontId="20" fillId="7" borderId="16" xfId="1" applyNumberFormat="1" applyFont="1" applyFill="1" applyBorder="1" applyAlignment="1">
      <alignment horizontal="center"/>
    </xf>
    <xf numFmtId="37" fontId="20" fillId="7" borderId="17" xfId="1" applyNumberFormat="1" applyFont="1" applyFill="1" applyBorder="1" applyAlignment="1">
      <alignment horizontal="center"/>
    </xf>
    <xf numFmtId="37" fontId="20" fillId="7" borderId="3" xfId="1" applyNumberFormat="1" applyFont="1" applyFill="1" applyBorder="1" applyAlignment="1">
      <alignment horizontal="center"/>
    </xf>
    <xf numFmtId="167" fontId="20" fillId="7" borderId="19" xfId="1" applyFont="1" applyFill="1" applyBorder="1" applyAlignment="1">
      <alignment horizontal="center"/>
    </xf>
    <xf numFmtId="167" fontId="2" fillId="0" borderId="16" xfId="1" applyBorder="1" applyAlignment="1">
      <alignment horizontal="left"/>
    </xf>
    <xf numFmtId="37" fontId="2" fillId="0" borderId="16" xfId="1" applyNumberFormat="1" applyBorder="1" applyAlignment="1">
      <alignment horizontal="center"/>
    </xf>
    <xf numFmtId="37" fontId="2" fillId="0" borderId="17" xfId="1" applyNumberFormat="1" applyBorder="1" applyAlignment="1">
      <alignment horizontal="center"/>
    </xf>
    <xf numFmtId="37" fontId="2" fillId="0" borderId="21" xfId="1" applyNumberFormat="1" applyBorder="1" applyAlignment="1">
      <alignment horizontal="center"/>
    </xf>
    <xf numFmtId="172" fontId="2" fillId="0" borderId="21" xfId="1" applyNumberFormat="1" applyBorder="1" applyAlignment="1">
      <alignment horizontal="center"/>
    </xf>
    <xf numFmtId="167" fontId="2" fillId="0" borderId="21" xfId="1" applyBorder="1" applyAlignment="1">
      <alignment horizontal="center"/>
    </xf>
    <xf numFmtId="4" fontId="2" fillId="0" borderId="20" xfId="1" applyNumberFormat="1" applyBorder="1" applyAlignment="1">
      <alignment horizontal="left"/>
    </xf>
    <xf numFmtId="3" fontId="2" fillId="0" borderId="0" xfId="1" applyNumberFormat="1" applyAlignment="1">
      <alignment horizontal="right"/>
    </xf>
    <xf numFmtId="167" fontId="20" fillId="7" borderId="37" xfId="1" applyFont="1" applyFill="1" applyBorder="1" applyAlignment="1">
      <alignment horizontal="left"/>
    </xf>
    <xf numFmtId="3" fontId="20" fillId="7" borderId="38" xfId="1" applyNumberFormat="1" applyFont="1" applyFill="1" applyBorder="1" applyAlignment="1">
      <alignment horizontal="right"/>
    </xf>
    <xf numFmtId="167" fontId="2" fillId="0" borderId="19" xfId="1" applyBorder="1" applyAlignment="1">
      <alignment horizontal="center"/>
    </xf>
    <xf numFmtId="167" fontId="28" fillId="0" borderId="20" xfId="1" applyFont="1" applyBorder="1" applyAlignment="1">
      <alignment horizontal="center"/>
    </xf>
    <xf numFmtId="167" fontId="2" fillId="10" borderId="22" xfId="1" applyFill="1" applyBorder="1" applyAlignment="1">
      <alignment horizontal="left"/>
    </xf>
    <xf numFmtId="167" fontId="29" fillId="0" borderId="20" xfId="1" applyFont="1" applyBorder="1"/>
    <xf numFmtId="167" fontId="2" fillId="7" borderId="0" xfId="1" applyFill="1" applyAlignment="1">
      <alignment horizontal="center"/>
    </xf>
    <xf numFmtId="167" fontId="20" fillId="7" borderId="18" xfId="1" applyFont="1" applyFill="1" applyBorder="1"/>
    <xf numFmtId="167" fontId="2" fillId="7" borderId="3" xfId="1" applyFill="1" applyBorder="1" applyAlignment="1">
      <alignment horizontal="center"/>
    </xf>
    <xf numFmtId="167" fontId="2" fillId="0" borderId="40" xfId="1" applyBorder="1" applyAlignment="1">
      <alignment vertical="top" wrapText="1"/>
    </xf>
    <xf numFmtId="167" fontId="20" fillId="0" borderId="40" xfId="1" applyFont="1" applyBorder="1" applyAlignment="1">
      <alignment vertical="top" wrapText="1"/>
    </xf>
    <xf numFmtId="167" fontId="2" fillId="0" borderId="32" xfId="1" applyBorder="1" applyAlignment="1">
      <alignment vertical="top" wrapText="1"/>
    </xf>
    <xf numFmtId="167" fontId="20" fillId="0" borderId="31" xfId="1" applyFont="1" applyBorder="1" applyAlignment="1">
      <alignment vertical="top" wrapText="1"/>
    </xf>
    <xf numFmtId="167" fontId="45" fillId="0" borderId="0" xfId="1" applyFont="1"/>
    <xf numFmtId="167" fontId="45" fillId="0" borderId="3" xfId="1" applyFont="1" applyBorder="1" applyAlignment="1">
      <alignment horizontal="center"/>
    </xf>
    <xf numFmtId="167" fontId="45" fillId="0" borderId="19" xfId="1" applyFont="1" applyBorder="1" applyAlignment="1">
      <alignment horizontal="center"/>
    </xf>
    <xf numFmtId="0" fontId="46" fillId="0" borderId="0" xfId="0" applyFont="1" applyAlignment="1">
      <alignment horizontal="center" vertical="center"/>
    </xf>
    <xf numFmtId="41" fontId="0" fillId="0" borderId="0" xfId="9" applyFont="1" applyAlignment="1">
      <alignment horizontal="center" vertical="center"/>
    </xf>
    <xf numFmtId="9" fontId="0" fillId="0" borderId="0" xfId="10" applyFont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14" borderId="11" xfId="0" applyFont="1" applyFill="1" applyBorder="1" applyAlignment="1">
      <alignment horizontal="center" vertical="center"/>
    </xf>
    <xf numFmtId="10" fontId="4" fillId="4" borderId="0" xfId="2" applyNumberFormat="1" applyFont="1" applyFill="1" applyBorder="1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10" applyNumberFormat="1" applyFont="1" applyAlignment="1">
      <alignment horizontal="center" vertical="center"/>
    </xf>
    <xf numFmtId="44" fontId="2" fillId="0" borderId="21" xfId="11" applyFont="1" applyBorder="1"/>
    <xf numFmtId="44" fontId="22" fillId="6" borderId="19" xfId="11" applyFont="1" applyFill="1" applyBorder="1" applyAlignment="1">
      <alignment horizontal="right"/>
    </xf>
    <xf numFmtId="44" fontId="28" fillId="0" borderId="21" xfId="11" applyFont="1" applyBorder="1"/>
    <xf numFmtId="44" fontId="20" fillId="6" borderId="21" xfId="11" applyFont="1" applyFill="1" applyBorder="1"/>
    <xf numFmtId="44" fontId="20" fillId="6" borderId="20" xfId="11" applyFont="1" applyFill="1" applyBorder="1"/>
    <xf numFmtId="44" fontId="2" fillId="0" borderId="20" xfId="11" applyFont="1" applyBorder="1"/>
    <xf numFmtId="44" fontId="2" fillId="0" borderId="18" xfId="11" applyFont="1" applyBorder="1"/>
    <xf numFmtId="44" fontId="2" fillId="0" borderId="19" xfId="11" applyFont="1" applyBorder="1"/>
    <xf numFmtId="44" fontId="2" fillId="0" borderId="0" xfId="11" applyFont="1"/>
    <xf numFmtId="44" fontId="20" fillId="0" borderId="20" xfId="11" applyFont="1" applyBorder="1"/>
    <xf numFmtId="44" fontId="20" fillId="0" borderId="21" xfId="11" applyFont="1" applyBorder="1"/>
    <xf numFmtId="44" fontId="20" fillId="0" borderId="0" xfId="11" applyFont="1"/>
    <xf numFmtId="44" fontId="20" fillId="0" borderId="18" xfId="11" applyFont="1" applyBorder="1"/>
    <xf numFmtId="44" fontId="20" fillId="0" borderId="19" xfId="11" applyFont="1" applyBorder="1"/>
    <xf numFmtId="44" fontId="20" fillId="0" borderId="3" xfId="11" applyFont="1" applyBorder="1"/>
    <xf numFmtId="44" fontId="35" fillId="0" borderId="21" xfId="11" applyFont="1" applyBorder="1"/>
    <xf numFmtId="44" fontId="20" fillId="0" borderId="29" xfId="11" applyFont="1" applyBorder="1"/>
    <xf numFmtId="44" fontId="2" fillId="0" borderId="29" xfId="11" applyFont="1" applyBorder="1"/>
    <xf numFmtId="44" fontId="2" fillId="0" borderId="20" xfId="11" applyFont="1" applyFill="1" applyBorder="1"/>
    <xf numFmtId="44" fontId="2" fillId="0" borderId="29" xfId="11" applyFont="1" applyFill="1" applyBorder="1"/>
    <xf numFmtId="44" fontId="20" fillId="0" borderId="20" xfId="11" applyFont="1" applyFill="1" applyBorder="1"/>
    <xf numFmtId="44" fontId="20" fillId="0" borderId="29" xfId="11" applyFont="1" applyFill="1" applyBorder="1"/>
    <xf numFmtId="44" fontId="2" fillId="0" borderId="21" xfId="11" applyFont="1" applyFill="1" applyBorder="1"/>
    <xf numFmtId="44" fontId="38" fillId="0" borderId="18" xfId="11" applyFont="1" applyBorder="1"/>
    <xf numFmtId="44" fontId="38" fillId="0" borderId="19" xfId="11" applyFont="1" applyBorder="1"/>
    <xf numFmtId="44" fontId="28" fillId="0" borderId="20" xfId="11" applyFont="1" applyBorder="1"/>
    <xf numFmtId="44" fontId="20" fillId="7" borderId="21" xfId="11" applyFont="1" applyFill="1" applyBorder="1"/>
    <xf numFmtId="44" fontId="28" fillId="0" borderId="34" xfId="11" applyFont="1" applyBorder="1"/>
    <xf numFmtId="44" fontId="28" fillId="0" borderId="35" xfId="11" applyFont="1" applyBorder="1"/>
    <xf numFmtId="44" fontId="2" fillId="0" borderId="21" xfId="11" applyFont="1" applyFill="1" applyBorder="1" applyAlignment="1">
      <alignment horizontal="center"/>
    </xf>
    <xf numFmtId="44" fontId="20" fillId="0" borderId="21" xfId="11" applyFont="1" applyFill="1" applyBorder="1" applyAlignment="1">
      <alignment horizontal="center"/>
    </xf>
    <xf numFmtId="44" fontId="20" fillId="0" borderId="19" xfId="11" applyFont="1" applyFill="1" applyBorder="1" applyAlignment="1">
      <alignment horizontal="center"/>
    </xf>
    <xf numFmtId="44" fontId="2" fillId="10" borderId="22" xfId="11" applyFont="1" applyFill="1" applyBorder="1" applyAlignment="1">
      <alignment horizontal="right"/>
    </xf>
    <xf numFmtId="44" fontId="2" fillId="4" borderId="11" xfId="11" applyFont="1" applyFill="1" applyBorder="1" applyAlignment="1">
      <alignment horizontal="right"/>
    </xf>
    <xf numFmtId="44" fontId="20" fillId="7" borderId="22" xfId="11" applyFont="1" applyFill="1" applyBorder="1" applyAlignment="1">
      <alignment horizontal="right"/>
    </xf>
    <xf numFmtId="44" fontId="2" fillId="0" borderId="22" xfId="11" applyFont="1" applyBorder="1" applyAlignment="1">
      <alignment horizontal="right"/>
    </xf>
    <xf numFmtId="44" fontId="20" fillId="7" borderId="24" xfId="11" applyFont="1" applyFill="1" applyBorder="1" applyAlignment="1">
      <alignment horizontal="right"/>
    </xf>
    <xf numFmtId="44" fontId="2" fillId="0" borderId="0" xfId="11" applyFont="1" applyAlignment="1">
      <alignment horizontal="center"/>
    </xf>
    <xf numFmtId="44" fontId="20" fillId="7" borderId="39" xfId="11" applyFont="1" applyFill="1" applyBorder="1" applyAlignment="1">
      <alignment horizontal="center"/>
    </xf>
    <xf numFmtId="44" fontId="20" fillId="0" borderId="21" xfId="11" applyFont="1" applyFill="1" applyBorder="1"/>
    <xf numFmtId="0" fontId="0" fillId="0" borderId="0" xfId="0" applyAlignment="1">
      <alignment vertical="center"/>
    </xf>
    <xf numFmtId="41" fontId="46" fillId="12" borderId="11" xfId="9" applyFont="1" applyFill="1" applyBorder="1" applyAlignment="1">
      <alignment horizontal="center" vertical="center"/>
    </xf>
    <xf numFmtId="44" fontId="46" fillId="12" borderId="11" xfId="11" applyFont="1" applyFill="1" applyBorder="1" applyAlignment="1">
      <alignment vertical="center"/>
    </xf>
    <xf numFmtId="41" fontId="0" fillId="0" borderId="0" xfId="9" applyFont="1" applyAlignment="1">
      <alignment vertical="center"/>
    </xf>
    <xf numFmtId="41" fontId="46" fillId="13" borderId="11" xfId="9" applyFont="1" applyFill="1" applyBorder="1" applyAlignment="1">
      <alignment horizontal="center" vertical="center"/>
    </xf>
    <xf numFmtId="41" fontId="0" fillId="0" borderId="11" xfId="9" applyFont="1" applyBorder="1" applyAlignment="1">
      <alignment vertical="center"/>
    </xf>
    <xf numFmtId="44" fontId="0" fillId="0" borderId="11" xfId="11" applyFont="1" applyBorder="1" applyAlignment="1">
      <alignment vertical="center"/>
    </xf>
    <xf numFmtId="169" fontId="0" fillId="0" borderId="0" xfId="10" applyNumberFormat="1" applyFont="1" applyAlignment="1">
      <alignment horizontal="center" vertical="center"/>
    </xf>
    <xf numFmtId="0" fontId="46" fillId="11" borderId="11" xfId="0" applyFont="1" applyFill="1" applyBorder="1" applyAlignment="1">
      <alignment horizontal="left" vertical="center"/>
    </xf>
    <xf numFmtId="44" fontId="46" fillId="11" borderId="11" xfId="11" applyFont="1" applyFill="1" applyBorder="1" applyAlignment="1">
      <alignment vertical="center"/>
    </xf>
    <xf numFmtId="169" fontId="0" fillId="0" borderId="0" xfId="0" applyNumberFormat="1" applyAlignment="1">
      <alignment horizontal="center" vertical="center"/>
    </xf>
    <xf numFmtId="0" fontId="46" fillId="11" borderId="11" xfId="0" applyFont="1" applyFill="1" applyBorder="1" applyAlignment="1">
      <alignment horizontal="left" vertical="center" wrapText="1"/>
    </xf>
    <xf numFmtId="0" fontId="46" fillId="15" borderId="11" xfId="0" applyFont="1" applyFill="1" applyBorder="1" applyAlignment="1">
      <alignment horizontal="left" vertical="center"/>
    </xf>
    <xf numFmtId="44" fontId="46" fillId="15" borderId="11" xfId="11" applyFont="1" applyFill="1" applyBorder="1" applyAlignment="1">
      <alignment vertical="center"/>
    </xf>
    <xf numFmtId="44" fontId="17" fillId="4" borderId="0" xfId="11" applyFont="1" applyFill="1" applyBorder="1" applyProtection="1">
      <protection locked="0"/>
    </xf>
    <xf numFmtId="44" fontId="17" fillId="0" borderId="0" xfId="11" applyFont="1" applyFill="1" applyBorder="1" applyAlignment="1">
      <alignment horizontal="center"/>
    </xf>
    <xf numFmtId="44" fontId="17" fillId="0" borderId="7" xfId="11" applyFont="1" applyFill="1" applyBorder="1" applyAlignment="1">
      <alignment horizontal="center"/>
    </xf>
    <xf numFmtId="44" fontId="4" fillId="0" borderId="0" xfId="11" applyFont="1" applyProtection="1">
      <protection locked="0"/>
    </xf>
    <xf numFmtId="44" fontId="4" fillId="0" borderId="7" xfId="11" applyFont="1" applyBorder="1" applyProtection="1">
      <protection locked="0"/>
    </xf>
    <xf numFmtId="44" fontId="3" fillId="0" borderId="0" xfId="11" applyFont="1" applyProtection="1">
      <protection locked="0"/>
    </xf>
    <xf numFmtId="44" fontId="3" fillId="0" borderId="7" xfId="11" applyFont="1" applyBorder="1" applyProtection="1">
      <protection locked="0"/>
    </xf>
    <xf numFmtId="44" fontId="22" fillId="14" borderId="19" xfId="11" applyFont="1" applyFill="1" applyBorder="1" applyAlignment="1">
      <alignment horizontal="right"/>
    </xf>
    <xf numFmtId="167" fontId="22" fillId="14" borderId="18" xfId="1" applyFont="1" applyFill="1" applyBorder="1"/>
    <xf numFmtId="167" fontId="22" fillId="14" borderId="3" xfId="1" applyFont="1" applyFill="1" applyBorder="1"/>
    <xf numFmtId="167" fontId="2" fillId="0" borderId="11" xfId="1" applyBorder="1"/>
    <xf numFmtId="167" fontId="4" fillId="2" borderId="9" xfId="1" applyFont="1" applyFill="1" applyBorder="1" applyAlignment="1">
      <alignment horizontal="centerContinuous"/>
    </xf>
    <xf numFmtId="168" fontId="3" fillId="0" borderId="6" xfId="1" applyNumberFormat="1" applyFont="1" applyBorder="1"/>
    <xf numFmtId="10" fontId="3" fillId="4" borderId="11" xfId="2" applyNumberFormat="1" applyFont="1" applyFill="1" applyBorder="1" applyProtection="1">
      <protection locked="0"/>
    </xf>
    <xf numFmtId="10" fontId="3" fillId="0" borderId="11" xfId="2" applyNumberFormat="1" applyFont="1" applyFill="1" applyBorder="1" applyProtection="1"/>
    <xf numFmtId="167" fontId="3" fillId="4" borderId="11" xfId="1" applyFont="1" applyFill="1" applyBorder="1" applyProtection="1">
      <protection locked="0"/>
    </xf>
    <xf numFmtId="167" fontId="3" fillId="0" borderId="4" xfId="1" applyFont="1" applyBorder="1"/>
    <xf numFmtId="167" fontId="3" fillId="0" borderId="12" xfId="1" applyFont="1" applyBorder="1" applyAlignment="1">
      <alignment horizontal="left"/>
    </xf>
    <xf numFmtId="167" fontId="3" fillId="0" borderId="12" xfId="1" applyFont="1" applyBorder="1"/>
    <xf numFmtId="167" fontId="48" fillId="2" borderId="9" xfId="1" applyFont="1" applyFill="1" applyBorder="1" applyAlignment="1">
      <alignment horizontal="centerContinuous"/>
    </xf>
    <xf numFmtId="167" fontId="49" fillId="2" borderId="8" xfId="1" applyFont="1" applyFill="1" applyBorder="1" applyAlignment="1">
      <alignment horizontal="centerContinuous"/>
    </xf>
    <xf numFmtId="167" fontId="48" fillId="2" borderId="14" xfId="1" applyFont="1" applyFill="1" applyBorder="1" applyAlignment="1">
      <alignment horizontal="centerContinuous"/>
    </xf>
    <xf numFmtId="167" fontId="4" fillId="0" borderId="0" xfId="1" applyFont="1" applyAlignment="1">
      <alignment horizontal="center"/>
    </xf>
    <xf numFmtId="167" fontId="3" fillId="0" borderId="0" xfId="1" applyFont="1" applyAlignment="1">
      <alignment horizontal="left"/>
    </xf>
    <xf numFmtId="167" fontId="3" fillId="0" borderId="5" xfId="1" applyFont="1" applyBorder="1"/>
    <xf numFmtId="167" fontId="50" fillId="0" borderId="0" xfId="1" applyFont="1"/>
    <xf numFmtId="0" fontId="3" fillId="4" borderId="11" xfId="2" applyNumberFormat="1" applyFont="1" applyFill="1" applyBorder="1" applyProtection="1">
      <protection locked="0"/>
    </xf>
    <xf numFmtId="10" fontId="3" fillId="0" borderId="0" xfId="2" applyNumberFormat="1" applyFont="1" applyFill="1" applyBorder="1" applyProtection="1"/>
    <xf numFmtId="0" fontId="3" fillId="4" borderId="11" xfId="2" applyNumberFormat="1" applyFont="1" applyFill="1" applyBorder="1" applyProtection="1"/>
    <xf numFmtId="10" fontId="3" fillId="4" borderId="13" xfId="2" applyNumberFormat="1" applyFont="1" applyFill="1" applyBorder="1" applyProtection="1">
      <protection locked="0"/>
    </xf>
    <xf numFmtId="167" fontId="7" fillId="2" borderId="8" xfId="1" applyFont="1" applyFill="1" applyBorder="1"/>
    <xf numFmtId="167" fontId="7" fillId="2" borderId="9" xfId="1" applyFont="1" applyFill="1" applyBorder="1"/>
    <xf numFmtId="167" fontId="7" fillId="2" borderId="14" xfId="1" applyFont="1" applyFill="1" applyBorder="1"/>
    <xf numFmtId="167" fontId="7" fillId="2" borderId="1" xfId="1" applyFont="1" applyFill="1" applyBorder="1"/>
    <xf numFmtId="167" fontId="7" fillId="2" borderId="10" xfId="1" applyFont="1" applyFill="1" applyBorder="1"/>
    <xf numFmtId="167" fontId="7" fillId="2" borderId="2" xfId="1" applyFont="1" applyFill="1" applyBorder="1"/>
    <xf numFmtId="167" fontId="3" fillId="4" borderId="11" xfId="1" applyFont="1" applyFill="1" applyBorder="1" applyAlignment="1" applyProtection="1">
      <alignment horizontal="center"/>
      <protection locked="0"/>
    </xf>
    <xf numFmtId="9" fontId="3" fillId="4" borderId="11" xfId="2" applyFont="1" applyFill="1" applyBorder="1" applyAlignment="1">
      <alignment horizontal="center"/>
    </xf>
    <xf numFmtId="9" fontId="3" fillId="0" borderId="11" xfId="2" applyFont="1" applyBorder="1" applyAlignment="1">
      <alignment horizontal="center"/>
    </xf>
    <xf numFmtId="167" fontId="3" fillId="5" borderId="0" xfId="1" applyFont="1" applyFill="1" applyAlignment="1">
      <alignment horizontal="center"/>
    </xf>
    <xf numFmtId="167" fontId="9" fillId="0" borderId="1" xfId="1" applyFont="1" applyBorder="1"/>
    <xf numFmtId="167" fontId="19" fillId="0" borderId="11" xfId="1" applyFont="1" applyBorder="1" applyAlignment="1">
      <alignment horizontal="centerContinuous"/>
    </xf>
    <xf numFmtId="167" fontId="2" fillId="0" borderId="11" xfId="1" applyBorder="1" applyAlignment="1">
      <alignment horizontal="centerContinuous"/>
    </xf>
    <xf numFmtId="167" fontId="19" fillId="0" borderId="37" xfId="1" applyFont="1" applyBorder="1"/>
    <xf numFmtId="167" fontId="19" fillId="0" borderId="38" xfId="1" applyFont="1" applyBorder="1"/>
    <xf numFmtId="167" fontId="19" fillId="0" borderId="39" xfId="1" applyFont="1" applyBorder="1"/>
    <xf numFmtId="167" fontId="2" fillId="16" borderId="0" xfId="1" applyFill="1" applyAlignment="1">
      <alignment horizontal="centerContinuous"/>
    </xf>
    <xf numFmtId="167" fontId="20" fillId="16" borderId="20" xfId="1" applyFont="1" applyFill="1" applyBorder="1"/>
    <xf numFmtId="167" fontId="20" fillId="16" borderId="21" xfId="1" applyFont="1" applyFill="1" applyBorder="1"/>
    <xf numFmtId="167" fontId="2" fillId="16" borderId="0" xfId="1" applyFill="1"/>
    <xf numFmtId="44" fontId="2" fillId="16" borderId="20" xfId="11" applyFont="1" applyFill="1" applyBorder="1"/>
    <xf numFmtId="44" fontId="2" fillId="0" borderId="21" xfId="11" applyFont="1" applyBorder="1" applyAlignment="1">
      <alignment horizontal="center"/>
    </xf>
    <xf numFmtId="167" fontId="7" fillId="2" borderId="0" xfId="1" applyFont="1" applyFill="1" applyAlignment="1">
      <alignment horizontal="center" wrapText="1"/>
    </xf>
    <xf numFmtId="44" fontId="3" fillId="4" borderId="6" xfId="11" applyFont="1" applyFill="1" applyBorder="1" applyAlignment="1">
      <alignment horizontal="center"/>
    </xf>
    <xf numFmtId="44" fontId="3" fillId="4" borderId="7" xfId="11" applyFont="1" applyFill="1" applyBorder="1" applyAlignment="1">
      <alignment horizontal="center"/>
    </xf>
    <xf numFmtId="44" fontId="3" fillId="4" borderId="4" xfId="11" applyFont="1" applyFill="1" applyBorder="1" applyAlignment="1">
      <alignment horizontal="center"/>
    </xf>
    <xf numFmtId="44" fontId="3" fillId="4" borderId="5" xfId="11" applyFont="1" applyFill="1" applyBorder="1" applyAlignment="1">
      <alignment horizontal="center"/>
    </xf>
    <xf numFmtId="167" fontId="7" fillId="2" borderId="8" xfId="1" applyFont="1" applyFill="1" applyBorder="1" applyAlignment="1">
      <alignment horizontal="center"/>
    </xf>
    <xf numFmtId="167" fontId="7" fillId="2" borderId="9" xfId="1" applyFont="1" applyFill="1" applyBorder="1" applyAlignment="1">
      <alignment horizontal="center"/>
    </xf>
    <xf numFmtId="167" fontId="7" fillId="2" borderId="14" xfId="1" applyFont="1" applyFill="1" applyBorder="1" applyAlignment="1">
      <alignment horizontal="center"/>
    </xf>
    <xf numFmtId="167" fontId="7" fillId="3" borderId="1" xfId="1" applyFont="1" applyFill="1" applyBorder="1" applyAlignment="1">
      <alignment horizontal="center"/>
    </xf>
    <xf numFmtId="167" fontId="7" fillId="3" borderId="2" xfId="1" applyFont="1" applyFill="1" applyBorder="1" applyAlignment="1">
      <alignment horizontal="center"/>
    </xf>
    <xf numFmtId="167" fontId="7" fillId="3" borderId="4" xfId="1" applyFont="1" applyFill="1" applyBorder="1" applyAlignment="1">
      <alignment horizontal="center"/>
    </xf>
    <xf numFmtId="167" fontId="7" fillId="3" borderId="5" xfId="1" applyFont="1" applyFill="1" applyBorder="1" applyAlignment="1">
      <alignment horizontal="center"/>
    </xf>
    <xf numFmtId="167" fontId="3" fillId="4" borderId="1" xfId="1" applyFont="1" applyFill="1" applyBorder="1" applyAlignment="1" applyProtection="1">
      <alignment horizontal="center"/>
      <protection locked="0"/>
    </xf>
    <xf numFmtId="167" fontId="3" fillId="4" borderId="2" xfId="1" applyFont="1" applyFill="1" applyBorder="1" applyAlignment="1" applyProtection="1">
      <alignment horizontal="center"/>
      <protection locked="0"/>
    </xf>
    <xf numFmtId="167" fontId="3" fillId="4" borderId="6" xfId="1" applyFont="1" applyFill="1" applyBorder="1" applyAlignment="1" applyProtection="1">
      <alignment horizontal="center"/>
      <protection locked="0"/>
    </xf>
    <xf numFmtId="167" fontId="3" fillId="4" borderId="7" xfId="1" applyFont="1" applyFill="1" applyBorder="1" applyAlignment="1" applyProtection="1">
      <alignment horizontal="center"/>
      <protection locked="0"/>
    </xf>
    <xf numFmtId="44" fontId="3" fillId="4" borderId="6" xfId="11" applyFont="1" applyFill="1" applyBorder="1" applyAlignment="1" applyProtection="1">
      <alignment horizontal="center"/>
      <protection locked="0"/>
    </xf>
    <xf numFmtId="44" fontId="3" fillId="4" borderId="7" xfId="11" applyFont="1" applyFill="1" applyBorder="1" applyAlignment="1" applyProtection="1">
      <alignment horizontal="center"/>
      <protection locked="0"/>
    </xf>
    <xf numFmtId="167" fontId="20" fillId="7" borderId="15" xfId="1" applyFont="1" applyFill="1" applyBorder="1" applyAlignment="1">
      <alignment horizontal="left"/>
    </xf>
    <xf numFmtId="167" fontId="20" fillId="7" borderId="16" xfId="1" applyFont="1" applyFill="1" applyBorder="1" applyAlignment="1">
      <alignment horizontal="left"/>
    </xf>
    <xf numFmtId="167" fontId="20" fillId="7" borderId="20" xfId="1" applyFont="1" applyFill="1" applyBorder="1" applyAlignment="1">
      <alignment horizontal="left"/>
    </xf>
    <xf numFmtId="167" fontId="20" fillId="7" borderId="0" xfId="1" applyFont="1" applyFill="1" applyAlignment="1">
      <alignment horizontal="left"/>
    </xf>
    <xf numFmtId="167" fontId="20" fillId="7" borderId="18" xfId="1" applyFont="1" applyFill="1" applyBorder="1" applyAlignment="1">
      <alignment horizontal="left"/>
    </xf>
    <xf numFmtId="167" fontId="20" fillId="7" borderId="3" xfId="1" applyFont="1" applyFill="1" applyBorder="1" applyAlignment="1">
      <alignment horizontal="left"/>
    </xf>
    <xf numFmtId="167" fontId="43" fillId="7" borderId="15" xfId="1" applyFont="1" applyFill="1" applyBorder="1" applyAlignment="1">
      <alignment horizontal="center"/>
    </xf>
    <xf numFmtId="167" fontId="43" fillId="7" borderId="16" xfId="1" applyFont="1" applyFill="1" applyBorder="1" applyAlignment="1">
      <alignment horizontal="center"/>
    </xf>
    <xf numFmtId="167" fontId="43" fillId="7" borderId="23" xfId="1" applyFont="1" applyFill="1" applyBorder="1" applyAlignment="1">
      <alignment horizontal="center"/>
    </xf>
    <xf numFmtId="167" fontId="20" fillId="0" borderId="37" xfId="1" applyFont="1" applyBorder="1" applyAlignment="1">
      <alignment horizontal="center" vertical="center"/>
    </xf>
    <xf numFmtId="167" fontId="20" fillId="0" borderId="38" xfId="1" applyFont="1" applyBorder="1" applyAlignment="1">
      <alignment horizontal="center" vertical="center"/>
    </xf>
    <xf numFmtId="167" fontId="20" fillId="0" borderId="39" xfId="1" applyFont="1" applyBorder="1" applyAlignment="1">
      <alignment horizontal="center" vertical="center"/>
    </xf>
    <xf numFmtId="167" fontId="19" fillId="0" borderId="37" xfId="1" applyFont="1" applyBorder="1" applyAlignment="1">
      <alignment horizontal="center"/>
    </xf>
    <xf numFmtId="167" fontId="19" fillId="0" borderId="38" xfId="1" applyFont="1" applyBorder="1" applyAlignment="1">
      <alignment horizontal="center"/>
    </xf>
    <xf numFmtId="167" fontId="19" fillId="0" borderId="39" xfId="1" applyFont="1" applyBorder="1" applyAlignment="1">
      <alignment horizontal="center"/>
    </xf>
    <xf numFmtId="0" fontId="47" fillId="0" borderId="11" xfId="0" applyFont="1" applyBorder="1" applyAlignment="1">
      <alignment horizontal="center" vertical="center"/>
    </xf>
  </cellXfs>
  <cellStyles count="12">
    <cellStyle name="Millares [0]" xfId="9" builtinId="6"/>
    <cellStyle name="Millares [0] 2" xfId="4"/>
    <cellStyle name="Millares 2" xfId="3"/>
    <cellStyle name="Millares 3" xfId="7"/>
    <cellStyle name="Moneda" xfId="11" builtinId="4"/>
    <cellStyle name="Moneda 2" xfId="6"/>
    <cellStyle name="Normal" xfId="0" builtinId="0"/>
    <cellStyle name="Normal 2" xfId="1"/>
    <cellStyle name="Normal 3" xfId="5"/>
    <cellStyle name="Normal 6" xfId="8"/>
    <cellStyle name="Porcentaje" xfId="10" builtinId="5"/>
    <cellStyle name="Porcentaje 2" xfId="2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Proyecciones!#REF!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11-4D2D-B715-E19ADA56EC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15072"/>
        <c:axId val="42116608"/>
      </c:barChart>
      <c:catAx>
        <c:axId val="4211507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4211660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21166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42115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>
      <c:oddHeader>&amp;A</c:oddHeader>
      <c:oddFooter>Página &amp;P</c:oddFooter>
    </c:headerFooter>
    <c:pageMargins b="1" l="0.75" r="0.75" t="1" header="0.511811024" footer="0.511811024"/>
    <c:pageSetup/>
  </c:printSettings>
</c:chartSpace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2">
  <dgm:title val=""/>
  <dgm:desc val=""/>
  <dgm:catLst>
    <dgm:cat type="colorful" pri="10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/>
      <a:schemeClr val="accent3"/>
    </dgm:fillClrLst>
    <dgm:linClrLst>
      <a:schemeClr val="accent2"/>
      <a:schemeClr val="accent3"/>
    </dgm:linClrLst>
    <dgm:effectClrLst/>
    <dgm:txLinClrLst/>
    <dgm:txFillClrLst/>
    <dgm:txEffectClrLst/>
  </dgm:styleLbl>
  <dgm:styleLbl name="ln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alpha val="50000"/>
      </a:schemeClr>
      <a:schemeClr val="accent3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2"/>
      <a:schemeClr val="accent3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AF731360-404E-534E-A5B9-75057BEEE152}" type="doc">
      <dgm:prSet loTypeId="urn:microsoft.com/office/officeart/2005/8/layout/hierarchy1" loCatId="" qsTypeId="urn:microsoft.com/office/officeart/2005/8/quickstyle/simple3" qsCatId="simple" csTypeId="urn:microsoft.com/office/officeart/2005/8/colors/colorful2" csCatId="colorful" phldr="1"/>
      <dgm:spPr/>
      <dgm:t>
        <a:bodyPr/>
        <a:lstStyle/>
        <a:p>
          <a:endParaRPr lang="es-ES"/>
        </a:p>
      </dgm:t>
    </dgm:pt>
    <dgm:pt modelId="{72AE9D60-AB22-1F43-8DA4-F09511923614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Gerente General</a:t>
          </a:r>
        </a:p>
      </dgm:t>
    </dgm:pt>
    <dgm:pt modelId="{87A66D75-4DC1-344E-AFEB-D35099900FF9}" type="parTrans" cxnId="{3719C872-3AED-1E47-BFF7-75D5761D1A78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34C79A65-C5E2-EB45-B461-D84210752BDA}" type="sibTrans" cxnId="{3719C872-3AED-1E47-BFF7-75D5761D1A78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E332C086-EBF5-354C-8908-EABCB300E081}" type="asst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Asistente</a:t>
          </a:r>
        </a:p>
      </dgm:t>
    </dgm:pt>
    <dgm:pt modelId="{7EFA40D0-C87A-E541-B23B-2C21283BE368}" type="parTrans" cxnId="{6E76394C-4BD4-CA4C-B9B4-32567E83340F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15C95E3-6418-624B-9632-52956711C968}" type="sibTrans" cxnId="{6E76394C-4BD4-CA4C-B9B4-32567E83340F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16A774D-930D-0945-A3A9-29A6BFED580D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Director Comercial y Operaciones</a:t>
          </a:r>
        </a:p>
      </dgm:t>
    </dgm:pt>
    <dgm:pt modelId="{3882D7AE-95F2-9749-BE8B-771DE900E139}" type="parTrans" cxnId="{C1E83114-5AF9-084E-84FF-EC4E1B693D70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DA41F3B-1EC9-B341-B533-8E803EB2F5B5}" type="sibTrans" cxnId="{C1E83114-5AF9-084E-84FF-EC4E1B693D70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71C0F62-BD95-EE4B-BDD6-0D9F54F29B03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Director Administrativo y Financiero</a:t>
          </a:r>
        </a:p>
      </dgm:t>
    </dgm:pt>
    <dgm:pt modelId="{AD622D34-0E97-C64D-B56E-EC29DCA0B851}" type="parTrans" cxnId="{8795D6D3-9A7D-4A44-B0EF-B0399EBFBE04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2C7DD379-367E-814C-831C-1B5284BB29C9}" type="sibTrans" cxnId="{8795D6D3-9A7D-4A44-B0EF-B0399EBFBE04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F03F37F-8BA7-0A44-A2B5-ECC15EFA8C48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Jurídica</a:t>
          </a:r>
        </a:p>
      </dgm:t>
    </dgm:pt>
    <dgm:pt modelId="{A2BBC55D-5F5F-004E-9243-1429942A8DE1}" type="parTrans" cxnId="{2AE04A28-A5D2-A04C-BF37-DAEA6DB400C3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50393E45-D3E7-884D-85FD-F587DC3D32FB}" type="sibTrans" cxnId="{2AE04A28-A5D2-A04C-BF37-DAEA6DB400C3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909EFBD-A8D4-6547-AF61-12D0A0496829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Analista Administrativa y Financiera</a:t>
          </a:r>
        </a:p>
      </dgm:t>
    </dgm:pt>
    <dgm:pt modelId="{54863C5F-3577-8443-8681-F829A2DFA8D3}" type="parTrans" cxnId="{1493327A-AD91-4F44-AB51-0B63403CF7FD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D18ACE1B-D918-D946-8F8D-37B735C7B616}" type="sibTrans" cxnId="{1493327A-AD91-4F44-AB51-0B63403CF7FD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5ACD3A09-0863-7343-93DC-3BB904A30A04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Contabilidad</a:t>
          </a:r>
        </a:p>
      </dgm:t>
    </dgm:pt>
    <dgm:pt modelId="{04DC6188-0C43-F34E-A344-6BF2F90164DE}" type="parTrans" cxnId="{85AFBE6F-27FA-6D4B-84F5-3B73CFFEF353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5252105-E1B2-5748-9C1B-79AF8879CBFA}" type="sibTrans" cxnId="{85AFBE6F-27FA-6D4B-84F5-3B73CFFEF353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9A77258-E0C0-7342-A2E7-EDD856D05AF2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Asistente Contable</a:t>
          </a:r>
        </a:p>
      </dgm:t>
    </dgm:pt>
    <dgm:pt modelId="{5E4F69BF-729D-7045-BBF5-1DA9590CCEB1}" type="parTrans" cxnId="{4B4908F8-C5E2-6D4A-A7F7-ED4C43DFAF45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D71F539-F86D-E34B-A4E3-1E35B85A5D37}" type="sibTrans" cxnId="{4B4908F8-C5E2-6D4A-A7F7-ED4C43DFAF45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8FD153A-3EB0-7441-8086-08FBF134B8FA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Asistente Administrativo y financiero</a:t>
          </a:r>
        </a:p>
      </dgm:t>
    </dgm:pt>
    <dgm:pt modelId="{4F8412BA-F280-6A4E-AECE-5839DA01859C}" type="parTrans" cxnId="{75D5DF3B-E03D-764D-AC2F-8BBCD23A219E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DA37D3A8-3ECA-E741-9093-1986C197703B}" type="sibTrans" cxnId="{75D5DF3B-E03D-764D-AC2F-8BBCD23A219E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D3830CF7-0374-E447-B072-72EF9F9CE2E5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Analista Operativo</a:t>
          </a:r>
        </a:p>
      </dgm:t>
    </dgm:pt>
    <dgm:pt modelId="{5DE53E05-DBCC-8048-8E0D-8F7DF4355318}" type="parTrans" cxnId="{883881CA-FB1E-BD45-9018-8CABF6CEFCED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4B32197-FA56-EC4B-A34A-CB8011BB7F23}" type="sibTrans" cxnId="{883881CA-FB1E-BD45-9018-8CABF6CEFCED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CC206C58-C49F-0641-B6C2-CD2DAAD101DE}">
      <dgm:prSet phldrT="[Texto]" custT="1"/>
      <dgm:spPr/>
      <dgm:t>
        <a:bodyPr/>
        <a:lstStyle/>
        <a:p>
          <a:r>
            <a:rPr lang="es-ES" sz="800" b="1" dirty="0">
              <a:latin typeface="Arial" panose="020B0604020202020204" pitchFamily="34" charset="0"/>
              <a:cs typeface="Arial" panose="020B0604020202020204" pitchFamily="34" charset="0"/>
            </a:rPr>
            <a:t>Analista Comercial</a:t>
          </a:r>
        </a:p>
      </dgm:t>
    </dgm:pt>
    <dgm:pt modelId="{8962DED6-3D3B-7E4B-8475-8FA649964B38}" type="parTrans" cxnId="{C5A2652F-46B3-434E-8B95-4F963924DA8F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18AD987-6DDD-934C-8908-7FAFF1344134}" type="sibTrans" cxnId="{C5A2652F-46B3-434E-8B95-4F963924DA8F}">
      <dgm:prSet/>
      <dgm:spPr/>
      <dgm:t>
        <a:bodyPr/>
        <a:lstStyle/>
        <a:p>
          <a:endParaRPr lang="es-ES" sz="800" b="1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6C91867-F82E-7145-B92C-3F39CA1D6600}" type="pres">
      <dgm:prSet presAssocID="{AF731360-404E-534E-A5B9-75057BEEE152}" presName="hierChild1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es-ES"/>
        </a:p>
      </dgm:t>
    </dgm:pt>
    <dgm:pt modelId="{825BFB1E-2293-2042-B547-E70D033DF3EE}" type="pres">
      <dgm:prSet presAssocID="{72AE9D60-AB22-1F43-8DA4-F09511923614}" presName="hierRoot1" presStyleCnt="0"/>
      <dgm:spPr/>
    </dgm:pt>
    <dgm:pt modelId="{344976F1-4CCA-7940-9C48-3816E277DCDC}" type="pres">
      <dgm:prSet presAssocID="{72AE9D60-AB22-1F43-8DA4-F09511923614}" presName="composite" presStyleCnt="0"/>
      <dgm:spPr/>
    </dgm:pt>
    <dgm:pt modelId="{392E9FEF-BCF4-D746-8F4A-3C8EA1DD0C28}" type="pres">
      <dgm:prSet presAssocID="{72AE9D60-AB22-1F43-8DA4-F09511923614}" presName="background" presStyleLbl="node0" presStyleIdx="0" presStyleCnt="1"/>
      <dgm:spPr/>
    </dgm:pt>
    <dgm:pt modelId="{5BE424DB-D07A-8246-B784-CD97F0D8B451}" type="pres">
      <dgm:prSet presAssocID="{72AE9D60-AB22-1F43-8DA4-F09511923614}" presName="text" presStyleLbl="fgAcc0" presStyleIdx="0" presStyleCnt="1" custLinFactNeighborX="-7971" custLinFactNeighborY="-58591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AD857141-0B71-EB42-BB97-DB45E9524F5F}" type="pres">
      <dgm:prSet presAssocID="{72AE9D60-AB22-1F43-8DA4-F09511923614}" presName="hierChild2" presStyleCnt="0"/>
      <dgm:spPr/>
    </dgm:pt>
    <dgm:pt modelId="{F7B88978-00A5-8D4C-8A42-91114E8242F3}" type="pres">
      <dgm:prSet presAssocID="{7EFA40D0-C87A-E541-B23B-2C21283BE368}" presName="Name10" presStyleLbl="parChTrans1D2" presStyleIdx="0" presStyleCnt="4"/>
      <dgm:spPr/>
      <dgm:t>
        <a:bodyPr/>
        <a:lstStyle/>
        <a:p>
          <a:endParaRPr lang="es-ES"/>
        </a:p>
      </dgm:t>
    </dgm:pt>
    <dgm:pt modelId="{B84271E6-3E1F-3D4D-95A2-F0F718C23ABB}" type="pres">
      <dgm:prSet presAssocID="{E332C086-EBF5-354C-8908-EABCB300E081}" presName="hierRoot2" presStyleCnt="0"/>
      <dgm:spPr/>
    </dgm:pt>
    <dgm:pt modelId="{B12CCAA4-F633-1448-8B7F-D33CF17D8425}" type="pres">
      <dgm:prSet presAssocID="{E332C086-EBF5-354C-8908-EABCB300E081}" presName="composite2" presStyleCnt="0"/>
      <dgm:spPr/>
    </dgm:pt>
    <dgm:pt modelId="{0AFD4765-4CBE-A747-ADCC-D4565290DA87}" type="pres">
      <dgm:prSet presAssocID="{E332C086-EBF5-354C-8908-EABCB300E081}" presName="background2" presStyleLbl="asst1" presStyleIdx="0" presStyleCnt="1"/>
      <dgm:spPr/>
    </dgm:pt>
    <dgm:pt modelId="{0F023D38-629E-834A-BCA1-C8F3897F7AE1}" type="pres">
      <dgm:prSet presAssocID="{E332C086-EBF5-354C-8908-EABCB300E081}" presName="text2" presStyleLbl="fgAcc2" presStyleIdx="0" presStyleCnt="4" custScaleX="72997" custScaleY="67618" custLinFactNeighborX="7267" custLinFactNeighborY="-71620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ED23B63B-6899-6347-8AA1-230550B2089C}" type="pres">
      <dgm:prSet presAssocID="{E332C086-EBF5-354C-8908-EABCB300E081}" presName="hierChild3" presStyleCnt="0"/>
      <dgm:spPr/>
    </dgm:pt>
    <dgm:pt modelId="{D9EA50E3-7F84-8049-B1BC-4B710E66AD92}" type="pres">
      <dgm:prSet presAssocID="{3882D7AE-95F2-9749-BE8B-771DE900E139}" presName="Name10" presStyleLbl="parChTrans1D2" presStyleIdx="1" presStyleCnt="4"/>
      <dgm:spPr/>
      <dgm:t>
        <a:bodyPr/>
        <a:lstStyle/>
        <a:p>
          <a:endParaRPr lang="es-ES"/>
        </a:p>
      </dgm:t>
    </dgm:pt>
    <dgm:pt modelId="{9A9A35E6-A7FA-3640-BE9A-8B238A416884}" type="pres">
      <dgm:prSet presAssocID="{A16A774D-930D-0945-A3A9-29A6BFED580D}" presName="hierRoot2" presStyleCnt="0"/>
      <dgm:spPr/>
    </dgm:pt>
    <dgm:pt modelId="{5BF45A11-5C6F-3C4D-A4BB-8A1BA8976F1D}" type="pres">
      <dgm:prSet presAssocID="{A16A774D-930D-0945-A3A9-29A6BFED580D}" presName="composite2" presStyleCnt="0"/>
      <dgm:spPr/>
    </dgm:pt>
    <dgm:pt modelId="{AF0B689A-407D-F046-8A68-72DB355F8AA0}" type="pres">
      <dgm:prSet presAssocID="{A16A774D-930D-0945-A3A9-29A6BFED580D}" presName="background2" presStyleLbl="node2" presStyleIdx="0" presStyleCnt="3"/>
      <dgm:spPr/>
    </dgm:pt>
    <dgm:pt modelId="{71DF4269-2204-9E4C-825F-8429CC926678}" type="pres">
      <dgm:prSet presAssocID="{A16A774D-930D-0945-A3A9-29A6BFED580D}" presName="text2" presStyleLbl="fgAcc2" presStyleIdx="1" presStyleCnt="4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CEB9945A-C990-3F40-BE8C-2EC2FC38DD0A}" type="pres">
      <dgm:prSet presAssocID="{A16A774D-930D-0945-A3A9-29A6BFED580D}" presName="hierChild3" presStyleCnt="0"/>
      <dgm:spPr/>
    </dgm:pt>
    <dgm:pt modelId="{2AA674B0-268F-E246-AA7B-7BE11D5689BD}" type="pres">
      <dgm:prSet presAssocID="{5DE53E05-DBCC-8048-8E0D-8F7DF4355318}" presName="Name17" presStyleLbl="parChTrans1D3" presStyleIdx="0" presStyleCnt="4"/>
      <dgm:spPr/>
      <dgm:t>
        <a:bodyPr/>
        <a:lstStyle/>
        <a:p>
          <a:endParaRPr lang="es-ES"/>
        </a:p>
      </dgm:t>
    </dgm:pt>
    <dgm:pt modelId="{72BA9047-FEE4-CB41-8ADB-F9DF6D881C58}" type="pres">
      <dgm:prSet presAssocID="{D3830CF7-0374-E447-B072-72EF9F9CE2E5}" presName="hierRoot3" presStyleCnt="0"/>
      <dgm:spPr/>
    </dgm:pt>
    <dgm:pt modelId="{EE5522DA-D22B-A548-BE6A-925675D0877C}" type="pres">
      <dgm:prSet presAssocID="{D3830CF7-0374-E447-B072-72EF9F9CE2E5}" presName="composite3" presStyleCnt="0"/>
      <dgm:spPr/>
    </dgm:pt>
    <dgm:pt modelId="{13900E4F-1518-1840-B575-66D226CF11F4}" type="pres">
      <dgm:prSet presAssocID="{D3830CF7-0374-E447-B072-72EF9F9CE2E5}" presName="background3" presStyleLbl="node3" presStyleIdx="0" presStyleCnt="4"/>
      <dgm:spPr/>
    </dgm:pt>
    <dgm:pt modelId="{B426A6A8-411F-2348-8CD9-0EA245533822}" type="pres">
      <dgm:prSet presAssocID="{D3830CF7-0374-E447-B072-72EF9F9CE2E5}" presName="text3" presStyleLbl="fgAcc3" presStyleIdx="0" presStyleCnt="4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D1560D65-808B-3B47-ABE0-002F2CA54968}" type="pres">
      <dgm:prSet presAssocID="{D3830CF7-0374-E447-B072-72EF9F9CE2E5}" presName="hierChild4" presStyleCnt="0"/>
      <dgm:spPr/>
    </dgm:pt>
    <dgm:pt modelId="{42F81688-903B-E240-B6AB-DA40E11CD084}" type="pres">
      <dgm:prSet presAssocID="{8962DED6-3D3B-7E4B-8475-8FA649964B38}" presName="Name17" presStyleLbl="parChTrans1D3" presStyleIdx="1" presStyleCnt="4"/>
      <dgm:spPr/>
      <dgm:t>
        <a:bodyPr/>
        <a:lstStyle/>
        <a:p>
          <a:endParaRPr lang="es-ES"/>
        </a:p>
      </dgm:t>
    </dgm:pt>
    <dgm:pt modelId="{4163287F-8683-9A40-BA3C-7D407BC236E2}" type="pres">
      <dgm:prSet presAssocID="{CC206C58-C49F-0641-B6C2-CD2DAAD101DE}" presName="hierRoot3" presStyleCnt="0"/>
      <dgm:spPr/>
    </dgm:pt>
    <dgm:pt modelId="{C51BA1FA-D64A-0544-8A59-B5BECF143913}" type="pres">
      <dgm:prSet presAssocID="{CC206C58-C49F-0641-B6C2-CD2DAAD101DE}" presName="composite3" presStyleCnt="0"/>
      <dgm:spPr/>
    </dgm:pt>
    <dgm:pt modelId="{FD49EE71-1295-004B-A2B8-EE30EA86508A}" type="pres">
      <dgm:prSet presAssocID="{CC206C58-C49F-0641-B6C2-CD2DAAD101DE}" presName="background3" presStyleLbl="node3" presStyleIdx="1" presStyleCnt="4"/>
      <dgm:spPr/>
    </dgm:pt>
    <dgm:pt modelId="{5D65BCFB-9A98-7B4A-81FE-0912C091F54C}" type="pres">
      <dgm:prSet presAssocID="{CC206C58-C49F-0641-B6C2-CD2DAAD101DE}" presName="text3" presStyleLbl="fgAcc3" presStyleIdx="1" presStyleCnt="4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057D799E-7570-2D4D-B8E7-27686709C677}" type="pres">
      <dgm:prSet presAssocID="{CC206C58-C49F-0641-B6C2-CD2DAAD101DE}" presName="hierChild4" presStyleCnt="0"/>
      <dgm:spPr/>
    </dgm:pt>
    <dgm:pt modelId="{FAE287CE-FB79-7341-9CAB-AFEAF4190BE0}" type="pres">
      <dgm:prSet presAssocID="{AD622D34-0E97-C64D-B56E-EC29DCA0B851}" presName="Name10" presStyleLbl="parChTrans1D2" presStyleIdx="2" presStyleCnt="4"/>
      <dgm:spPr/>
      <dgm:t>
        <a:bodyPr/>
        <a:lstStyle/>
        <a:p>
          <a:endParaRPr lang="es-ES"/>
        </a:p>
      </dgm:t>
    </dgm:pt>
    <dgm:pt modelId="{327DBF67-A1ED-0042-A4DF-DE8505056817}" type="pres">
      <dgm:prSet presAssocID="{A71C0F62-BD95-EE4B-BDD6-0D9F54F29B03}" presName="hierRoot2" presStyleCnt="0"/>
      <dgm:spPr/>
    </dgm:pt>
    <dgm:pt modelId="{FEAB9A2F-E168-274F-9BE0-DF4E5418CEF5}" type="pres">
      <dgm:prSet presAssocID="{A71C0F62-BD95-EE4B-BDD6-0D9F54F29B03}" presName="composite2" presStyleCnt="0"/>
      <dgm:spPr/>
    </dgm:pt>
    <dgm:pt modelId="{F0D36D84-6CAF-1E4D-810E-A230903C12B9}" type="pres">
      <dgm:prSet presAssocID="{A71C0F62-BD95-EE4B-BDD6-0D9F54F29B03}" presName="background2" presStyleLbl="node2" presStyleIdx="1" presStyleCnt="3"/>
      <dgm:spPr/>
    </dgm:pt>
    <dgm:pt modelId="{DB0E8042-B7D1-CB41-BFEA-DCACD3A1101E}" type="pres">
      <dgm:prSet presAssocID="{A71C0F62-BD95-EE4B-BDD6-0D9F54F29B03}" presName="text2" presStyleLbl="fgAcc2" presStyleIdx="2" presStyleCnt="4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C96897E9-A93B-C347-AE94-C892DD80FB22}" type="pres">
      <dgm:prSet presAssocID="{A71C0F62-BD95-EE4B-BDD6-0D9F54F29B03}" presName="hierChild3" presStyleCnt="0"/>
      <dgm:spPr/>
    </dgm:pt>
    <dgm:pt modelId="{EF36D308-8509-B441-BD7D-C237E6A2A9E1}" type="pres">
      <dgm:prSet presAssocID="{54863C5F-3577-8443-8681-F829A2DFA8D3}" presName="Name17" presStyleLbl="parChTrans1D3" presStyleIdx="2" presStyleCnt="4"/>
      <dgm:spPr/>
      <dgm:t>
        <a:bodyPr/>
        <a:lstStyle/>
        <a:p>
          <a:endParaRPr lang="es-ES"/>
        </a:p>
      </dgm:t>
    </dgm:pt>
    <dgm:pt modelId="{88ACE211-B3B4-9D45-821E-5F1B1C777E80}" type="pres">
      <dgm:prSet presAssocID="{A909EFBD-A8D4-6547-AF61-12D0A0496829}" presName="hierRoot3" presStyleCnt="0"/>
      <dgm:spPr/>
    </dgm:pt>
    <dgm:pt modelId="{D43AE97A-21DC-464E-83AD-27EDFCDF7C5F}" type="pres">
      <dgm:prSet presAssocID="{A909EFBD-A8D4-6547-AF61-12D0A0496829}" presName="composite3" presStyleCnt="0"/>
      <dgm:spPr/>
    </dgm:pt>
    <dgm:pt modelId="{275A9982-027F-6A4A-8C9B-C1F13B43FEB4}" type="pres">
      <dgm:prSet presAssocID="{A909EFBD-A8D4-6547-AF61-12D0A0496829}" presName="background3" presStyleLbl="node3" presStyleIdx="2" presStyleCnt="4"/>
      <dgm:spPr/>
    </dgm:pt>
    <dgm:pt modelId="{6581226B-1987-0F43-B195-77608228A427}" type="pres">
      <dgm:prSet presAssocID="{A909EFBD-A8D4-6547-AF61-12D0A0496829}" presName="text3" presStyleLbl="fgAcc3" presStyleIdx="2" presStyleCnt="4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083FBB6A-73DE-8D45-B705-73B2FE112FFD}" type="pres">
      <dgm:prSet presAssocID="{A909EFBD-A8D4-6547-AF61-12D0A0496829}" presName="hierChild4" presStyleCnt="0"/>
      <dgm:spPr/>
    </dgm:pt>
    <dgm:pt modelId="{E4597854-D2C6-0D46-AD63-2264A2446EC4}" type="pres">
      <dgm:prSet presAssocID="{4F8412BA-F280-6A4E-AECE-5839DA01859C}" presName="Name23" presStyleLbl="parChTrans1D4" presStyleIdx="0" presStyleCnt="2"/>
      <dgm:spPr/>
      <dgm:t>
        <a:bodyPr/>
        <a:lstStyle/>
        <a:p>
          <a:endParaRPr lang="es-ES"/>
        </a:p>
      </dgm:t>
    </dgm:pt>
    <dgm:pt modelId="{85B5265D-E8FA-AF40-8FB8-87AE9837BE68}" type="pres">
      <dgm:prSet presAssocID="{78FD153A-3EB0-7441-8086-08FBF134B8FA}" presName="hierRoot4" presStyleCnt="0"/>
      <dgm:spPr/>
    </dgm:pt>
    <dgm:pt modelId="{E5A99FED-CC2C-804B-B088-716062E41259}" type="pres">
      <dgm:prSet presAssocID="{78FD153A-3EB0-7441-8086-08FBF134B8FA}" presName="composite4" presStyleCnt="0"/>
      <dgm:spPr/>
    </dgm:pt>
    <dgm:pt modelId="{E9ADC94D-AF0B-6245-B4CA-41F6FD56E278}" type="pres">
      <dgm:prSet presAssocID="{78FD153A-3EB0-7441-8086-08FBF134B8FA}" presName="background4" presStyleLbl="node4" presStyleIdx="0" presStyleCnt="2"/>
      <dgm:spPr/>
    </dgm:pt>
    <dgm:pt modelId="{53314618-480F-4D41-9912-2881FD36BEE4}" type="pres">
      <dgm:prSet presAssocID="{78FD153A-3EB0-7441-8086-08FBF134B8FA}" presName="text4" presStyleLbl="fgAcc4" presStyleIdx="0" presStyleCnt="2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29CE3CC5-511F-D44D-90A5-96594A455597}" type="pres">
      <dgm:prSet presAssocID="{78FD153A-3EB0-7441-8086-08FBF134B8FA}" presName="hierChild5" presStyleCnt="0"/>
      <dgm:spPr/>
    </dgm:pt>
    <dgm:pt modelId="{32AA1A78-0EC6-6A4E-BE24-73F0CCCECA66}" type="pres">
      <dgm:prSet presAssocID="{04DC6188-0C43-F34E-A344-6BF2F90164DE}" presName="Name17" presStyleLbl="parChTrans1D3" presStyleIdx="3" presStyleCnt="4"/>
      <dgm:spPr/>
      <dgm:t>
        <a:bodyPr/>
        <a:lstStyle/>
        <a:p>
          <a:endParaRPr lang="es-ES"/>
        </a:p>
      </dgm:t>
    </dgm:pt>
    <dgm:pt modelId="{9A7D9F37-3204-7949-B3C3-E17014133CC0}" type="pres">
      <dgm:prSet presAssocID="{5ACD3A09-0863-7343-93DC-3BB904A30A04}" presName="hierRoot3" presStyleCnt="0"/>
      <dgm:spPr/>
    </dgm:pt>
    <dgm:pt modelId="{6328B381-8B6C-BC44-93F4-33F6BC61779B}" type="pres">
      <dgm:prSet presAssocID="{5ACD3A09-0863-7343-93DC-3BB904A30A04}" presName="composite3" presStyleCnt="0"/>
      <dgm:spPr/>
    </dgm:pt>
    <dgm:pt modelId="{381148D9-588B-D849-860C-F13450398251}" type="pres">
      <dgm:prSet presAssocID="{5ACD3A09-0863-7343-93DC-3BB904A30A04}" presName="background3" presStyleLbl="node3" presStyleIdx="3" presStyleCnt="4"/>
      <dgm:spPr/>
    </dgm:pt>
    <dgm:pt modelId="{DA2F7D92-7869-3E4C-B674-8E3EA1960B8A}" type="pres">
      <dgm:prSet presAssocID="{5ACD3A09-0863-7343-93DC-3BB904A30A04}" presName="text3" presStyleLbl="fgAcc3" presStyleIdx="3" presStyleCnt="4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8CE8643F-C084-A14B-BF2A-50831677DBA6}" type="pres">
      <dgm:prSet presAssocID="{5ACD3A09-0863-7343-93DC-3BB904A30A04}" presName="hierChild4" presStyleCnt="0"/>
      <dgm:spPr/>
    </dgm:pt>
    <dgm:pt modelId="{45161000-F659-3B4F-942C-D402236BB371}" type="pres">
      <dgm:prSet presAssocID="{5E4F69BF-729D-7045-BBF5-1DA9590CCEB1}" presName="Name23" presStyleLbl="parChTrans1D4" presStyleIdx="1" presStyleCnt="2"/>
      <dgm:spPr/>
      <dgm:t>
        <a:bodyPr/>
        <a:lstStyle/>
        <a:p>
          <a:endParaRPr lang="es-ES"/>
        </a:p>
      </dgm:t>
    </dgm:pt>
    <dgm:pt modelId="{A045897A-6691-EE47-B262-0FECD78773C5}" type="pres">
      <dgm:prSet presAssocID="{B9A77258-E0C0-7342-A2E7-EDD856D05AF2}" presName="hierRoot4" presStyleCnt="0"/>
      <dgm:spPr/>
    </dgm:pt>
    <dgm:pt modelId="{E5EF13D0-7CE3-A446-8E78-E6AC025BF526}" type="pres">
      <dgm:prSet presAssocID="{B9A77258-E0C0-7342-A2E7-EDD856D05AF2}" presName="composite4" presStyleCnt="0"/>
      <dgm:spPr/>
    </dgm:pt>
    <dgm:pt modelId="{64F0BFBA-6EC7-0A47-9CC2-71C25EFEEBBC}" type="pres">
      <dgm:prSet presAssocID="{B9A77258-E0C0-7342-A2E7-EDD856D05AF2}" presName="background4" presStyleLbl="node4" presStyleIdx="1" presStyleCnt="2"/>
      <dgm:spPr/>
    </dgm:pt>
    <dgm:pt modelId="{EE8891E9-41C1-BB4F-8DEE-33869370E7D4}" type="pres">
      <dgm:prSet presAssocID="{B9A77258-E0C0-7342-A2E7-EDD856D05AF2}" presName="text4" presStyleLbl="fgAcc4" presStyleIdx="1" presStyleCnt="2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4F08AC8A-83A0-614F-8137-6244E35B1FC0}" type="pres">
      <dgm:prSet presAssocID="{B9A77258-E0C0-7342-A2E7-EDD856D05AF2}" presName="hierChild5" presStyleCnt="0"/>
      <dgm:spPr/>
    </dgm:pt>
    <dgm:pt modelId="{3D72D577-E1FE-0D47-8D53-C9993C796791}" type="pres">
      <dgm:prSet presAssocID="{A2BBC55D-5F5F-004E-9243-1429942A8DE1}" presName="Name10" presStyleLbl="parChTrans1D2" presStyleIdx="3" presStyleCnt="4"/>
      <dgm:spPr/>
      <dgm:t>
        <a:bodyPr/>
        <a:lstStyle/>
        <a:p>
          <a:endParaRPr lang="es-ES"/>
        </a:p>
      </dgm:t>
    </dgm:pt>
    <dgm:pt modelId="{EC0D52D1-4C71-7B44-95DC-43D6287E28B5}" type="pres">
      <dgm:prSet presAssocID="{6F03F37F-8BA7-0A44-A2B5-ECC15EFA8C48}" presName="hierRoot2" presStyleCnt="0"/>
      <dgm:spPr/>
    </dgm:pt>
    <dgm:pt modelId="{DCC8185D-32EA-F244-9BD5-55F21D825B17}" type="pres">
      <dgm:prSet presAssocID="{6F03F37F-8BA7-0A44-A2B5-ECC15EFA8C48}" presName="composite2" presStyleCnt="0"/>
      <dgm:spPr/>
    </dgm:pt>
    <dgm:pt modelId="{5D03FCC3-F16C-DE43-8A06-F9E92B25C5AA}" type="pres">
      <dgm:prSet presAssocID="{6F03F37F-8BA7-0A44-A2B5-ECC15EFA8C48}" presName="background2" presStyleLbl="node2" presStyleIdx="2" presStyleCnt="3"/>
      <dgm:spPr/>
    </dgm:pt>
    <dgm:pt modelId="{E5E1515F-4FD1-974A-848D-DACA86336978}" type="pres">
      <dgm:prSet presAssocID="{6F03F37F-8BA7-0A44-A2B5-ECC15EFA8C48}" presName="text2" presStyleLbl="fgAcc2" presStyleIdx="3" presStyleCnt="4">
        <dgm:presLayoutVars>
          <dgm:chPref val="3"/>
        </dgm:presLayoutVars>
      </dgm:prSet>
      <dgm:spPr/>
      <dgm:t>
        <a:bodyPr/>
        <a:lstStyle/>
        <a:p>
          <a:endParaRPr lang="es-ES"/>
        </a:p>
      </dgm:t>
    </dgm:pt>
    <dgm:pt modelId="{FC664927-5DF1-3945-B7E1-19B941193CD9}" type="pres">
      <dgm:prSet presAssocID="{6F03F37F-8BA7-0A44-A2B5-ECC15EFA8C48}" presName="hierChild3" presStyleCnt="0"/>
      <dgm:spPr/>
    </dgm:pt>
  </dgm:ptLst>
  <dgm:cxnLst>
    <dgm:cxn modelId="{5C46337D-F05E-4DF6-8ADF-D57F39A1663C}" type="presOf" srcId="{AF731360-404E-534E-A5B9-75057BEEE152}" destId="{66C91867-F82E-7145-B92C-3F39CA1D6600}" srcOrd="0" destOrd="0" presId="urn:microsoft.com/office/officeart/2005/8/layout/hierarchy1"/>
    <dgm:cxn modelId="{ECFD3F23-6D74-4CD8-BA68-B7CAB3474207}" type="presOf" srcId="{04DC6188-0C43-F34E-A344-6BF2F90164DE}" destId="{32AA1A78-0EC6-6A4E-BE24-73F0CCCECA66}" srcOrd="0" destOrd="0" presId="urn:microsoft.com/office/officeart/2005/8/layout/hierarchy1"/>
    <dgm:cxn modelId="{EB617D19-F457-4E9A-B37B-433F57CEE9B4}" type="presOf" srcId="{72AE9D60-AB22-1F43-8DA4-F09511923614}" destId="{5BE424DB-D07A-8246-B784-CD97F0D8B451}" srcOrd="0" destOrd="0" presId="urn:microsoft.com/office/officeart/2005/8/layout/hierarchy1"/>
    <dgm:cxn modelId="{CB9BC27A-A5D3-471B-9093-0347FE8E08B7}" type="presOf" srcId="{6F03F37F-8BA7-0A44-A2B5-ECC15EFA8C48}" destId="{E5E1515F-4FD1-974A-848D-DACA86336978}" srcOrd="0" destOrd="0" presId="urn:microsoft.com/office/officeart/2005/8/layout/hierarchy1"/>
    <dgm:cxn modelId="{C4F5A2D6-FAD2-496B-B64E-4042A979747C}" type="presOf" srcId="{E332C086-EBF5-354C-8908-EABCB300E081}" destId="{0F023D38-629E-834A-BCA1-C8F3897F7AE1}" srcOrd="0" destOrd="0" presId="urn:microsoft.com/office/officeart/2005/8/layout/hierarchy1"/>
    <dgm:cxn modelId="{301F4817-E530-4C2C-A81A-1FDBAABE9CF4}" type="presOf" srcId="{5E4F69BF-729D-7045-BBF5-1DA9590CCEB1}" destId="{45161000-F659-3B4F-942C-D402236BB371}" srcOrd="0" destOrd="0" presId="urn:microsoft.com/office/officeart/2005/8/layout/hierarchy1"/>
    <dgm:cxn modelId="{3719C872-3AED-1E47-BFF7-75D5761D1A78}" srcId="{AF731360-404E-534E-A5B9-75057BEEE152}" destId="{72AE9D60-AB22-1F43-8DA4-F09511923614}" srcOrd="0" destOrd="0" parTransId="{87A66D75-4DC1-344E-AFEB-D35099900FF9}" sibTransId="{34C79A65-C5E2-EB45-B461-D84210752BDA}"/>
    <dgm:cxn modelId="{85AFBE6F-27FA-6D4B-84F5-3B73CFFEF353}" srcId="{A71C0F62-BD95-EE4B-BDD6-0D9F54F29B03}" destId="{5ACD3A09-0863-7343-93DC-3BB904A30A04}" srcOrd="1" destOrd="0" parTransId="{04DC6188-0C43-F34E-A344-6BF2F90164DE}" sibTransId="{05252105-E1B2-5748-9C1B-79AF8879CBFA}"/>
    <dgm:cxn modelId="{C5030500-9268-4C3F-B0E2-BE974175C543}" type="presOf" srcId="{D3830CF7-0374-E447-B072-72EF9F9CE2E5}" destId="{B426A6A8-411F-2348-8CD9-0EA245533822}" srcOrd="0" destOrd="0" presId="urn:microsoft.com/office/officeart/2005/8/layout/hierarchy1"/>
    <dgm:cxn modelId="{1493327A-AD91-4F44-AB51-0B63403CF7FD}" srcId="{A71C0F62-BD95-EE4B-BDD6-0D9F54F29B03}" destId="{A909EFBD-A8D4-6547-AF61-12D0A0496829}" srcOrd="0" destOrd="0" parTransId="{54863C5F-3577-8443-8681-F829A2DFA8D3}" sibTransId="{D18ACE1B-D918-D946-8F8D-37B735C7B616}"/>
    <dgm:cxn modelId="{00065225-CBA5-4AAA-8EF7-B817F14463A7}" type="presOf" srcId="{4F8412BA-F280-6A4E-AECE-5839DA01859C}" destId="{E4597854-D2C6-0D46-AD63-2264A2446EC4}" srcOrd="0" destOrd="0" presId="urn:microsoft.com/office/officeart/2005/8/layout/hierarchy1"/>
    <dgm:cxn modelId="{D0DDA47E-12D0-4709-B07A-556797825A2D}" type="presOf" srcId="{3882D7AE-95F2-9749-BE8B-771DE900E139}" destId="{D9EA50E3-7F84-8049-B1BC-4B710E66AD92}" srcOrd="0" destOrd="0" presId="urn:microsoft.com/office/officeart/2005/8/layout/hierarchy1"/>
    <dgm:cxn modelId="{4BCE677A-E17F-4017-BAB5-6B39053F4216}" type="presOf" srcId="{5DE53E05-DBCC-8048-8E0D-8F7DF4355318}" destId="{2AA674B0-268F-E246-AA7B-7BE11D5689BD}" srcOrd="0" destOrd="0" presId="urn:microsoft.com/office/officeart/2005/8/layout/hierarchy1"/>
    <dgm:cxn modelId="{C1E83114-5AF9-084E-84FF-EC4E1B693D70}" srcId="{72AE9D60-AB22-1F43-8DA4-F09511923614}" destId="{A16A774D-930D-0945-A3A9-29A6BFED580D}" srcOrd="1" destOrd="0" parTransId="{3882D7AE-95F2-9749-BE8B-771DE900E139}" sibTransId="{BDA41F3B-1EC9-B341-B533-8E803EB2F5B5}"/>
    <dgm:cxn modelId="{2AE04A28-A5D2-A04C-BF37-DAEA6DB400C3}" srcId="{72AE9D60-AB22-1F43-8DA4-F09511923614}" destId="{6F03F37F-8BA7-0A44-A2B5-ECC15EFA8C48}" srcOrd="3" destOrd="0" parTransId="{A2BBC55D-5F5F-004E-9243-1429942A8DE1}" sibTransId="{50393E45-D3E7-884D-85FD-F587DC3D32FB}"/>
    <dgm:cxn modelId="{4B0D20CB-6CE2-4EFF-B7C7-62D14A05B6FE}" type="presOf" srcId="{5ACD3A09-0863-7343-93DC-3BB904A30A04}" destId="{DA2F7D92-7869-3E4C-B674-8E3EA1960B8A}" srcOrd="0" destOrd="0" presId="urn:microsoft.com/office/officeart/2005/8/layout/hierarchy1"/>
    <dgm:cxn modelId="{6E76394C-4BD4-CA4C-B9B4-32567E83340F}" srcId="{72AE9D60-AB22-1F43-8DA4-F09511923614}" destId="{E332C086-EBF5-354C-8908-EABCB300E081}" srcOrd="0" destOrd="0" parTransId="{7EFA40D0-C87A-E541-B23B-2C21283BE368}" sibTransId="{915C95E3-6418-624B-9632-52956711C968}"/>
    <dgm:cxn modelId="{883881CA-FB1E-BD45-9018-8CABF6CEFCED}" srcId="{A16A774D-930D-0945-A3A9-29A6BFED580D}" destId="{D3830CF7-0374-E447-B072-72EF9F9CE2E5}" srcOrd="0" destOrd="0" parTransId="{5DE53E05-DBCC-8048-8E0D-8F7DF4355318}" sibTransId="{64B32197-FA56-EC4B-A34A-CB8011BB7F23}"/>
    <dgm:cxn modelId="{6090A6DF-87D4-4C42-806D-14895A5F33EF}" type="presOf" srcId="{AD622D34-0E97-C64D-B56E-EC29DCA0B851}" destId="{FAE287CE-FB79-7341-9CAB-AFEAF4190BE0}" srcOrd="0" destOrd="0" presId="urn:microsoft.com/office/officeart/2005/8/layout/hierarchy1"/>
    <dgm:cxn modelId="{75D5DF3B-E03D-764D-AC2F-8BBCD23A219E}" srcId="{A909EFBD-A8D4-6547-AF61-12D0A0496829}" destId="{78FD153A-3EB0-7441-8086-08FBF134B8FA}" srcOrd="0" destOrd="0" parTransId="{4F8412BA-F280-6A4E-AECE-5839DA01859C}" sibTransId="{DA37D3A8-3ECA-E741-9093-1986C197703B}"/>
    <dgm:cxn modelId="{5A39477C-6669-48F4-ABEE-3D43C68715A0}" type="presOf" srcId="{A16A774D-930D-0945-A3A9-29A6BFED580D}" destId="{71DF4269-2204-9E4C-825F-8429CC926678}" srcOrd="0" destOrd="0" presId="urn:microsoft.com/office/officeart/2005/8/layout/hierarchy1"/>
    <dgm:cxn modelId="{69294EDA-A07F-45AF-9A82-938E911EF8F1}" type="presOf" srcId="{8962DED6-3D3B-7E4B-8475-8FA649964B38}" destId="{42F81688-903B-E240-B6AB-DA40E11CD084}" srcOrd="0" destOrd="0" presId="urn:microsoft.com/office/officeart/2005/8/layout/hierarchy1"/>
    <dgm:cxn modelId="{4B4908F8-C5E2-6D4A-A7F7-ED4C43DFAF45}" srcId="{5ACD3A09-0863-7343-93DC-3BB904A30A04}" destId="{B9A77258-E0C0-7342-A2E7-EDD856D05AF2}" srcOrd="0" destOrd="0" parTransId="{5E4F69BF-729D-7045-BBF5-1DA9590CCEB1}" sibTransId="{AD71F539-F86D-E34B-A4E3-1E35B85A5D37}"/>
    <dgm:cxn modelId="{D6F01561-498E-4DC0-83EE-3859A68178AD}" type="presOf" srcId="{54863C5F-3577-8443-8681-F829A2DFA8D3}" destId="{EF36D308-8509-B441-BD7D-C237E6A2A9E1}" srcOrd="0" destOrd="0" presId="urn:microsoft.com/office/officeart/2005/8/layout/hierarchy1"/>
    <dgm:cxn modelId="{3D54AF15-9BF5-4483-9AF4-8E9CBF4961B6}" type="presOf" srcId="{B9A77258-E0C0-7342-A2E7-EDD856D05AF2}" destId="{EE8891E9-41C1-BB4F-8DEE-33869370E7D4}" srcOrd="0" destOrd="0" presId="urn:microsoft.com/office/officeart/2005/8/layout/hierarchy1"/>
    <dgm:cxn modelId="{02BB3AFB-263E-45D0-849D-AA9C82BD0E74}" type="presOf" srcId="{7EFA40D0-C87A-E541-B23B-2C21283BE368}" destId="{F7B88978-00A5-8D4C-8A42-91114E8242F3}" srcOrd="0" destOrd="0" presId="urn:microsoft.com/office/officeart/2005/8/layout/hierarchy1"/>
    <dgm:cxn modelId="{C5A2652F-46B3-434E-8B95-4F963924DA8F}" srcId="{A16A774D-930D-0945-A3A9-29A6BFED580D}" destId="{CC206C58-C49F-0641-B6C2-CD2DAAD101DE}" srcOrd="1" destOrd="0" parTransId="{8962DED6-3D3B-7E4B-8475-8FA649964B38}" sibTransId="{818AD987-6DDD-934C-8908-7FAFF1344134}"/>
    <dgm:cxn modelId="{D687512E-3443-42E5-8D58-8E3597D47146}" type="presOf" srcId="{CC206C58-C49F-0641-B6C2-CD2DAAD101DE}" destId="{5D65BCFB-9A98-7B4A-81FE-0912C091F54C}" srcOrd="0" destOrd="0" presId="urn:microsoft.com/office/officeart/2005/8/layout/hierarchy1"/>
    <dgm:cxn modelId="{B3C38734-C7A0-4C69-91EB-42823AC280F5}" type="presOf" srcId="{A71C0F62-BD95-EE4B-BDD6-0D9F54F29B03}" destId="{DB0E8042-B7D1-CB41-BFEA-DCACD3A1101E}" srcOrd="0" destOrd="0" presId="urn:microsoft.com/office/officeart/2005/8/layout/hierarchy1"/>
    <dgm:cxn modelId="{DDE9B9E5-4CFC-42F0-A94D-08D117FF4887}" type="presOf" srcId="{78FD153A-3EB0-7441-8086-08FBF134B8FA}" destId="{53314618-480F-4D41-9912-2881FD36BEE4}" srcOrd="0" destOrd="0" presId="urn:microsoft.com/office/officeart/2005/8/layout/hierarchy1"/>
    <dgm:cxn modelId="{8795D6D3-9A7D-4A44-B0EF-B0399EBFBE04}" srcId="{72AE9D60-AB22-1F43-8DA4-F09511923614}" destId="{A71C0F62-BD95-EE4B-BDD6-0D9F54F29B03}" srcOrd="2" destOrd="0" parTransId="{AD622D34-0E97-C64D-B56E-EC29DCA0B851}" sibTransId="{2C7DD379-367E-814C-831C-1B5284BB29C9}"/>
    <dgm:cxn modelId="{BDB27553-2997-494F-93AE-9D69740366A6}" type="presOf" srcId="{A909EFBD-A8D4-6547-AF61-12D0A0496829}" destId="{6581226B-1987-0F43-B195-77608228A427}" srcOrd="0" destOrd="0" presId="urn:microsoft.com/office/officeart/2005/8/layout/hierarchy1"/>
    <dgm:cxn modelId="{1D052286-F4C9-480D-AC7A-648ACD58BE21}" type="presOf" srcId="{A2BBC55D-5F5F-004E-9243-1429942A8DE1}" destId="{3D72D577-E1FE-0D47-8D53-C9993C796791}" srcOrd="0" destOrd="0" presId="urn:microsoft.com/office/officeart/2005/8/layout/hierarchy1"/>
    <dgm:cxn modelId="{FB62FF59-1EC2-4D38-89B0-1F3AFD00223B}" type="presParOf" srcId="{66C91867-F82E-7145-B92C-3F39CA1D6600}" destId="{825BFB1E-2293-2042-B547-E70D033DF3EE}" srcOrd="0" destOrd="0" presId="urn:microsoft.com/office/officeart/2005/8/layout/hierarchy1"/>
    <dgm:cxn modelId="{C4F6100D-D516-4875-9D65-BBDA23FE42AA}" type="presParOf" srcId="{825BFB1E-2293-2042-B547-E70D033DF3EE}" destId="{344976F1-4CCA-7940-9C48-3816E277DCDC}" srcOrd="0" destOrd="0" presId="urn:microsoft.com/office/officeart/2005/8/layout/hierarchy1"/>
    <dgm:cxn modelId="{07F6B832-C6E2-454D-B399-1BB2773FE493}" type="presParOf" srcId="{344976F1-4CCA-7940-9C48-3816E277DCDC}" destId="{392E9FEF-BCF4-D746-8F4A-3C8EA1DD0C28}" srcOrd="0" destOrd="0" presId="urn:microsoft.com/office/officeart/2005/8/layout/hierarchy1"/>
    <dgm:cxn modelId="{90D963C6-180A-4027-AACC-37F43CD23F20}" type="presParOf" srcId="{344976F1-4CCA-7940-9C48-3816E277DCDC}" destId="{5BE424DB-D07A-8246-B784-CD97F0D8B451}" srcOrd="1" destOrd="0" presId="urn:microsoft.com/office/officeart/2005/8/layout/hierarchy1"/>
    <dgm:cxn modelId="{0E4A086D-DE0F-4EF6-A5F1-F636562F4DB0}" type="presParOf" srcId="{825BFB1E-2293-2042-B547-E70D033DF3EE}" destId="{AD857141-0B71-EB42-BB97-DB45E9524F5F}" srcOrd="1" destOrd="0" presId="urn:microsoft.com/office/officeart/2005/8/layout/hierarchy1"/>
    <dgm:cxn modelId="{62F5A4A2-E49C-4175-9D1E-0B04C34B9929}" type="presParOf" srcId="{AD857141-0B71-EB42-BB97-DB45E9524F5F}" destId="{F7B88978-00A5-8D4C-8A42-91114E8242F3}" srcOrd="0" destOrd="0" presId="urn:microsoft.com/office/officeart/2005/8/layout/hierarchy1"/>
    <dgm:cxn modelId="{4C0A31E2-05C8-4E5B-A721-D76AADD0E453}" type="presParOf" srcId="{AD857141-0B71-EB42-BB97-DB45E9524F5F}" destId="{B84271E6-3E1F-3D4D-95A2-F0F718C23ABB}" srcOrd="1" destOrd="0" presId="urn:microsoft.com/office/officeart/2005/8/layout/hierarchy1"/>
    <dgm:cxn modelId="{CC2C094C-9480-427A-9EBD-A9AD65F15163}" type="presParOf" srcId="{B84271E6-3E1F-3D4D-95A2-F0F718C23ABB}" destId="{B12CCAA4-F633-1448-8B7F-D33CF17D8425}" srcOrd="0" destOrd="0" presId="urn:microsoft.com/office/officeart/2005/8/layout/hierarchy1"/>
    <dgm:cxn modelId="{012883A9-2352-4B30-A4B7-4D0ECC2CB835}" type="presParOf" srcId="{B12CCAA4-F633-1448-8B7F-D33CF17D8425}" destId="{0AFD4765-4CBE-A747-ADCC-D4565290DA87}" srcOrd="0" destOrd="0" presId="urn:microsoft.com/office/officeart/2005/8/layout/hierarchy1"/>
    <dgm:cxn modelId="{82B679C2-8089-40F7-BDD5-B435BCE9F15D}" type="presParOf" srcId="{B12CCAA4-F633-1448-8B7F-D33CF17D8425}" destId="{0F023D38-629E-834A-BCA1-C8F3897F7AE1}" srcOrd="1" destOrd="0" presId="urn:microsoft.com/office/officeart/2005/8/layout/hierarchy1"/>
    <dgm:cxn modelId="{E5839973-14AD-4BED-93DA-E68932E9A05D}" type="presParOf" srcId="{B84271E6-3E1F-3D4D-95A2-F0F718C23ABB}" destId="{ED23B63B-6899-6347-8AA1-230550B2089C}" srcOrd="1" destOrd="0" presId="urn:microsoft.com/office/officeart/2005/8/layout/hierarchy1"/>
    <dgm:cxn modelId="{825F946E-F7C3-4E6E-B169-30882EC6AC13}" type="presParOf" srcId="{AD857141-0B71-EB42-BB97-DB45E9524F5F}" destId="{D9EA50E3-7F84-8049-B1BC-4B710E66AD92}" srcOrd="2" destOrd="0" presId="urn:microsoft.com/office/officeart/2005/8/layout/hierarchy1"/>
    <dgm:cxn modelId="{608938E8-C924-4BB0-84C7-3465C403D0E6}" type="presParOf" srcId="{AD857141-0B71-EB42-BB97-DB45E9524F5F}" destId="{9A9A35E6-A7FA-3640-BE9A-8B238A416884}" srcOrd="3" destOrd="0" presId="urn:microsoft.com/office/officeart/2005/8/layout/hierarchy1"/>
    <dgm:cxn modelId="{B146211B-CAC9-4D1C-9B52-D149A5A1164B}" type="presParOf" srcId="{9A9A35E6-A7FA-3640-BE9A-8B238A416884}" destId="{5BF45A11-5C6F-3C4D-A4BB-8A1BA8976F1D}" srcOrd="0" destOrd="0" presId="urn:microsoft.com/office/officeart/2005/8/layout/hierarchy1"/>
    <dgm:cxn modelId="{B42F203D-EF58-4B07-87BC-DA200F53C2FF}" type="presParOf" srcId="{5BF45A11-5C6F-3C4D-A4BB-8A1BA8976F1D}" destId="{AF0B689A-407D-F046-8A68-72DB355F8AA0}" srcOrd="0" destOrd="0" presId="urn:microsoft.com/office/officeart/2005/8/layout/hierarchy1"/>
    <dgm:cxn modelId="{821023F3-BF06-460E-91C1-99E146F044B9}" type="presParOf" srcId="{5BF45A11-5C6F-3C4D-A4BB-8A1BA8976F1D}" destId="{71DF4269-2204-9E4C-825F-8429CC926678}" srcOrd="1" destOrd="0" presId="urn:microsoft.com/office/officeart/2005/8/layout/hierarchy1"/>
    <dgm:cxn modelId="{B13202A2-09D6-4975-82E3-FFEB2167118F}" type="presParOf" srcId="{9A9A35E6-A7FA-3640-BE9A-8B238A416884}" destId="{CEB9945A-C990-3F40-BE8C-2EC2FC38DD0A}" srcOrd="1" destOrd="0" presId="urn:microsoft.com/office/officeart/2005/8/layout/hierarchy1"/>
    <dgm:cxn modelId="{BD244F66-4C7A-403A-B9EF-9DF0ADE7BF29}" type="presParOf" srcId="{CEB9945A-C990-3F40-BE8C-2EC2FC38DD0A}" destId="{2AA674B0-268F-E246-AA7B-7BE11D5689BD}" srcOrd="0" destOrd="0" presId="urn:microsoft.com/office/officeart/2005/8/layout/hierarchy1"/>
    <dgm:cxn modelId="{FA18BE14-8377-41B6-99BC-8E3E1D7EC1E7}" type="presParOf" srcId="{CEB9945A-C990-3F40-BE8C-2EC2FC38DD0A}" destId="{72BA9047-FEE4-CB41-8ADB-F9DF6D881C58}" srcOrd="1" destOrd="0" presId="urn:microsoft.com/office/officeart/2005/8/layout/hierarchy1"/>
    <dgm:cxn modelId="{12EE613D-148A-46BD-99D7-B10C05AC87D9}" type="presParOf" srcId="{72BA9047-FEE4-CB41-8ADB-F9DF6D881C58}" destId="{EE5522DA-D22B-A548-BE6A-925675D0877C}" srcOrd="0" destOrd="0" presId="urn:microsoft.com/office/officeart/2005/8/layout/hierarchy1"/>
    <dgm:cxn modelId="{526F665D-5C97-4B44-8FD5-4D943344FF3D}" type="presParOf" srcId="{EE5522DA-D22B-A548-BE6A-925675D0877C}" destId="{13900E4F-1518-1840-B575-66D226CF11F4}" srcOrd="0" destOrd="0" presId="urn:microsoft.com/office/officeart/2005/8/layout/hierarchy1"/>
    <dgm:cxn modelId="{44B34238-2D01-46B2-9781-DA45D9801745}" type="presParOf" srcId="{EE5522DA-D22B-A548-BE6A-925675D0877C}" destId="{B426A6A8-411F-2348-8CD9-0EA245533822}" srcOrd="1" destOrd="0" presId="urn:microsoft.com/office/officeart/2005/8/layout/hierarchy1"/>
    <dgm:cxn modelId="{334E1511-0F57-4130-A3C4-38B63691FF92}" type="presParOf" srcId="{72BA9047-FEE4-CB41-8ADB-F9DF6D881C58}" destId="{D1560D65-808B-3B47-ABE0-002F2CA54968}" srcOrd="1" destOrd="0" presId="urn:microsoft.com/office/officeart/2005/8/layout/hierarchy1"/>
    <dgm:cxn modelId="{CDD0F402-BDAD-43F6-9902-3F0E26FD239D}" type="presParOf" srcId="{CEB9945A-C990-3F40-BE8C-2EC2FC38DD0A}" destId="{42F81688-903B-E240-B6AB-DA40E11CD084}" srcOrd="2" destOrd="0" presId="urn:microsoft.com/office/officeart/2005/8/layout/hierarchy1"/>
    <dgm:cxn modelId="{0EBF097F-A03E-42BA-BA66-65E555890B77}" type="presParOf" srcId="{CEB9945A-C990-3F40-BE8C-2EC2FC38DD0A}" destId="{4163287F-8683-9A40-BA3C-7D407BC236E2}" srcOrd="3" destOrd="0" presId="urn:microsoft.com/office/officeart/2005/8/layout/hierarchy1"/>
    <dgm:cxn modelId="{66E0A1FD-08F7-4FB3-82C5-442C84898698}" type="presParOf" srcId="{4163287F-8683-9A40-BA3C-7D407BC236E2}" destId="{C51BA1FA-D64A-0544-8A59-B5BECF143913}" srcOrd="0" destOrd="0" presId="urn:microsoft.com/office/officeart/2005/8/layout/hierarchy1"/>
    <dgm:cxn modelId="{22959580-F54C-492E-B801-0C194B8C4A5D}" type="presParOf" srcId="{C51BA1FA-D64A-0544-8A59-B5BECF143913}" destId="{FD49EE71-1295-004B-A2B8-EE30EA86508A}" srcOrd="0" destOrd="0" presId="urn:microsoft.com/office/officeart/2005/8/layout/hierarchy1"/>
    <dgm:cxn modelId="{21330F43-E250-4596-9739-0E17C8B56F66}" type="presParOf" srcId="{C51BA1FA-D64A-0544-8A59-B5BECF143913}" destId="{5D65BCFB-9A98-7B4A-81FE-0912C091F54C}" srcOrd="1" destOrd="0" presId="urn:microsoft.com/office/officeart/2005/8/layout/hierarchy1"/>
    <dgm:cxn modelId="{1D333347-C36F-4BF0-B073-32E8E5AC8929}" type="presParOf" srcId="{4163287F-8683-9A40-BA3C-7D407BC236E2}" destId="{057D799E-7570-2D4D-B8E7-27686709C677}" srcOrd="1" destOrd="0" presId="urn:microsoft.com/office/officeart/2005/8/layout/hierarchy1"/>
    <dgm:cxn modelId="{8A5F00E5-174A-4E10-8ECF-C56405936E7E}" type="presParOf" srcId="{AD857141-0B71-EB42-BB97-DB45E9524F5F}" destId="{FAE287CE-FB79-7341-9CAB-AFEAF4190BE0}" srcOrd="4" destOrd="0" presId="urn:microsoft.com/office/officeart/2005/8/layout/hierarchy1"/>
    <dgm:cxn modelId="{D5F3CA0B-ADE0-4AED-AAF8-1DDA8BE6B954}" type="presParOf" srcId="{AD857141-0B71-EB42-BB97-DB45E9524F5F}" destId="{327DBF67-A1ED-0042-A4DF-DE8505056817}" srcOrd="5" destOrd="0" presId="urn:microsoft.com/office/officeart/2005/8/layout/hierarchy1"/>
    <dgm:cxn modelId="{6C57C663-B631-4217-A674-951F90E403E4}" type="presParOf" srcId="{327DBF67-A1ED-0042-A4DF-DE8505056817}" destId="{FEAB9A2F-E168-274F-9BE0-DF4E5418CEF5}" srcOrd="0" destOrd="0" presId="urn:microsoft.com/office/officeart/2005/8/layout/hierarchy1"/>
    <dgm:cxn modelId="{D9ED4834-E38D-4EA6-A785-D1681ACCFE21}" type="presParOf" srcId="{FEAB9A2F-E168-274F-9BE0-DF4E5418CEF5}" destId="{F0D36D84-6CAF-1E4D-810E-A230903C12B9}" srcOrd="0" destOrd="0" presId="urn:microsoft.com/office/officeart/2005/8/layout/hierarchy1"/>
    <dgm:cxn modelId="{B1E5CB69-F7F8-4C86-BAA5-6707CFA33524}" type="presParOf" srcId="{FEAB9A2F-E168-274F-9BE0-DF4E5418CEF5}" destId="{DB0E8042-B7D1-CB41-BFEA-DCACD3A1101E}" srcOrd="1" destOrd="0" presId="urn:microsoft.com/office/officeart/2005/8/layout/hierarchy1"/>
    <dgm:cxn modelId="{5913E8D2-8AB9-4997-B01E-F3879FD72CD2}" type="presParOf" srcId="{327DBF67-A1ED-0042-A4DF-DE8505056817}" destId="{C96897E9-A93B-C347-AE94-C892DD80FB22}" srcOrd="1" destOrd="0" presId="urn:microsoft.com/office/officeart/2005/8/layout/hierarchy1"/>
    <dgm:cxn modelId="{3D4EB8A3-1249-4EE1-B737-07D29F3F7BB7}" type="presParOf" srcId="{C96897E9-A93B-C347-AE94-C892DD80FB22}" destId="{EF36D308-8509-B441-BD7D-C237E6A2A9E1}" srcOrd="0" destOrd="0" presId="urn:microsoft.com/office/officeart/2005/8/layout/hierarchy1"/>
    <dgm:cxn modelId="{5F85403B-2A76-4836-96E5-598C9A357688}" type="presParOf" srcId="{C96897E9-A93B-C347-AE94-C892DD80FB22}" destId="{88ACE211-B3B4-9D45-821E-5F1B1C777E80}" srcOrd="1" destOrd="0" presId="urn:microsoft.com/office/officeart/2005/8/layout/hierarchy1"/>
    <dgm:cxn modelId="{B31B2F88-2603-4564-95AA-3D028FA7BC59}" type="presParOf" srcId="{88ACE211-B3B4-9D45-821E-5F1B1C777E80}" destId="{D43AE97A-21DC-464E-83AD-27EDFCDF7C5F}" srcOrd="0" destOrd="0" presId="urn:microsoft.com/office/officeart/2005/8/layout/hierarchy1"/>
    <dgm:cxn modelId="{CF7171AE-F94F-4476-9C82-43289C8B0241}" type="presParOf" srcId="{D43AE97A-21DC-464E-83AD-27EDFCDF7C5F}" destId="{275A9982-027F-6A4A-8C9B-C1F13B43FEB4}" srcOrd="0" destOrd="0" presId="urn:microsoft.com/office/officeart/2005/8/layout/hierarchy1"/>
    <dgm:cxn modelId="{D72F1FED-355C-4176-A720-0634B23FA297}" type="presParOf" srcId="{D43AE97A-21DC-464E-83AD-27EDFCDF7C5F}" destId="{6581226B-1987-0F43-B195-77608228A427}" srcOrd="1" destOrd="0" presId="urn:microsoft.com/office/officeart/2005/8/layout/hierarchy1"/>
    <dgm:cxn modelId="{1AA4B448-F7F8-4A9B-84B1-BEEB823BBFC5}" type="presParOf" srcId="{88ACE211-B3B4-9D45-821E-5F1B1C777E80}" destId="{083FBB6A-73DE-8D45-B705-73B2FE112FFD}" srcOrd="1" destOrd="0" presId="urn:microsoft.com/office/officeart/2005/8/layout/hierarchy1"/>
    <dgm:cxn modelId="{0210C7A6-488E-4E1A-90F8-F45D02C12BDF}" type="presParOf" srcId="{083FBB6A-73DE-8D45-B705-73B2FE112FFD}" destId="{E4597854-D2C6-0D46-AD63-2264A2446EC4}" srcOrd="0" destOrd="0" presId="urn:microsoft.com/office/officeart/2005/8/layout/hierarchy1"/>
    <dgm:cxn modelId="{151C6C8B-A19D-47C2-B6C7-247B5D3CE270}" type="presParOf" srcId="{083FBB6A-73DE-8D45-B705-73B2FE112FFD}" destId="{85B5265D-E8FA-AF40-8FB8-87AE9837BE68}" srcOrd="1" destOrd="0" presId="urn:microsoft.com/office/officeart/2005/8/layout/hierarchy1"/>
    <dgm:cxn modelId="{3CB63634-DAEF-4BEA-9B10-8C6AE2115A1A}" type="presParOf" srcId="{85B5265D-E8FA-AF40-8FB8-87AE9837BE68}" destId="{E5A99FED-CC2C-804B-B088-716062E41259}" srcOrd="0" destOrd="0" presId="urn:microsoft.com/office/officeart/2005/8/layout/hierarchy1"/>
    <dgm:cxn modelId="{EF5F1748-3515-42D6-AAA0-074C174D6873}" type="presParOf" srcId="{E5A99FED-CC2C-804B-B088-716062E41259}" destId="{E9ADC94D-AF0B-6245-B4CA-41F6FD56E278}" srcOrd="0" destOrd="0" presId="urn:microsoft.com/office/officeart/2005/8/layout/hierarchy1"/>
    <dgm:cxn modelId="{82C28701-DAF2-4EE2-8234-B7329647E791}" type="presParOf" srcId="{E5A99FED-CC2C-804B-B088-716062E41259}" destId="{53314618-480F-4D41-9912-2881FD36BEE4}" srcOrd="1" destOrd="0" presId="urn:microsoft.com/office/officeart/2005/8/layout/hierarchy1"/>
    <dgm:cxn modelId="{AC0BBD17-329F-4AD4-AA2B-C0C30612D7F2}" type="presParOf" srcId="{85B5265D-E8FA-AF40-8FB8-87AE9837BE68}" destId="{29CE3CC5-511F-D44D-90A5-96594A455597}" srcOrd="1" destOrd="0" presId="urn:microsoft.com/office/officeart/2005/8/layout/hierarchy1"/>
    <dgm:cxn modelId="{AEB83502-1CCE-47A8-B1A8-5667ACD3A5D3}" type="presParOf" srcId="{C96897E9-A93B-C347-AE94-C892DD80FB22}" destId="{32AA1A78-0EC6-6A4E-BE24-73F0CCCECA66}" srcOrd="2" destOrd="0" presId="urn:microsoft.com/office/officeart/2005/8/layout/hierarchy1"/>
    <dgm:cxn modelId="{6FD83C20-95C0-4501-91DA-903E3BED7048}" type="presParOf" srcId="{C96897E9-A93B-C347-AE94-C892DD80FB22}" destId="{9A7D9F37-3204-7949-B3C3-E17014133CC0}" srcOrd="3" destOrd="0" presId="urn:microsoft.com/office/officeart/2005/8/layout/hierarchy1"/>
    <dgm:cxn modelId="{0C06BF0E-5B0C-4843-8577-24648B9CC7F7}" type="presParOf" srcId="{9A7D9F37-3204-7949-B3C3-E17014133CC0}" destId="{6328B381-8B6C-BC44-93F4-33F6BC61779B}" srcOrd="0" destOrd="0" presId="urn:microsoft.com/office/officeart/2005/8/layout/hierarchy1"/>
    <dgm:cxn modelId="{318C2106-48E5-4028-B2F8-45B73F4940AD}" type="presParOf" srcId="{6328B381-8B6C-BC44-93F4-33F6BC61779B}" destId="{381148D9-588B-D849-860C-F13450398251}" srcOrd="0" destOrd="0" presId="urn:microsoft.com/office/officeart/2005/8/layout/hierarchy1"/>
    <dgm:cxn modelId="{1F5BF1A7-6479-41C5-AB29-E026959A9B8C}" type="presParOf" srcId="{6328B381-8B6C-BC44-93F4-33F6BC61779B}" destId="{DA2F7D92-7869-3E4C-B674-8E3EA1960B8A}" srcOrd="1" destOrd="0" presId="urn:microsoft.com/office/officeart/2005/8/layout/hierarchy1"/>
    <dgm:cxn modelId="{55617531-4232-4DC0-B161-B8321F631D16}" type="presParOf" srcId="{9A7D9F37-3204-7949-B3C3-E17014133CC0}" destId="{8CE8643F-C084-A14B-BF2A-50831677DBA6}" srcOrd="1" destOrd="0" presId="urn:microsoft.com/office/officeart/2005/8/layout/hierarchy1"/>
    <dgm:cxn modelId="{B96C3F4C-F702-4356-88CE-B6ED6ED609F0}" type="presParOf" srcId="{8CE8643F-C084-A14B-BF2A-50831677DBA6}" destId="{45161000-F659-3B4F-942C-D402236BB371}" srcOrd="0" destOrd="0" presId="urn:microsoft.com/office/officeart/2005/8/layout/hierarchy1"/>
    <dgm:cxn modelId="{C8BEA82D-D3DF-4059-85F8-DC0DD80FD49E}" type="presParOf" srcId="{8CE8643F-C084-A14B-BF2A-50831677DBA6}" destId="{A045897A-6691-EE47-B262-0FECD78773C5}" srcOrd="1" destOrd="0" presId="urn:microsoft.com/office/officeart/2005/8/layout/hierarchy1"/>
    <dgm:cxn modelId="{D1F63EA8-5EA0-4472-9334-7F2F511F2D09}" type="presParOf" srcId="{A045897A-6691-EE47-B262-0FECD78773C5}" destId="{E5EF13D0-7CE3-A446-8E78-E6AC025BF526}" srcOrd="0" destOrd="0" presId="urn:microsoft.com/office/officeart/2005/8/layout/hierarchy1"/>
    <dgm:cxn modelId="{CA1FEA36-8C05-4B11-8DC8-980BFE48CA18}" type="presParOf" srcId="{E5EF13D0-7CE3-A446-8E78-E6AC025BF526}" destId="{64F0BFBA-6EC7-0A47-9CC2-71C25EFEEBBC}" srcOrd="0" destOrd="0" presId="urn:microsoft.com/office/officeart/2005/8/layout/hierarchy1"/>
    <dgm:cxn modelId="{C7BAC106-13B7-497E-82E9-1EF5F0C0B95E}" type="presParOf" srcId="{E5EF13D0-7CE3-A446-8E78-E6AC025BF526}" destId="{EE8891E9-41C1-BB4F-8DEE-33869370E7D4}" srcOrd="1" destOrd="0" presId="urn:microsoft.com/office/officeart/2005/8/layout/hierarchy1"/>
    <dgm:cxn modelId="{A608A20B-6A30-43A2-8A6A-DC184F58A531}" type="presParOf" srcId="{A045897A-6691-EE47-B262-0FECD78773C5}" destId="{4F08AC8A-83A0-614F-8137-6244E35B1FC0}" srcOrd="1" destOrd="0" presId="urn:microsoft.com/office/officeart/2005/8/layout/hierarchy1"/>
    <dgm:cxn modelId="{028FE379-C34E-45BE-A025-2D93F769DD29}" type="presParOf" srcId="{AD857141-0B71-EB42-BB97-DB45E9524F5F}" destId="{3D72D577-E1FE-0D47-8D53-C9993C796791}" srcOrd="6" destOrd="0" presId="urn:microsoft.com/office/officeart/2005/8/layout/hierarchy1"/>
    <dgm:cxn modelId="{CB90DB35-2C09-4CB0-BF44-F5A8EEB9FD19}" type="presParOf" srcId="{AD857141-0B71-EB42-BB97-DB45E9524F5F}" destId="{EC0D52D1-4C71-7B44-95DC-43D6287E28B5}" srcOrd="7" destOrd="0" presId="urn:microsoft.com/office/officeart/2005/8/layout/hierarchy1"/>
    <dgm:cxn modelId="{F42C0C23-C848-446D-A7D4-C8151868960C}" type="presParOf" srcId="{EC0D52D1-4C71-7B44-95DC-43D6287E28B5}" destId="{DCC8185D-32EA-F244-9BD5-55F21D825B17}" srcOrd="0" destOrd="0" presId="urn:microsoft.com/office/officeart/2005/8/layout/hierarchy1"/>
    <dgm:cxn modelId="{4D3A983F-E96A-4374-A14F-96A1863F03FC}" type="presParOf" srcId="{DCC8185D-32EA-F244-9BD5-55F21D825B17}" destId="{5D03FCC3-F16C-DE43-8A06-F9E92B25C5AA}" srcOrd="0" destOrd="0" presId="urn:microsoft.com/office/officeart/2005/8/layout/hierarchy1"/>
    <dgm:cxn modelId="{8E999947-4DFD-4CF7-ADBD-1594803EBA42}" type="presParOf" srcId="{DCC8185D-32EA-F244-9BD5-55F21D825B17}" destId="{E5E1515F-4FD1-974A-848D-DACA86336978}" srcOrd="1" destOrd="0" presId="urn:microsoft.com/office/officeart/2005/8/layout/hierarchy1"/>
    <dgm:cxn modelId="{3A3CFEFB-6C91-4A34-B6C0-F54F1B3AF0D9}" type="presParOf" srcId="{EC0D52D1-4C71-7B44-95DC-43D6287E28B5}" destId="{FC664927-5DF1-3945-B7E1-19B941193CD9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D72D577-E1FE-0D47-8D53-C9993C796791}">
      <dsp:nvSpPr>
        <dsp:cNvPr id="0" name=""/>
        <dsp:cNvSpPr/>
      </dsp:nvSpPr>
      <dsp:spPr>
        <a:xfrm>
          <a:off x="2504822" y="1241318"/>
          <a:ext cx="2191536" cy="60805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523082"/>
              </a:lnTo>
              <a:lnTo>
                <a:pt x="2191536" y="523082"/>
              </a:lnTo>
              <a:lnTo>
                <a:pt x="2191536" y="608059"/>
              </a:lnTo>
            </a:path>
          </a:pathLst>
        </a:custGeom>
        <a:noFill/>
        <a:ln w="127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5161000-F659-3B4F-942C-D402236BB371}">
      <dsp:nvSpPr>
        <dsp:cNvPr id="0" name=""/>
        <dsp:cNvSpPr/>
      </dsp:nvSpPr>
      <dsp:spPr>
        <a:xfrm>
          <a:off x="4090071" y="3281116"/>
          <a:ext cx="91440" cy="266778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66778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2AA1A78-0EC6-6A4E-BE24-73F0CCCECA66}">
      <dsp:nvSpPr>
        <dsp:cNvPr id="0" name=""/>
        <dsp:cNvSpPr/>
      </dsp:nvSpPr>
      <dsp:spPr>
        <a:xfrm>
          <a:off x="3575224" y="2431858"/>
          <a:ext cx="560566" cy="26677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81801"/>
              </a:lnTo>
              <a:lnTo>
                <a:pt x="560566" y="181801"/>
              </a:lnTo>
              <a:lnTo>
                <a:pt x="560566" y="266778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4597854-D2C6-0D46-AD63-2264A2446EC4}">
      <dsp:nvSpPr>
        <dsp:cNvPr id="0" name=""/>
        <dsp:cNvSpPr/>
      </dsp:nvSpPr>
      <dsp:spPr>
        <a:xfrm>
          <a:off x="2968938" y="3281116"/>
          <a:ext cx="91440" cy="266778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66778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F36D308-8509-B441-BD7D-C237E6A2A9E1}">
      <dsp:nvSpPr>
        <dsp:cNvPr id="0" name=""/>
        <dsp:cNvSpPr/>
      </dsp:nvSpPr>
      <dsp:spPr>
        <a:xfrm>
          <a:off x="3014658" y="2431858"/>
          <a:ext cx="560566" cy="266778"/>
        </a:xfrm>
        <a:custGeom>
          <a:avLst/>
          <a:gdLst/>
          <a:ahLst/>
          <a:cxnLst/>
          <a:rect l="0" t="0" r="0" b="0"/>
          <a:pathLst>
            <a:path>
              <a:moveTo>
                <a:pt x="560566" y="0"/>
              </a:moveTo>
              <a:lnTo>
                <a:pt x="560566" y="181801"/>
              </a:lnTo>
              <a:lnTo>
                <a:pt x="0" y="181801"/>
              </a:lnTo>
              <a:lnTo>
                <a:pt x="0" y="266778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AE287CE-FB79-7341-9CAB-AFEAF4190BE0}">
      <dsp:nvSpPr>
        <dsp:cNvPr id="0" name=""/>
        <dsp:cNvSpPr/>
      </dsp:nvSpPr>
      <dsp:spPr>
        <a:xfrm>
          <a:off x="2504822" y="1241318"/>
          <a:ext cx="1070402" cy="60805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523082"/>
              </a:lnTo>
              <a:lnTo>
                <a:pt x="1070402" y="523082"/>
              </a:lnTo>
              <a:lnTo>
                <a:pt x="1070402" y="608059"/>
              </a:lnTo>
            </a:path>
          </a:pathLst>
        </a:custGeom>
        <a:noFill/>
        <a:ln w="127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2F81688-903B-E240-B6AB-DA40E11CD084}">
      <dsp:nvSpPr>
        <dsp:cNvPr id="0" name=""/>
        <dsp:cNvSpPr/>
      </dsp:nvSpPr>
      <dsp:spPr>
        <a:xfrm>
          <a:off x="1332957" y="2431858"/>
          <a:ext cx="560566" cy="26677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81801"/>
              </a:lnTo>
              <a:lnTo>
                <a:pt x="560566" y="181801"/>
              </a:lnTo>
              <a:lnTo>
                <a:pt x="560566" y="266778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AA674B0-268F-E246-AA7B-7BE11D5689BD}">
      <dsp:nvSpPr>
        <dsp:cNvPr id="0" name=""/>
        <dsp:cNvSpPr/>
      </dsp:nvSpPr>
      <dsp:spPr>
        <a:xfrm>
          <a:off x="772391" y="2431858"/>
          <a:ext cx="560566" cy="266778"/>
        </a:xfrm>
        <a:custGeom>
          <a:avLst/>
          <a:gdLst/>
          <a:ahLst/>
          <a:cxnLst/>
          <a:rect l="0" t="0" r="0" b="0"/>
          <a:pathLst>
            <a:path>
              <a:moveTo>
                <a:pt x="560566" y="0"/>
              </a:moveTo>
              <a:lnTo>
                <a:pt x="560566" y="181801"/>
              </a:lnTo>
              <a:lnTo>
                <a:pt x="0" y="181801"/>
              </a:lnTo>
              <a:lnTo>
                <a:pt x="0" y="266778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9EA50E3-7F84-8049-B1BC-4B710E66AD92}">
      <dsp:nvSpPr>
        <dsp:cNvPr id="0" name=""/>
        <dsp:cNvSpPr/>
      </dsp:nvSpPr>
      <dsp:spPr>
        <a:xfrm>
          <a:off x="1332957" y="1241318"/>
          <a:ext cx="1171864" cy="608059"/>
        </a:xfrm>
        <a:custGeom>
          <a:avLst/>
          <a:gdLst/>
          <a:ahLst/>
          <a:cxnLst/>
          <a:rect l="0" t="0" r="0" b="0"/>
          <a:pathLst>
            <a:path>
              <a:moveTo>
                <a:pt x="1171864" y="0"/>
              </a:moveTo>
              <a:lnTo>
                <a:pt x="1171864" y="523082"/>
              </a:lnTo>
              <a:lnTo>
                <a:pt x="0" y="523082"/>
              </a:lnTo>
              <a:lnTo>
                <a:pt x="0" y="608059"/>
              </a:lnTo>
            </a:path>
          </a:pathLst>
        </a:custGeom>
        <a:noFill/>
        <a:ln w="127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7B88978-00A5-8D4C-8A42-91114E8242F3}">
      <dsp:nvSpPr>
        <dsp:cNvPr id="0" name=""/>
        <dsp:cNvSpPr/>
      </dsp:nvSpPr>
      <dsp:spPr>
        <a:xfrm>
          <a:off x="402332" y="1241318"/>
          <a:ext cx="2102490" cy="190887"/>
        </a:xfrm>
        <a:custGeom>
          <a:avLst/>
          <a:gdLst/>
          <a:ahLst/>
          <a:cxnLst/>
          <a:rect l="0" t="0" r="0" b="0"/>
          <a:pathLst>
            <a:path>
              <a:moveTo>
                <a:pt x="2102490" y="0"/>
              </a:moveTo>
              <a:lnTo>
                <a:pt x="2102490" y="105910"/>
              </a:lnTo>
              <a:lnTo>
                <a:pt x="0" y="105910"/>
              </a:lnTo>
              <a:lnTo>
                <a:pt x="0" y="190887"/>
              </a:lnTo>
            </a:path>
          </a:pathLst>
        </a:custGeom>
        <a:noFill/>
        <a:ln w="127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92E9FEF-BCF4-D746-8F4A-3C8EA1DD0C28}">
      <dsp:nvSpPr>
        <dsp:cNvPr id="0" name=""/>
        <dsp:cNvSpPr/>
      </dsp:nvSpPr>
      <dsp:spPr>
        <a:xfrm>
          <a:off x="2046176" y="658838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5BE424DB-D07A-8246-B784-CD97F0D8B451}">
      <dsp:nvSpPr>
        <dsp:cNvPr id="0" name=""/>
        <dsp:cNvSpPr/>
      </dsp:nvSpPr>
      <dsp:spPr>
        <a:xfrm>
          <a:off x="2148097" y="755664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Gerente General</a:t>
          </a:r>
        </a:p>
      </dsp:txBody>
      <dsp:txXfrm>
        <a:off x="2165157" y="772724"/>
        <a:ext cx="883170" cy="548359"/>
      </dsp:txXfrm>
    </dsp:sp>
    <dsp:sp modelId="{0AFD4765-4CBE-A747-ADCC-D4565290DA87}">
      <dsp:nvSpPr>
        <dsp:cNvPr id="0" name=""/>
        <dsp:cNvSpPr/>
      </dsp:nvSpPr>
      <dsp:spPr>
        <a:xfrm>
          <a:off x="67534" y="1432206"/>
          <a:ext cx="669594" cy="393861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3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3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3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0F023D38-629E-834A-BCA1-C8F3897F7AE1}">
      <dsp:nvSpPr>
        <dsp:cNvPr id="0" name=""/>
        <dsp:cNvSpPr/>
      </dsp:nvSpPr>
      <dsp:spPr>
        <a:xfrm>
          <a:off x="169455" y="1529031"/>
          <a:ext cx="669594" cy="393861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Asistente</a:t>
          </a:r>
        </a:p>
      </dsp:txBody>
      <dsp:txXfrm>
        <a:off x="180991" y="1540567"/>
        <a:ext cx="646522" cy="370789"/>
      </dsp:txXfrm>
    </dsp:sp>
    <dsp:sp modelId="{AF0B689A-407D-F046-8A68-72DB355F8AA0}">
      <dsp:nvSpPr>
        <dsp:cNvPr id="0" name=""/>
        <dsp:cNvSpPr/>
      </dsp:nvSpPr>
      <dsp:spPr>
        <a:xfrm>
          <a:off x="874312" y="1849378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3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3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3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71DF4269-2204-9E4C-825F-8429CC926678}">
      <dsp:nvSpPr>
        <dsp:cNvPr id="0" name=""/>
        <dsp:cNvSpPr/>
      </dsp:nvSpPr>
      <dsp:spPr>
        <a:xfrm>
          <a:off x="976233" y="1946203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Director Comercial y Operaciones</a:t>
          </a:r>
        </a:p>
      </dsp:txBody>
      <dsp:txXfrm>
        <a:off x="993293" y="1963263"/>
        <a:ext cx="883170" cy="548359"/>
      </dsp:txXfrm>
    </dsp:sp>
    <dsp:sp modelId="{13900E4F-1518-1840-B575-66D226CF11F4}">
      <dsp:nvSpPr>
        <dsp:cNvPr id="0" name=""/>
        <dsp:cNvSpPr/>
      </dsp:nvSpPr>
      <dsp:spPr>
        <a:xfrm>
          <a:off x="313745" y="2698636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4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4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4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B426A6A8-411F-2348-8CD9-0EA245533822}">
      <dsp:nvSpPr>
        <dsp:cNvPr id="0" name=""/>
        <dsp:cNvSpPr/>
      </dsp:nvSpPr>
      <dsp:spPr>
        <a:xfrm>
          <a:off x="415666" y="2795461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Analista Operativo</a:t>
          </a:r>
        </a:p>
      </dsp:txBody>
      <dsp:txXfrm>
        <a:off x="432726" y="2812521"/>
        <a:ext cx="883170" cy="548359"/>
      </dsp:txXfrm>
    </dsp:sp>
    <dsp:sp modelId="{FD49EE71-1295-004B-A2B8-EE30EA86508A}">
      <dsp:nvSpPr>
        <dsp:cNvPr id="0" name=""/>
        <dsp:cNvSpPr/>
      </dsp:nvSpPr>
      <dsp:spPr>
        <a:xfrm>
          <a:off x="1434879" y="2698636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4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4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4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5D65BCFB-9A98-7B4A-81FE-0912C091F54C}">
      <dsp:nvSpPr>
        <dsp:cNvPr id="0" name=""/>
        <dsp:cNvSpPr/>
      </dsp:nvSpPr>
      <dsp:spPr>
        <a:xfrm>
          <a:off x="1536800" y="2795461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Analista Comercial</a:t>
          </a:r>
        </a:p>
      </dsp:txBody>
      <dsp:txXfrm>
        <a:off x="1553860" y="2812521"/>
        <a:ext cx="883170" cy="548359"/>
      </dsp:txXfrm>
    </dsp:sp>
    <dsp:sp modelId="{F0D36D84-6CAF-1E4D-810E-A230903C12B9}">
      <dsp:nvSpPr>
        <dsp:cNvPr id="0" name=""/>
        <dsp:cNvSpPr/>
      </dsp:nvSpPr>
      <dsp:spPr>
        <a:xfrm>
          <a:off x="3116579" y="1849378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3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3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3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DB0E8042-B7D1-CB41-BFEA-DCACD3A1101E}">
      <dsp:nvSpPr>
        <dsp:cNvPr id="0" name=""/>
        <dsp:cNvSpPr/>
      </dsp:nvSpPr>
      <dsp:spPr>
        <a:xfrm>
          <a:off x="3218500" y="1946203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Director Administrativo y Financiero</a:t>
          </a:r>
        </a:p>
      </dsp:txBody>
      <dsp:txXfrm>
        <a:off x="3235560" y="1963263"/>
        <a:ext cx="883170" cy="548359"/>
      </dsp:txXfrm>
    </dsp:sp>
    <dsp:sp modelId="{275A9982-027F-6A4A-8C9B-C1F13B43FEB4}">
      <dsp:nvSpPr>
        <dsp:cNvPr id="0" name=""/>
        <dsp:cNvSpPr/>
      </dsp:nvSpPr>
      <dsp:spPr>
        <a:xfrm>
          <a:off x="2556012" y="2698636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4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4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4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6581226B-1987-0F43-B195-77608228A427}">
      <dsp:nvSpPr>
        <dsp:cNvPr id="0" name=""/>
        <dsp:cNvSpPr/>
      </dsp:nvSpPr>
      <dsp:spPr>
        <a:xfrm>
          <a:off x="2657933" y="2795461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Analista Administrativa y Financiera</a:t>
          </a:r>
        </a:p>
      </dsp:txBody>
      <dsp:txXfrm>
        <a:off x="2674993" y="2812521"/>
        <a:ext cx="883170" cy="548359"/>
      </dsp:txXfrm>
    </dsp:sp>
    <dsp:sp modelId="{E9ADC94D-AF0B-6245-B4CA-41F6FD56E278}">
      <dsp:nvSpPr>
        <dsp:cNvPr id="0" name=""/>
        <dsp:cNvSpPr/>
      </dsp:nvSpPr>
      <dsp:spPr>
        <a:xfrm>
          <a:off x="2556012" y="3547895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5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5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5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53314618-480F-4D41-9912-2881FD36BEE4}">
      <dsp:nvSpPr>
        <dsp:cNvPr id="0" name=""/>
        <dsp:cNvSpPr/>
      </dsp:nvSpPr>
      <dsp:spPr>
        <a:xfrm>
          <a:off x="2657933" y="3644720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Asistente Administrativo y financiero</a:t>
          </a:r>
        </a:p>
      </dsp:txBody>
      <dsp:txXfrm>
        <a:off x="2674993" y="3661780"/>
        <a:ext cx="883170" cy="548359"/>
      </dsp:txXfrm>
    </dsp:sp>
    <dsp:sp modelId="{381148D9-588B-D849-860C-F13450398251}">
      <dsp:nvSpPr>
        <dsp:cNvPr id="0" name=""/>
        <dsp:cNvSpPr/>
      </dsp:nvSpPr>
      <dsp:spPr>
        <a:xfrm>
          <a:off x="3677145" y="2698636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4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4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4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DA2F7D92-7869-3E4C-B674-8E3EA1960B8A}">
      <dsp:nvSpPr>
        <dsp:cNvPr id="0" name=""/>
        <dsp:cNvSpPr/>
      </dsp:nvSpPr>
      <dsp:spPr>
        <a:xfrm>
          <a:off x="3779067" y="2795461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Contabilidad</a:t>
          </a:r>
        </a:p>
      </dsp:txBody>
      <dsp:txXfrm>
        <a:off x="3796127" y="2812521"/>
        <a:ext cx="883170" cy="548359"/>
      </dsp:txXfrm>
    </dsp:sp>
    <dsp:sp modelId="{64F0BFBA-6EC7-0A47-9CC2-71C25EFEEBBC}">
      <dsp:nvSpPr>
        <dsp:cNvPr id="0" name=""/>
        <dsp:cNvSpPr/>
      </dsp:nvSpPr>
      <dsp:spPr>
        <a:xfrm>
          <a:off x="3677145" y="3547895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5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5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5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EE8891E9-41C1-BB4F-8DEE-33869370E7D4}">
      <dsp:nvSpPr>
        <dsp:cNvPr id="0" name=""/>
        <dsp:cNvSpPr/>
      </dsp:nvSpPr>
      <dsp:spPr>
        <a:xfrm>
          <a:off x="3779067" y="3644720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Asistente Contable</a:t>
          </a:r>
        </a:p>
      </dsp:txBody>
      <dsp:txXfrm>
        <a:off x="3796127" y="3661780"/>
        <a:ext cx="883170" cy="548359"/>
      </dsp:txXfrm>
    </dsp:sp>
    <dsp:sp modelId="{5D03FCC3-F16C-DE43-8A06-F9E92B25C5AA}">
      <dsp:nvSpPr>
        <dsp:cNvPr id="0" name=""/>
        <dsp:cNvSpPr/>
      </dsp:nvSpPr>
      <dsp:spPr>
        <a:xfrm>
          <a:off x="4237712" y="1849378"/>
          <a:ext cx="917290" cy="582479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3">
                <a:hueOff val="0"/>
                <a:satOff val="0"/>
                <a:lumOff val="0"/>
                <a:alphaOff val="0"/>
                <a:lumMod val="110000"/>
                <a:satMod val="105000"/>
                <a:tint val="67000"/>
              </a:schemeClr>
            </a:gs>
            <a:gs pos="50000">
              <a:schemeClr val="accent3">
                <a:hueOff val="0"/>
                <a:satOff val="0"/>
                <a:lumOff val="0"/>
                <a:alphaOff val="0"/>
                <a:lumMod val="105000"/>
                <a:satMod val="103000"/>
                <a:tint val="73000"/>
              </a:schemeClr>
            </a:gs>
            <a:gs pos="100000">
              <a:schemeClr val="accent3">
                <a:hueOff val="0"/>
                <a:satOff val="0"/>
                <a:lumOff val="0"/>
                <a:alphaOff val="0"/>
                <a:lumMod val="105000"/>
                <a:satMod val="109000"/>
                <a:tint val="81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</dsp:sp>
    <dsp:sp modelId="{E5E1515F-4FD1-974A-848D-DACA86336978}">
      <dsp:nvSpPr>
        <dsp:cNvPr id="0" name=""/>
        <dsp:cNvSpPr/>
      </dsp:nvSpPr>
      <dsp:spPr>
        <a:xfrm>
          <a:off x="4339633" y="1946203"/>
          <a:ext cx="917290" cy="58247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s-ES" sz="800" b="1" kern="1200" dirty="0">
              <a:latin typeface="Arial" panose="020B0604020202020204" pitchFamily="34" charset="0"/>
              <a:cs typeface="Arial" panose="020B0604020202020204" pitchFamily="34" charset="0"/>
            </a:rPr>
            <a:t>Jurídica</a:t>
          </a:r>
        </a:p>
      </dsp:txBody>
      <dsp:txXfrm>
        <a:off x="4356693" y="1963263"/>
        <a:ext cx="883170" cy="548359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441</xdr:row>
      <xdr:rowOff>0</xdr:rowOff>
    </xdr:from>
    <xdr:to>
      <xdr:col>4</xdr:col>
      <xdr:colOff>600075</xdr:colOff>
      <xdr:row>441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95250</xdr:rowOff>
    </xdr:from>
    <xdr:to>
      <xdr:col>7</xdr:col>
      <xdr:colOff>200026</xdr:colOff>
      <xdr:row>20</xdr:row>
      <xdr:rowOff>83820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7D40F92A-1355-7941-B4AC-6A02A1887F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2:X116"/>
  <sheetViews>
    <sheetView showGridLines="0" zoomScale="125" workbookViewId="0">
      <pane xSplit="3" ySplit="6" topLeftCell="D110" activePane="bottomRight" state="frozen"/>
      <selection activeCell="G17" sqref="G17"/>
      <selection pane="topRight" activeCell="G17" sqref="G17"/>
      <selection pane="bottomLeft" activeCell="G17" sqref="G17"/>
      <selection pane="bottomRight" activeCell="F114" activeCellId="1" sqref="G14 F114"/>
    </sheetView>
  </sheetViews>
  <sheetFormatPr baseColWidth="10" defaultColWidth="11.42578125" defaultRowHeight="14.25"/>
  <cols>
    <col min="1" max="1" width="13" style="3" customWidth="1"/>
    <col min="2" max="2" width="7.28515625" style="3" customWidth="1"/>
    <col min="3" max="3" width="28.7109375" style="3" customWidth="1"/>
    <col min="4" max="4" width="13.42578125" style="3" customWidth="1"/>
    <col min="5" max="6" width="19" style="3" bestFit="1" customWidth="1"/>
    <col min="7" max="7" width="20.140625" style="3" bestFit="1" customWidth="1"/>
    <col min="8" max="8" width="21.42578125" style="3" customWidth="1"/>
    <col min="9" max="13" width="20.140625" style="3" bestFit="1" customWidth="1"/>
    <col min="14" max="14" width="20.42578125" style="3" customWidth="1"/>
    <col min="15" max="24" width="20.140625" style="3" bestFit="1" customWidth="1"/>
    <col min="25" max="16384" width="11.42578125" style="3"/>
  </cols>
  <sheetData>
    <row r="2" spans="2:8" ht="15">
      <c r="B2" s="1" t="s">
        <v>0</v>
      </c>
      <c r="C2" s="2"/>
      <c r="D2" s="2"/>
      <c r="E2" s="2"/>
      <c r="F2" s="2"/>
      <c r="G2" s="2"/>
    </row>
    <row r="3" spans="2:8" ht="15">
      <c r="B3" s="1" t="s">
        <v>332</v>
      </c>
      <c r="C3" s="1"/>
      <c r="D3" s="1"/>
      <c r="E3" s="1"/>
      <c r="F3" s="1"/>
      <c r="G3" s="1"/>
    </row>
    <row r="4" spans="2:8" ht="15">
      <c r="B4" s="4" t="s">
        <v>1</v>
      </c>
      <c r="C4" s="1"/>
      <c r="D4" s="1"/>
      <c r="E4" s="1"/>
      <c r="F4" s="1"/>
      <c r="G4" s="1"/>
    </row>
    <row r="5" spans="2:8" ht="15">
      <c r="B5" s="1" t="s">
        <v>2</v>
      </c>
      <c r="C5" s="1"/>
      <c r="D5" s="1"/>
      <c r="E5" s="1"/>
      <c r="F5" s="1"/>
      <c r="G5" s="1"/>
    </row>
    <row r="6" spans="2:8" ht="15">
      <c r="C6" s="1"/>
      <c r="D6" s="1"/>
      <c r="F6" s="1"/>
      <c r="G6" s="1"/>
      <c r="H6" s="1"/>
    </row>
    <row r="7" spans="2:8" ht="15">
      <c r="B7" s="5"/>
      <c r="C7" s="2"/>
      <c r="D7" s="2"/>
      <c r="E7" s="2"/>
      <c r="F7" s="2"/>
      <c r="G7" s="2"/>
    </row>
    <row r="8" spans="2:8" ht="13.5" customHeight="1" thickBot="1">
      <c r="B8" s="464" t="s">
        <v>3</v>
      </c>
      <c r="C8" s="464"/>
      <c r="D8" s="464"/>
      <c r="E8" s="464"/>
      <c r="F8" s="6"/>
      <c r="G8" s="6"/>
    </row>
    <row r="9" spans="2:8" ht="15">
      <c r="C9" s="7"/>
      <c r="D9" s="472" t="s">
        <v>4</v>
      </c>
      <c r="E9" s="473"/>
      <c r="F9" s="7"/>
    </row>
    <row r="10" spans="2:8" ht="15.75" thickBot="1">
      <c r="B10" s="8"/>
      <c r="C10" s="8"/>
      <c r="D10" s="474"/>
      <c r="E10" s="475"/>
    </row>
    <row r="11" spans="2:8" ht="15">
      <c r="B11" s="9" t="s">
        <v>5</v>
      </c>
      <c r="C11" s="9"/>
      <c r="D11" s="476">
        <v>0</v>
      </c>
      <c r="E11" s="477"/>
    </row>
    <row r="12" spans="2:8" ht="15">
      <c r="B12" s="9" t="s">
        <v>6</v>
      </c>
      <c r="C12" s="9"/>
      <c r="D12" s="478">
        <v>0</v>
      </c>
      <c r="E12" s="479"/>
    </row>
    <row r="13" spans="2:8" ht="15">
      <c r="B13" s="9" t="s">
        <v>7</v>
      </c>
      <c r="C13" s="9"/>
      <c r="D13" s="480">
        <v>150000</v>
      </c>
      <c r="E13" s="481"/>
    </row>
    <row r="14" spans="2:8" ht="15">
      <c r="B14" s="9" t="s">
        <v>8</v>
      </c>
      <c r="C14" s="9"/>
      <c r="D14" s="465">
        <v>150000</v>
      </c>
      <c r="E14" s="466"/>
    </row>
    <row r="15" spans="2:8" ht="15">
      <c r="B15" s="9" t="s">
        <v>331</v>
      </c>
      <c r="C15" s="9"/>
      <c r="D15" s="465">
        <v>375000</v>
      </c>
      <c r="E15" s="466"/>
    </row>
    <row r="16" spans="2:8" ht="15.75" thickBot="1">
      <c r="B16" s="10" t="s">
        <v>10</v>
      </c>
      <c r="C16" s="10"/>
      <c r="D16" s="467">
        <v>125000</v>
      </c>
      <c r="E16" s="468"/>
    </row>
    <row r="17" spans="2:8" ht="15" thickBot="1"/>
    <row r="18" spans="2:8" ht="15.75" thickBot="1">
      <c r="B18" s="432" t="s">
        <v>11</v>
      </c>
      <c r="C18" s="431"/>
      <c r="D18" s="431"/>
      <c r="E18" s="431"/>
      <c r="F18" s="431"/>
      <c r="G18" s="433"/>
      <c r="H18" s="431"/>
    </row>
    <row r="19" spans="2:8" ht="15">
      <c r="B19" s="15" t="s">
        <v>12</v>
      </c>
      <c r="G19" s="16"/>
      <c r="H19" s="16"/>
    </row>
    <row r="20" spans="2:8" ht="15">
      <c r="B20" s="424"/>
      <c r="C20" s="19" t="s">
        <v>13</v>
      </c>
      <c r="D20" s="434"/>
      <c r="G20" s="16"/>
      <c r="H20" s="16"/>
    </row>
    <row r="21" spans="2:8" ht="15">
      <c r="B21" s="424" t="s">
        <v>14</v>
      </c>
      <c r="C21" s="19" t="s">
        <v>15</v>
      </c>
      <c r="F21" s="425">
        <v>1</v>
      </c>
      <c r="G21" s="16"/>
      <c r="H21" s="16"/>
    </row>
    <row r="22" spans="2:8" ht="15">
      <c r="B22" s="424"/>
      <c r="C22" s="19"/>
      <c r="G22" s="16"/>
      <c r="H22" s="16"/>
    </row>
    <row r="23" spans="2:8" ht="15">
      <c r="B23" s="424" t="s">
        <v>16</v>
      </c>
      <c r="C23" s="19" t="s">
        <v>17</v>
      </c>
      <c r="D23" s="434"/>
      <c r="F23" s="426">
        <f>1-F21</f>
        <v>0</v>
      </c>
      <c r="G23" s="16"/>
      <c r="H23" s="16"/>
    </row>
    <row r="24" spans="2:8" ht="15">
      <c r="B24" s="15"/>
      <c r="C24" s="19"/>
      <c r="F24" s="19"/>
      <c r="G24" s="16"/>
      <c r="H24" s="16"/>
    </row>
    <row r="25" spans="2:8" ht="15">
      <c r="B25" s="15"/>
      <c r="C25" s="19" t="s">
        <v>18</v>
      </c>
      <c r="F25" s="425">
        <v>0.31390000000000001</v>
      </c>
      <c r="G25" s="63" t="s">
        <v>19</v>
      </c>
      <c r="H25" s="20"/>
    </row>
    <row r="26" spans="2:8" ht="15">
      <c r="B26" s="15"/>
      <c r="C26" s="19"/>
      <c r="F26" s="19"/>
      <c r="G26" s="63"/>
      <c r="H26" s="16"/>
    </row>
    <row r="27" spans="2:8" ht="15">
      <c r="B27" s="15"/>
      <c r="C27" s="435" t="s">
        <v>20</v>
      </c>
      <c r="F27" s="427">
        <v>5</v>
      </c>
      <c r="G27" s="63" t="s">
        <v>21</v>
      </c>
      <c r="H27" s="16"/>
    </row>
    <row r="28" spans="2:8" ht="15">
      <c r="B28" s="15"/>
      <c r="C28" s="435"/>
      <c r="F28" s="19"/>
      <c r="G28" s="63"/>
      <c r="H28" s="16"/>
    </row>
    <row r="29" spans="2:8" ht="15">
      <c r="B29" s="15"/>
      <c r="C29" s="435" t="s">
        <v>22</v>
      </c>
      <c r="D29" s="2"/>
      <c r="F29" s="427">
        <v>1</v>
      </c>
      <c r="G29" s="63" t="s">
        <v>23</v>
      </c>
      <c r="H29" s="16"/>
    </row>
    <row r="30" spans="2:8" ht="15">
      <c r="B30" s="15"/>
      <c r="C30" s="435"/>
      <c r="D30" s="2"/>
      <c r="F30" s="19"/>
      <c r="G30" s="63"/>
      <c r="H30" s="16"/>
    </row>
    <row r="31" spans="2:8" ht="15">
      <c r="B31" s="15" t="s">
        <v>24</v>
      </c>
      <c r="C31" s="435"/>
      <c r="D31" s="2"/>
      <c r="F31" s="19"/>
      <c r="G31" s="63"/>
      <c r="H31" s="16"/>
    </row>
    <row r="32" spans="2:8" ht="15">
      <c r="B32" s="15"/>
      <c r="C32" s="435"/>
      <c r="D32" s="2"/>
      <c r="F32" s="19"/>
      <c r="G32" s="63"/>
      <c r="H32" s="16"/>
    </row>
    <row r="33" spans="2:13" ht="15">
      <c r="B33" s="15"/>
      <c r="C33" s="19" t="s">
        <v>25</v>
      </c>
      <c r="F33" s="425">
        <v>0.31390000000000001</v>
      </c>
      <c r="G33" s="63" t="s">
        <v>19</v>
      </c>
      <c r="H33" s="16"/>
    </row>
    <row r="34" spans="2:13" ht="15.75" thickBot="1">
      <c r="B34" s="428"/>
      <c r="C34" s="429"/>
      <c r="D34" s="22"/>
      <c r="E34" s="23"/>
      <c r="F34" s="430"/>
      <c r="G34" s="436"/>
      <c r="H34" s="24"/>
    </row>
    <row r="35" spans="2:13" ht="15.75" thickBot="1">
      <c r="B35" s="18"/>
      <c r="C35" s="21"/>
      <c r="D35" s="2"/>
      <c r="F35" s="18"/>
      <c r="G35" s="18"/>
    </row>
    <row r="36" spans="2:13" ht="15">
      <c r="B36" s="25" t="s">
        <v>26</v>
      </c>
      <c r="C36" s="26"/>
      <c r="D36" s="26"/>
      <c r="E36" s="26"/>
      <c r="F36" s="26"/>
      <c r="G36" s="26"/>
      <c r="H36" s="27"/>
      <c r="I36" s="27"/>
      <c r="J36" s="27"/>
      <c r="K36" s="27"/>
    </row>
    <row r="37" spans="2:13" ht="15">
      <c r="B37" s="28"/>
      <c r="G37" s="29"/>
      <c r="K37" s="16"/>
    </row>
    <row r="38" spans="2:13">
      <c r="B38" s="17"/>
      <c r="C38" s="437" t="s">
        <v>27</v>
      </c>
      <c r="K38" s="16"/>
    </row>
    <row r="39" spans="2:13" ht="15">
      <c r="B39" s="15" t="s">
        <v>28</v>
      </c>
      <c r="C39" s="19" t="s">
        <v>29</v>
      </c>
      <c r="G39" s="438">
        <v>30</v>
      </c>
      <c r="H39" s="30" t="s">
        <v>30</v>
      </c>
      <c r="K39" s="16"/>
    </row>
    <row r="40" spans="2:13" ht="15">
      <c r="B40" s="15"/>
      <c r="C40" s="19"/>
      <c r="G40" s="426">
        <f>+G39/360</f>
        <v>8.3333333333333329E-2</v>
      </c>
      <c r="H40" s="30"/>
      <c r="I40" s="31"/>
      <c r="K40" s="16"/>
    </row>
    <row r="41" spans="2:13" ht="15">
      <c r="B41" s="15"/>
      <c r="C41" s="19"/>
      <c r="G41" s="439"/>
      <c r="H41" s="30"/>
      <c r="I41" s="31"/>
      <c r="K41" s="16"/>
    </row>
    <row r="42" spans="2:13" ht="15">
      <c r="B42" s="15" t="s">
        <v>31</v>
      </c>
      <c r="C42" s="19" t="s">
        <v>32</v>
      </c>
      <c r="G42" s="440">
        <v>45</v>
      </c>
      <c r="H42" s="30" t="s">
        <v>33</v>
      </c>
      <c r="I42" s="31"/>
      <c r="K42" s="16"/>
    </row>
    <row r="43" spans="2:13" ht="15">
      <c r="B43" s="17"/>
      <c r="G43" s="426">
        <f>+G42/360</f>
        <v>0.125</v>
      </c>
      <c r="H43" s="30"/>
      <c r="I43" s="31"/>
      <c r="K43" s="16"/>
    </row>
    <row r="44" spans="2:13" ht="15">
      <c r="B44" s="15" t="s">
        <v>34</v>
      </c>
      <c r="C44" s="19" t="s">
        <v>35</v>
      </c>
      <c r="G44" s="440">
        <v>0</v>
      </c>
      <c r="H44" s="30" t="s">
        <v>33</v>
      </c>
      <c r="I44" s="31"/>
      <c r="K44" s="16"/>
    </row>
    <row r="45" spans="2:13" ht="15">
      <c r="B45" s="17"/>
      <c r="G45" s="426">
        <f>+G44/360</f>
        <v>0</v>
      </c>
      <c r="H45" s="30"/>
      <c r="I45" s="31"/>
      <c r="K45" s="16"/>
    </row>
    <row r="46" spans="2:13" ht="15">
      <c r="B46" s="15"/>
      <c r="C46" s="437" t="s">
        <v>36</v>
      </c>
      <c r="G46" s="29"/>
      <c r="H46" s="30"/>
      <c r="I46" s="31"/>
      <c r="K46" s="16"/>
    </row>
    <row r="47" spans="2:13" ht="15.75" thickBot="1">
      <c r="B47" s="428" t="s">
        <v>37</v>
      </c>
      <c r="C47" s="429" t="s">
        <v>38</v>
      </c>
      <c r="D47" s="23"/>
      <c r="E47" s="23"/>
      <c r="F47" s="23"/>
      <c r="G47" s="441">
        <v>8.3299999999999999E-2</v>
      </c>
      <c r="H47" s="32" t="s">
        <v>39</v>
      </c>
      <c r="I47" s="33"/>
      <c r="J47" s="23"/>
      <c r="K47" s="24"/>
      <c r="M47" s="34"/>
    </row>
    <row r="48" spans="2:13" ht="15.75" thickBot="1">
      <c r="B48" s="18"/>
      <c r="C48" s="21"/>
      <c r="G48" s="35"/>
      <c r="H48" s="30"/>
      <c r="I48" s="31"/>
    </row>
    <row r="49" spans="2:24" ht="15">
      <c r="B49" s="25" t="s">
        <v>40</v>
      </c>
      <c r="C49" s="36"/>
      <c r="D49" s="26"/>
      <c r="E49" s="26"/>
      <c r="F49" s="26"/>
      <c r="G49" s="26"/>
      <c r="H49" s="26"/>
      <c r="I49" s="37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9"/>
    </row>
    <row r="50" spans="2:24">
      <c r="B50" s="17"/>
      <c r="X50" s="16"/>
    </row>
    <row r="51" spans="2:24" ht="15">
      <c r="B51" s="28"/>
      <c r="E51" s="40" t="s">
        <v>41</v>
      </c>
      <c r="F51" s="40" t="s">
        <v>42</v>
      </c>
      <c r="G51" s="40" t="s">
        <v>43</v>
      </c>
      <c r="H51" s="40" t="s">
        <v>44</v>
      </c>
      <c r="I51" s="40" t="s">
        <v>45</v>
      </c>
      <c r="J51" s="40" t="s">
        <v>46</v>
      </c>
      <c r="K51" s="40" t="s">
        <v>47</v>
      </c>
      <c r="L51" s="40" t="s">
        <v>48</v>
      </c>
      <c r="M51" s="40" t="s">
        <v>49</v>
      </c>
      <c r="N51" s="40" t="s">
        <v>50</v>
      </c>
      <c r="O51" s="40" t="s">
        <v>51</v>
      </c>
      <c r="P51" s="40" t="s">
        <v>52</v>
      </c>
      <c r="Q51" s="40" t="s">
        <v>53</v>
      </c>
      <c r="R51" s="40" t="s">
        <v>54</v>
      </c>
      <c r="S51" s="40" t="s">
        <v>55</v>
      </c>
      <c r="T51" s="40" t="s">
        <v>56</v>
      </c>
      <c r="U51" s="40" t="s">
        <v>57</v>
      </c>
      <c r="V51" s="40" t="s">
        <v>58</v>
      </c>
      <c r="W51" s="40" t="s">
        <v>59</v>
      </c>
      <c r="X51" s="41" t="s">
        <v>60</v>
      </c>
    </row>
    <row r="52" spans="2:24" ht="15">
      <c r="B52" s="28"/>
      <c r="C52" s="42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4"/>
    </row>
    <row r="53" spans="2:24" ht="15">
      <c r="B53" s="28"/>
      <c r="C53" s="45" t="s">
        <v>61</v>
      </c>
      <c r="E53" s="46">
        <v>0.12</v>
      </c>
      <c r="F53" s="46">
        <v>7.0000000000000007E-2</v>
      </c>
      <c r="G53" s="46">
        <v>4.3999999999999997E-2</v>
      </c>
      <c r="H53" s="46">
        <v>3.7999999999999999E-2</v>
      </c>
      <c r="I53" s="46">
        <v>3.4000000000000002E-2</v>
      </c>
      <c r="J53" s="46">
        <v>0.03</v>
      </c>
      <c r="K53" s="46">
        <v>0.03</v>
      </c>
      <c r="L53" s="46">
        <v>0.03</v>
      </c>
      <c r="M53" s="46">
        <v>0.03</v>
      </c>
      <c r="N53" s="46">
        <v>0.03</v>
      </c>
      <c r="O53" s="46">
        <v>0.03</v>
      </c>
      <c r="P53" s="46">
        <v>0.03</v>
      </c>
      <c r="Q53" s="46">
        <v>0.03</v>
      </c>
      <c r="R53" s="46">
        <v>0.03</v>
      </c>
      <c r="S53" s="46">
        <v>0.03</v>
      </c>
      <c r="T53" s="46">
        <v>0.03</v>
      </c>
      <c r="U53" s="46">
        <v>0.03</v>
      </c>
      <c r="V53" s="46">
        <v>0.03</v>
      </c>
      <c r="W53" s="46">
        <v>0.03</v>
      </c>
      <c r="X53" s="46">
        <v>0.03</v>
      </c>
    </row>
    <row r="54" spans="2:24" ht="15">
      <c r="B54" s="28"/>
      <c r="C54" s="45" t="s">
        <v>62</v>
      </c>
      <c r="E54" s="46">
        <v>1.6E-2</v>
      </c>
      <c r="F54" s="46">
        <v>2.5000000000000001E-2</v>
      </c>
      <c r="G54" s="46">
        <v>2.8000000000000001E-2</v>
      </c>
      <c r="H54" s="46">
        <v>2.8000000000000001E-2</v>
      </c>
      <c r="I54" s="46">
        <v>0.03</v>
      </c>
      <c r="J54" s="46">
        <v>3.2000000000000001E-2</v>
      </c>
      <c r="K54" s="46">
        <v>3.2000000000000001E-2</v>
      </c>
      <c r="L54" s="46">
        <v>3.2000000000000001E-2</v>
      </c>
      <c r="M54" s="46">
        <v>3.2000000000000001E-2</v>
      </c>
      <c r="N54" s="46">
        <v>3.2000000000000001E-2</v>
      </c>
      <c r="O54" s="46">
        <v>3.2000000000000001E-2</v>
      </c>
      <c r="P54" s="46">
        <v>3.2000000000000001E-2</v>
      </c>
      <c r="Q54" s="46">
        <v>3.2000000000000001E-2</v>
      </c>
      <c r="R54" s="46">
        <v>3.2000000000000001E-2</v>
      </c>
      <c r="S54" s="46">
        <v>3.2000000000000001E-2</v>
      </c>
      <c r="T54" s="46">
        <v>3.2000000000000001E-2</v>
      </c>
      <c r="U54" s="46">
        <v>3.2000000000000001E-2</v>
      </c>
      <c r="V54" s="46">
        <v>3.2000000000000001E-2</v>
      </c>
      <c r="W54" s="46">
        <v>3.2000000000000001E-2</v>
      </c>
      <c r="X54" s="46">
        <v>3.2000000000000001E-2</v>
      </c>
    </row>
    <row r="55" spans="2:24" ht="15" thickBot="1">
      <c r="B55" s="47"/>
      <c r="C55" s="23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50"/>
    </row>
    <row r="56" spans="2:24" ht="15">
      <c r="B56" s="18"/>
      <c r="C56" s="21"/>
      <c r="G56" s="35"/>
      <c r="H56" s="30"/>
      <c r="I56" s="31"/>
    </row>
    <row r="57" spans="2:24" ht="12.75" customHeight="1">
      <c r="B57" s="18"/>
      <c r="C57" s="21"/>
      <c r="G57" s="35"/>
      <c r="H57" s="30"/>
      <c r="I57" s="31"/>
    </row>
    <row r="58" spans="2:24" ht="12.75" customHeight="1" thickBot="1"/>
    <row r="59" spans="2:24" ht="15.75" thickBot="1">
      <c r="B59" s="442" t="s">
        <v>63</v>
      </c>
      <c r="C59" s="443"/>
      <c r="D59" s="443"/>
      <c r="E59" s="443"/>
      <c r="F59" s="443"/>
      <c r="G59" s="443"/>
      <c r="H59" s="443"/>
      <c r="I59" s="443"/>
      <c r="J59" s="443"/>
      <c r="K59" s="443"/>
      <c r="L59" s="443"/>
      <c r="M59" s="443"/>
      <c r="N59" s="443"/>
      <c r="O59" s="443"/>
      <c r="P59" s="443"/>
      <c r="Q59" s="443"/>
      <c r="R59" s="443"/>
      <c r="S59" s="443"/>
      <c r="T59" s="443"/>
      <c r="U59" s="443"/>
      <c r="V59" s="443"/>
      <c r="W59" s="443"/>
      <c r="X59" s="444"/>
    </row>
    <row r="60" spans="2:24">
      <c r="B60" s="17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6"/>
    </row>
    <row r="61" spans="2:24" ht="15">
      <c r="B61" s="28"/>
      <c r="E61" s="40" t="s">
        <v>41</v>
      </c>
      <c r="F61" s="40" t="s">
        <v>42</v>
      </c>
      <c r="G61" s="40" t="s">
        <v>43</v>
      </c>
      <c r="H61" s="40" t="s">
        <v>44</v>
      </c>
      <c r="I61" s="40" t="s">
        <v>45</v>
      </c>
      <c r="J61" s="40" t="s">
        <v>46</v>
      </c>
      <c r="K61" s="40" t="s">
        <v>47</v>
      </c>
      <c r="L61" s="40" t="s">
        <v>48</v>
      </c>
      <c r="M61" s="40" t="s">
        <v>49</v>
      </c>
      <c r="N61" s="40" t="s">
        <v>50</v>
      </c>
      <c r="O61" s="40" t="s">
        <v>51</v>
      </c>
      <c r="P61" s="40" t="s">
        <v>52</v>
      </c>
      <c r="Q61" s="40" t="s">
        <v>53</v>
      </c>
      <c r="R61" s="40" t="s">
        <v>54</v>
      </c>
      <c r="S61" s="40" t="s">
        <v>55</v>
      </c>
      <c r="T61" s="40" t="s">
        <v>56</v>
      </c>
      <c r="U61" s="40" t="s">
        <v>57</v>
      </c>
      <c r="V61" s="40" t="s">
        <v>58</v>
      </c>
      <c r="W61" s="40" t="s">
        <v>59</v>
      </c>
      <c r="X61" s="41" t="s">
        <v>60</v>
      </c>
    </row>
    <row r="62" spans="2:24" ht="15">
      <c r="B62" s="28"/>
      <c r="C62" s="42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4"/>
    </row>
    <row r="63" spans="2:24" ht="15">
      <c r="B63" s="15" t="s">
        <v>64</v>
      </c>
      <c r="C63" s="19"/>
      <c r="E63" s="412">
        <v>8730953</v>
      </c>
      <c r="F63" s="413">
        <f>+E63*(1+E$53)*(1+E$54)</f>
        <v>9935126.0377600007</v>
      </c>
      <c r="G63" s="413">
        <f t="shared" ref="G63:X63" si="0">+F63*(1+F$53)*(1+F$54)</f>
        <v>10896349.48191328</v>
      </c>
      <c r="H63" s="413">
        <f t="shared" si="0"/>
        <v>11694310.947172754</v>
      </c>
      <c r="I63" s="413">
        <f t="shared" si="0"/>
        <v>12478578.216533948</v>
      </c>
      <c r="J63" s="413">
        <f t="shared" si="0"/>
        <v>13289935.372172985</v>
      </c>
      <c r="K63" s="413">
        <f t="shared" si="0"/>
        <v>14126669.703204997</v>
      </c>
      <c r="L63" s="413">
        <f t="shared" si="0"/>
        <v>15016084.827718783</v>
      </c>
      <c r="M63" s="413">
        <f t="shared" si="0"/>
        <v>15961497.52847196</v>
      </c>
      <c r="N63" s="413">
        <f t="shared" si="0"/>
        <v>16966433.412864555</v>
      </c>
      <c r="O63" s="413">
        <f t="shared" si="0"/>
        <v>18034640.060538508</v>
      </c>
      <c r="P63" s="413">
        <f t="shared" si="0"/>
        <v>19170100.998750016</v>
      </c>
      <c r="Q63" s="413">
        <f t="shared" si="0"/>
        <v>20377050.557631321</v>
      </c>
      <c r="R63" s="413">
        <f t="shared" si="0"/>
        <v>21659989.660739791</v>
      </c>
      <c r="S63" s="413">
        <f t="shared" si="0"/>
        <v>23023702.609779969</v>
      </c>
      <c r="T63" s="413">
        <f t="shared" si="0"/>
        <v>24473274.926091716</v>
      </c>
      <c r="U63" s="413">
        <f t="shared" si="0"/>
        <v>26014112.315438453</v>
      </c>
      <c r="V63" s="413">
        <f t="shared" si="0"/>
        <v>27651960.826818459</v>
      </c>
      <c r="W63" s="413">
        <f t="shared" si="0"/>
        <v>29392928.280474953</v>
      </c>
      <c r="X63" s="414">
        <f t="shared" si="0"/>
        <v>31243507.045013659</v>
      </c>
    </row>
    <row r="64" spans="2:24" ht="15" thickBot="1">
      <c r="B64" s="47"/>
      <c r="C64" s="51"/>
      <c r="D64" s="23"/>
      <c r="E64" s="52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53"/>
    </row>
    <row r="65" spans="2:24" ht="15.75" thickBot="1">
      <c r="C65" s="45"/>
      <c r="E65" s="54"/>
      <c r="F65" s="55"/>
      <c r="G65" s="55"/>
      <c r="H65" s="55"/>
      <c r="I65" s="55"/>
      <c r="J65" s="55"/>
      <c r="K65" s="55"/>
      <c r="L65" s="55"/>
      <c r="M65" s="55"/>
      <c r="N65" s="55"/>
      <c r="P65" s="19"/>
    </row>
    <row r="66" spans="2:24" ht="15">
      <c r="B66" s="445" t="s">
        <v>65</v>
      </c>
      <c r="C66" s="446"/>
      <c r="D66" s="446"/>
      <c r="E66" s="446"/>
      <c r="F66" s="446"/>
      <c r="G66" s="446"/>
      <c r="H66" s="446"/>
      <c r="I66" s="446"/>
      <c r="J66" s="446"/>
      <c r="K66" s="446"/>
      <c r="L66" s="446"/>
      <c r="M66" s="446"/>
      <c r="N66" s="446"/>
      <c r="O66" s="446"/>
      <c r="P66" s="446"/>
      <c r="Q66" s="446"/>
      <c r="R66" s="446"/>
      <c r="S66" s="446"/>
      <c r="T66" s="446"/>
      <c r="U66" s="446"/>
      <c r="V66" s="446"/>
      <c r="W66" s="446"/>
      <c r="X66" s="447"/>
    </row>
    <row r="67" spans="2:24" ht="15">
      <c r="B67" s="17"/>
      <c r="P67" s="19"/>
      <c r="X67" s="16"/>
    </row>
    <row r="68" spans="2:24" ht="15">
      <c r="B68" s="15" t="s">
        <v>66</v>
      </c>
      <c r="E68" s="40" t="s">
        <v>41</v>
      </c>
      <c r="F68" s="40" t="s">
        <v>42</v>
      </c>
      <c r="G68" s="40" t="s">
        <v>43</v>
      </c>
      <c r="H68" s="40" t="s">
        <v>44</v>
      </c>
      <c r="I68" s="40" t="s">
        <v>45</v>
      </c>
      <c r="J68" s="40" t="s">
        <v>46</v>
      </c>
      <c r="K68" s="40" t="s">
        <v>47</v>
      </c>
      <c r="L68" s="40" t="s">
        <v>48</v>
      </c>
      <c r="M68" s="40" t="s">
        <v>49</v>
      </c>
      <c r="N68" s="40" t="s">
        <v>50</v>
      </c>
      <c r="O68" s="40" t="s">
        <v>51</v>
      </c>
      <c r="P68" s="40" t="s">
        <v>52</v>
      </c>
      <c r="Q68" s="40" t="s">
        <v>53</v>
      </c>
      <c r="R68" s="40" t="s">
        <v>54</v>
      </c>
      <c r="S68" s="40" t="s">
        <v>55</v>
      </c>
      <c r="T68" s="40" t="s">
        <v>56</v>
      </c>
      <c r="U68" s="40" t="s">
        <v>57</v>
      </c>
      <c r="V68" s="40" t="s">
        <v>58</v>
      </c>
      <c r="W68" s="40" t="s">
        <v>59</v>
      </c>
      <c r="X68" s="41" t="s">
        <v>60</v>
      </c>
    </row>
    <row r="69" spans="2:24">
      <c r="B69" s="17"/>
      <c r="C69" s="45"/>
      <c r="E69" s="54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6"/>
    </row>
    <row r="70" spans="2:24" ht="12.75" customHeight="1">
      <c r="B70" s="17"/>
      <c r="C70" s="3" t="s">
        <v>67</v>
      </c>
      <c r="D70" s="354">
        <v>0.85</v>
      </c>
      <c r="E70" s="415">
        <f>+$D70*E$63</f>
        <v>7421310.0499999998</v>
      </c>
      <c r="F70" s="415">
        <f t="shared" ref="F70:M70" si="1">+$D70*F$63</f>
        <v>8444857.132096</v>
      </c>
      <c r="G70" s="415">
        <f t="shared" si="1"/>
        <v>9261897.0596262868</v>
      </c>
      <c r="H70" s="415">
        <f t="shared" si="1"/>
        <v>9940164.3050968405</v>
      </c>
      <c r="I70" s="415">
        <f t="shared" si="1"/>
        <v>10606791.484053856</v>
      </c>
      <c r="J70" s="415">
        <f t="shared" si="1"/>
        <v>11296445.066347037</v>
      </c>
      <c r="K70" s="415">
        <f>+$D70*K$63</f>
        <v>12007669.247724246</v>
      </c>
      <c r="L70" s="415">
        <f t="shared" si="1"/>
        <v>12763672.103560966</v>
      </c>
      <c r="M70" s="415">
        <f t="shared" si="1"/>
        <v>13567272.899201166</v>
      </c>
      <c r="N70" s="415">
        <f>+$D70*N$63</f>
        <v>14421468.400934871</v>
      </c>
      <c r="O70" s="415">
        <f t="shared" ref="O70:X72" si="2">+$D70*O$63</f>
        <v>15329444.051457731</v>
      </c>
      <c r="P70" s="415">
        <f t="shared" si="2"/>
        <v>16294585.848937513</v>
      </c>
      <c r="Q70" s="415">
        <f t="shared" si="2"/>
        <v>17320492.973986622</v>
      </c>
      <c r="R70" s="415">
        <f t="shared" si="2"/>
        <v>18410991.211628821</v>
      </c>
      <c r="S70" s="415">
        <f t="shared" si="2"/>
        <v>19570147.218312971</v>
      </c>
      <c r="T70" s="415">
        <f t="shared" si="2"/>
        <v>20802283.687177956</v>
      </c>
      <c r="U70" s="415">
        <f t="shared" si="2"/>
        <v>22111995.468122683</v>
      </c>
      <c r="V70" s="415">
        <f t="shared" si="2"/>
        <v>23504166.702795688</v>
      </c>
      <c r="W70" s="415">
        <f t="shared" si="2"/>
        <v>24983989.038403708</v>
      </c>
      <c r="X70" s="416">
        <f t="shared" si="2"/>
        <v>26556980.98826161</v>
      </c>
    </row>
    <row r="71" spans="2:24" hidden="1">
      <c r="B71" s="17"/>
      <c r="D71" s="57">
        <v>0</v>
      </c>
      <c r="E71" s="415">
        <f t="shared" ref="E71:T72" si="3">+$D71*E$63</f>
        <v>0</v>
      </c>
      <c r="F71" s="415">
        <f t="shared" si="3"/>
        <v>0</v>
      </c>
      <c r="G71" s="415">
        <f t="shared" si="3"/>
        <v>0</v>
      </c>
      <c r="H71" s="415">
        <f t="shared" si="3"/>
        <v>0</v>
      </c>
      <c r="I71" s="415">
        <f t="shared" si="3"/>
        <v>0</v>
      </c>
      <c r="J71" s="415">
        <f t="shared" si="3"/>
        <v>0</v>
      </c>
      <c r="K71" s="415">
        <f t="shared" si="3"/>
        <v>0</v>
      </c>
      <c r="L71" s="415">
        <f t="shared" si="3"/>
        <v>0</v>
      </c>
      <c r="M71" s="415">
        <f t="shared" si="3"/>
        <v>0</v>
      </c>
      <c r="N71" s="415">
        <f t="shared" si="3"/>
        <v>0</v>
      </c>
      <c r="O71" s="415">
        <f t="shared" si="3"/>
        <v>0</v>
      </c>
      <c r="P71" s="415">
        <f t="shared" si="3"/>
        <v>0</v>
      </c>
      <c r="Q71" s="415">
        <f t="shared" si="3"/>
        <v>0</v>
      </c>
      <c r="R71" s="415">
        <f t="shared" si="3"/>
        <v>0</v>
      </c>
      <c r="S71" s="415">
        <f t="shared" si="3"/>
        <v>0</v>
      </c>
      <c r="T71" s="415">
        <f t="shared" si="3"/>
        <v>0</v>
      </c>
      <c r="U71" s="415">
        <f t="shared" si="2"/>
        <v>0</v>
      </c>
      <c r="V71" s="415">
        <f t="shared" si="2"/>
        <v>0</v>
      </c>
      <c r="W71" s="415">
        <f t="shared" si="2"/>
        <v>0</v>
      </c>
      <c r="X71" s="416">
        <f t="shared" si="2"/>
        <v>0</v>
      </c>
    </row>
    <row r="72" spans="2:24" hidden="1">
      <c r="B72" s="17"/>
      <c r="D72" s="57">
        <v>0</v>
      </c>
      <c r="E72" s="415">
        <f t="shared" si="3"/>
        <v>0</v>
      </c>
      <c r="F72" s="415">
        <f t="shared" si="3"/>
        <v>0</v>
      </c>
      <c r="G72" s="415">
        <f t="shared" si="3"/>
        <v>0</v>
      </c>
      <c r="H72" s="415">
        <f t="shared" si="3"/>
        <v>0</v>
      </c>
      <c r="I72" s="415">
        <f t="shared" si="3"/>
        <v>0</v>
      </c>
      <c r="J72" s="415">
        <f t="shared" si="3"/>
        <v>0</v>
      </c>
      <c r="K72" s="415">
        <f t="shared" si="3"/>
        <v>0</v>
      </c>
      <c r="L72" s="415">
        <f t="shared" si="3"/>
        <v>0</v>
      </c>
      <c r="M72" s="415">
        <f t="shared" si="3"/>
        <v>0</v>
      </c>
      <c r="N72" s="415">
        <f t="shared" si="3"/>
        <v>0</v>
      </c>
      <c r="O72" s="415">
        <f t="shared" si="2"/>
        <v>0</v>
      </c>
      <c r="P72" s="415">
        <f t="shared" si="2"/>
        <v>0</v>
      </c>
      <c r="Q72" s="415">
        <f t="shared" si="2"/>
        <v>0</v>
      </c>
      <c r="R72" s="415">
        <f t="shared" si="2"/>
        <v>0</v>
      </c>
      <c r="S72" s="415">
        <f t="shared" si="2"/>
        <v>0</v>
      </c>
      <c r="T72" s="415">
        <f t="shared" si="2"/>
        <v>0</v>
      </c>
      <c r="U72" s="415">
        <f t="shared" si="2"/>
        <v>0</v>
      </c>
      <c r="V72" s="415">
        <f t="shared" si="2"/>
        <v>0</v>
      </c>
      <c r="W72" s="415">
        <f t="shared" si="2"/>
        <v>0</v>
      </c>
      <c r="X72" s="416">
        <f t="shared" si="2"/>
        <v>0</v>
      </c>
    </row>
    <row r="73" spans="2:24" ht="15" hidden="1">
      <c r="B73" s="17"/>
      <c r="D73" s="19"/>
      <c r="E73" s="415">
        <v>0</v>
      </c>
      <c r="F73" s="415">
        <v>0</v>
      </c>
      <c r="G73" s="415">
        <v>0</v>
      </c>
      <c r="H73" s="415">
        <v>0</v>
      </c>
      <c r="I73" s="415">
        <v>0</v>
      </c>
      <c r="J73" s="415">
        <v>0</v>
      </c>
      <c r="K73" s="415">
        <v>0</v>
      </c>
      <c r="L73" s="415">
        <v>0</v>
      </c>
      <c r="M73" s="415">
        <v>0</v>
      </c>
      <c r="N73" s="415">
        <v>0</v>
      </c>
      <c r="O73" s="415">
        <f>+$G$101*Proyecciones!N$96+$G$102*Proyecciones!N$101+Bases!$G$103*Proyecciones!N$106+Bases!$G$104*Proyecciones!N$111</f>
        <v>0</v>
      </c>
      <c r="P73" s="415">
        <f>+$G$101*Proyecciones!O$96+$G$102*Proyecciones!O$101+Bases!$G$103*Proyecciones!O$106+Bases!$G$104*Proyecciones!O$111</f>
        <v>0</v>
      </c>
      <c r="Q73" s="415">
        <f>+$G$101*Proyecciones!P$96+$G$102*Proyecciones!P$101+Bases!$G$103*Proyecciones!P$106+Bases!$G$104*Proyecciones!P$111</f>
        <v>0</v>
      </c>
      <c r="R73" s="415">
        <f>+$G$101*Proyecciones!Q$96+$G$102*Proyecciones!Q$101+Bases!$G$103*Proyecciones!Q$106+Bases!$G$104*Proyecciones!Q$111</f>
        <v>0</v>
      </c>
      <c r="S73" s="415">
        <f>+$G$101*Proyecciones!R$96+$G$102*Proyecciones!R$101+Bases!$G$103*Proyecciones!R$106+Bases!$G$104*Proyecciones!R$111</f>
        <v>0</v>
      </c>
      <c r="T73" s="415">
        <f>+$G$101*Proyecciones!S$96+$G$102*Proyecciones!S$101+Bases!$G$103*Proyecciones!S$106+Bases!$G$104*Proyecciones!S$111</f>
        <v>0</v>
      </c>
      <c r="U73" s="415">
        <f>+$G$101*Proyecciones!T$96+$G$102*Proyecciones!T$101+Bases!$G$103*Proyecciones!T$106+Bases!$G$104*Proyecciones!T$111</f>
        <v>0</v>
      </c>
      <c r="V73" s="415">
        <f>+$G$101*Proyecciones!U$96+$G$102*Proyecciones!U$101+Bases!$G$103*Proyecciones!U$106+Bases!$G$104*Proyecciones!U$111</f>
        <v>0</v>
      </c>
      <c r="W73" s="415">
        <f>+$G$101*Proyecciones!V$96+$G$102*Proyecciones!V$101+Bases!$G$103*Proyecciones!V$106+Bases!$G$104*Proyecciones!V$111</f>
        <v>0</v>
      </c>
      <c r="X73" s="416">
        <f>+$G$101*Proyecciones!W$96+$G$102*Proyecciones!W$101+Bases!$G$103*Proyecciones!W$106+Bases!$G$104*Proyecciones!W$111</f>
        <v>0</v>
      </c>
    </row>
    <row r="74" spans="2:24" ht="15">
      <c r="B74" s="17"/>
      <c r="D74" s="19"/>
      <c r="E74" s="415"/>
      <c r="F74" s="415"/>
      <c r="G74" s="415"/>
      <c r="H74" s="415"/>
      <c r="I74" s="415"/>
      <c r="J74" s="415"/>
      <c r="K74" s="415"/>
      <c r="L74" s="415"/>
      <c r="M74" s="415"/>
      <c r="N74" s="415"/>
      <c r="O74" s="415"/>
      <c r="P74" s="415"/>
      <c r="Q74" s="415"/>
      <c r="R74" s="415"/>
      <c r="S74" s="415"/>
      <c r="T74" s="415"/>
      <c r="U74" s="415"/>
      <c r="V74" s="415"/>
      <c r="W74" s="415"/>
      <c r="X74" s="416"/>
    </row>
    <row r="75" spans="2:24" s="19" customFormat="1" ht="15">
      <c r="B75" s="15" t="s">
        <v>68</v>
      </c>
      <c r="E75" s="417">
        <f t="shared" ref="E75:N75" si="4">SUM(E70:E73)</f>
        <v>7421310.0499999998</v>
      </c>
      <c r="F75" s="417">
        <f t="shared" si="4"/>
        <v>8444857.132096</v>
      </c>
      <c r="G75" s="417">
        <f t="shared" si="4"/>
        <v>9261897.0596262868</v>
      </c>
      <c r="H75" s="417">
        <f t="shared" si="4"/>
        <v>9940164.3050968405</v>
      </c>
      <c r="I75" s="417">
        <f t="shared" si="4"/>
        <v>10606791.484053856</v>
      </c>
      <c r="J75" s="417">
        <f t="shared" si="4"/>
        <v>11296445.066347037</v>
      </c>
      <c r="K75" s="417">
        <f t="shared" si="4"/>
        <v>12007669.247724246</v>
      </c>
      <c r="L75" s="417">
        <f t="shared" si="4"/>
        <v>12763672.103560966</v>
      </c>
      <c r="M75" s="417">
        <f t="shared" si="4"/>
        <v>13567272.899201166</v>
      </c>
      <c r="N75" s="417">
        <f t="shared" si="4"/>
        <v>14421468.400934871</v>
      </c>
      <c r="O75" s="417">
        <f t="shared" ref="O75:X75" si="5">SUM(O70:O73)</f>
        <v>15329444.051457731</v>
      </c>
      <c r="P75" s="417">
        <f t="shared" si="5"/>
        <v>16294585.848937513</v>
      </c>
      <c r="Q75" s="417">
        <f t="shared" si="5"/>
        <v>17320492.973986622</v>
      </c>
      <c r="R75" s="417">
        <f t="shared" si="5"/>
        <v>18410991.211628821</v>
      </c>
      <c r="S75" s="417">
        <f t="shared" si="5"/>
        <v>19570147.218312971</v>
      </c>
      <c r="T75" s="417">
        <f t="shared" si="5"/>
        <v>20802283.687177956</v>
      </c>
      <c r="U75" s="417">
        <f t="shared" si="5"/>
        <v>22111995.468122683</v>
      </c>
      <c r="V75" s="417">
        <f t="shared" si="5"/>
        <v>23504166.702795688</v>
      </c>
      <c r="W75" s="417">
        <f t="shared" si="5"/>
        <v>24983989.038403708</v>
      </c>
      <c r="X75" s="418">
        <f t="shared" si="5"/>
        <v>26556980.98826161</v>
      </c>
    </row>
    <row r="76" spans="2:24">
      <c r="B76" s="17"/>
      <c r="C76" s="45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8"/>
    </row>
    <row r="77" spans="2:24">
      <c r="B77" s="17"/>
      <c r="C77" s="45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8"/>
    </row>
    <row r="78" spans="2:24" ht="15">
      <c r="B78" s="15" t="s">
        <v>69</v>
      </c>
      <c r="C78" s="45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8"/>
    </row>
    <row r="79" spans="2:24">
      <c r="B79" s="17"/>
      <c r="C79" s="45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8"/>
    </row>
    <row r="80" spans="2:24">
      <c r="B80" s="17"/>
      <c r="C80" s="3" t="s">
        <v>70</v>
      </c>
      <c r="D80" s="354">
        <v>5.8909223345169806E-2</v>
      </c>
      <c r="E80" s="415">
        <f>+$D80*E$63</f>
        <v>514333.66029318038</v>
      </c>
      <c r="F80" s="415">
        <f t="shared" ref="F80:X84" si="6">+$D80*F$63</f>
        <v>585270.55872081581</v>
      </c>
      <c r="G80" s="415">
        <f t="shared" si="6"/>
        <v>641895.48527705471</v>
      </c>
      <c r="H80" s="415">
        <f t="shared" si="6"/>
        <v>688902.77545486402</v>
      </c>
      <c r="I80" s="415">
        <f t="shared" si="6"/>
        <v>735103.35118796909</v>
      </c>
      <c r="J80" s="415">
        <f>+$D80*J$63</f>
        <v>782899.77108221082</v>
      </c>
      <c r="K80" s="415">
        <f t="shared" si="6"/>
        <v>832191.14066954679</v>
      </c>
      <c r="L80" s="415">
        <f t="shared" si="6"/>
        <v>884585.89488610148</v>
      </c>
      <c r="M80" s="415">
        <f t="shared" si="6"/>
        <v>940279.42282813054</v>
      </c>
      <c r="N80" s="415">
        <f t="shared" si="6"/>
        <v>999479.41528938967</v>
      </c>
      <c r="O80" s="415">
        <f t="shared" si="6"/>
        <v>1062406.6392760098</v>
      </c>
      <c r="P80" s="415">
        <f t="shared" si="6"/>
        <v>1129295.7612848275</v>
      </c>
      <c r="Q80" s="415">
        <f t="shared" si="6"/>
        <v>1200396.2224153203</v>
      </c>
      <c r="R80" s="415">
        <f t="shared" si="6"/>
        <v>1275973.1685785891</v>
      </c>
      <c r="S80" s="415">
        <f t="shared" si="6"/>
        <v>1356308.4392722971</v>
      </c>
      <c r="T80" s="415">
        <f t="shared" si="6"/>
        <v>1441701.618608881</v>
      </c>
      <c r="U80" s="415">
        <f t="shared" si="6"/>
        <v>1532471.1525164964</v>
      </c>
      <c r="V80" s="415">
        <f t="shared" si="6"/>
        <v>1628955.5362789349</v>
      </c>
      <c r="W80" s="415">
        <f t="shared" si="6"/>
        <v>1731514.5768430568</v>
      </c>
      <c r="X80" s="416">
        <f t="shared" si="6"/>
        <v>1840530.734601096</v>
      </c>
    </row>
    <row r="81" spans="2:24">
      <c r="B81" s="17"/>
      <c r="C81" s="3" t="s">
        <v>71</v>
      </c>
      <c r="D81" s="354">
        <v>6.4645361012473819E-3</v>
      </c>
      <c r="E81" s="415">
        <f t="shared" ref="E81:T84" si="7">+$D81*E$63</f>
        <v>56441.560866794134</v>
      </c>
      <c r="F81" s="415">
        <f t="shared" si="6"/>
        <v>64225.980941542381</v>
      </c>
      <c r="G81" s="415">
        <f t="shared" si="6"/>
        <v>70439.844597636606</v>
      </c>
      <c r="H81" s="415">
        <f t="shared" si="6"/>
        <v>75598.29529721073</v>
      </c>
      <c r="I81" s="415">
        <f t="shared" si="6"/>
        <v>80668.219373022876</v>
      </c>
      <c r="J81" s="415">
        <f t="shared" si="6"/>
        <v>85913.266996656821</v>
      </c>
      <c r="K81" s="415">
        <f t="shared" si="6"/>
        <v>91322.366286766337</v>
      </c>
      <c r="L81" s="415">
        <f t="shared" si="6"/>
        <v>97072.022468181152</v>
      </c>
      <c r="M81" s="415">
        <f t="shared" si="6"/>
        <v>103183.67700277784</v>
      </c>
      <c r="N81" s="415">
        <f t="shared" si="6"/>
        <v>109680.12130687274</v>
      </c>
      <c r="O81" s="415">
        <f t="shared" si="6"/>
        <v>116585.58174435345</v>
      </c>
      <c r="P81" s="415">
        <f t="shared" si="6"/>
        <v>123925.80997097798</v>
      </c>
      <c r="Q81" s="415">
        <f t="shared" si="6"/>
        <v>131728.17896675077</v>
      </c>
      <c r="R81" s="415">
        <f t="shared" si="6"/>
        <v>140021.78511449741</v>
      </c>
      <c r="S81" s="415">
        <f t="shared" si="6"/>
        <v>148837.55670530617</v>
      </c>
      <c r="T81" s="415">
        <f t="shared" si="6"/>
        <v>158208.36927547224</v>
      </c>
      <c r="U81" s="415">
        <f t="shared" si="6"/>
        <v>168169.16820505599</v>
      </c>
      <c r="V81" s="415">
        <f t="shared" si="6"/>
        <v>178757.09903524633</v>
      </c>
      <c r="W81" s="415">
        <f t="shared" si="6"/>
        <v>190011.64599050547</v>
      </c>
      <c r="X81" s="416">
        <f t="shared" si="6"/>
        <v>201974.77922206771</v>
      </c>
    </row>
    <row r="82" spans="2:24">
      <c r="B82" s="17"/>
      <c r="C82" s="3" t="s">
        <v>72</v>
      </c>
      <c r="D82" s="354">
        <v>1.3566420832195211E-2</v>
      </c>
      <c r="E82" s="415">
        <f t="shared" si="7"/>
        <v>118447.78266411727</v>
      </c>
      <c r="F82" s="415">
        <f t="shared" si="6"/>
        <v>134784.10084915234</v>
      </c>
      <c r="G82" s="415">
        <f t="shared" si="6"/>
        <v>147824.46260630782</v>
      </c>
      <c r="H82" s="415">
        <f t="shared" si="6"/>
        <v>158649.94365189294</v>
      </c>
      <c r="I82" s="415">
        <f t="shared" si="6"/>
        <v>169289.64347296351</v>
      </c>
      <c r="J82" s="415">
        <f t="shared" si="6"/>
        <v>180296.85609157561</v>
      </c>
      <c r="K82" s="415">
        <f t="shared" si="6"/>
        <v>191648.3461511012</v>
      </c>
      <c r="L82" s="415">
        <f t="shared" si="6"/>
        <v>203714.52602477453</v>
      </c>
      <c r="M82" s="415">
        <f t="shared" si="6"/>
        <v>216540.39258329436</v>
      </c>
      <c r="N82" s="415">
        <f t="shared" si="6"/>
        <v>230173.77570033859</v>
      </c>
      <c r="O82" s="415">
        <f t="shared" si="6"/>
        <v>244665.51661843192</v>
      </c>
      <c r="P82" s="415">
        <f t="shared" si="6"/>
        <v>260069.65754472846</v>
      </c>
      <c r="Q82" s="415">
        <f t="shared" si="6"/>
        <v>276443.64318374463</v>
      </c>
      <c r="R82" s="415">
        <f t="shared" si="6"/>
        <v>293848.5349585932</v>
      </c>
      <c r="S82" s="415">
        <f t="shared" si="6"/>
        <v>312349.23871958622</v>
      </c>
      <c r="T82" s="415">
        <f t="shared" si="6"/>
        <v>332014.74678937136</v>
      </c>
      <c r="U82" s="415">
        <f t="shared" si="6"/>
        <v>352918.39524723025</v>
      </c>
      <c r="V82" s="415">
        <f t="shared" si="6"/>
        <v>375138.13741199585</v>
      </c>
      <c r="W82" s="415">
        <f t="shared" si="6"/>
        <v>398756.83454345516</v>
      </c>
      <c r="X82" s="416">
        <f t="shared" si="6"/>
        <v>423862.56484631117</v>
      </c>
    </row>
    <row r="83" spans="2:24">
      <c r="B83" s="17"/>
      <c r="C83" s="3" t="s">
        <v>73</v>
      </c>
      <c r="D83" s="354">
        <v>1.4999999999999999E-2</v>
      </c>
      <c r="E83" s="415">
        <f t="shared" si="7"/>
        <v>130964.295</v>
      </c>
      <c r="F83" s="415">
        <f t="shared" si="6"/>
        <v>149026.89056639999</v>
      </c>
      <c r="G83" s="415">
        <f t="shared" si="6"/>
        <v>163445.24222869918</v>
      </c>
      <c r="H83" s="415">
        <f t="shared" si="6"/>
        <v>175414.6642075913</v>
      </c>
      <c r="I83" s="415">
        <f t="shared" si="6"/>
        <v>187178.6732480092</v>
      </c>
      <c r="J83" s="415">
        <f t="shared" si="6"/>
        <v>199349.03058259477</v>
      </c>
      <c r="K83" s="415">
        <f t="shared" si="6"/>
        <v>211900.04554807494</v>
      </c>
      <c r="L83" s="415">
        <f t="shared" si="6"/>
        <v>225241.27241578174</v>
      </c>
      <c r="M83" s="415">
        <f t="shared" si="6"/>
        <v>239422.46292707938</v>
      </c>
      <c r="N83" s="415">
        <f t="shared" si="6"/>
        <v>254496.50119296831</v>
      </c>
      <c r="O83" s="415">
        <f t="shared" si="6"/>
        <v>270519.60090807761</v>
      </c>
      <c r="P83" s="415">
        <f t="shared" si="6"/>
        <v>287551.51498125022</v>
      </c>
      <c r="Q83" s="415">
        <f t="shared" si="6"/>
        <v>305655.7583644698</v>
      </c>
      <c r="R83" s="415">
        <f t="shared" si="6"/>
        <v>324899.84491109685</v>
      </c>
      <c r="S83" s="415">
        <f t="shared" si="6"/>
        <v>345355.53914669954</v>
      </c>
      <c r="T83" s="415">
        <f t="shared" si="6"/>
        <v>367099.12389137573</v>
      </c>
      <c r="U83" s="415">
        <f t="shared" si="6"/>
        <v>390211.68473157677</v>
      </c>
      <c r="V83" s="415">
        <f t="shared" si="6"/>
        <v>414779.41240227688</v>
      </c>
      <c r="W83" s="415">
        <f t="shared" si="6"/>
        <v>440893.92420712428</v>
      </c>
      <c r="X83" s="416">
        <f t="shared" si="6"/>
        <v>468652.60567520489</v>
      </c>
    </row>
    <row r="84" spans="2:24">
      <c r="B84" s="17"/>
      <c r="C84" s="3" t="s">
        <v>74</v>
      </c>
      <c r="D84" s="354">
        <v>0.01</v>
      </c>
      <c r="E84" s="415">
        <f t="shared" si="7"/>
        <v>87309.53</v>
      </c>
      <c r="F84" s="415">
        <f t="shared" si="7"/>
        <v>99351.260377600003</v>
      </c>
      <c r="G84" s="415">
        <f t="shared" si="7"/>
        <v>108963.4948191328</v>
      </c>
      <c r="H84" s="415">
        <f t="shared" si="7"/>
        <v>116943.10947172754</v>
      </c>
      <c r="I84" s="415">
        <f t="shared" si="7"/>
        <v>124785.78216533948</v>
      </c>
      <c r="J84" s="415">
        <f t="shared" si="7"/>
        <v>132899.35372172986</v>
      </c>
      <c r="K84" s="415">
        <f t="shared" si="7"/>
        <v>141266.69703204997</v>
      </c>
      <c r="L84" s="415">
        <f t="shared" si="7"/>
        <v>150160.84827718785</v>
      </c>
      <c r="M84" s="415">
        <f t="shared" si="7"/>
        <v>159614.97528471961</v>
      </c>
      <c r="N84" s="415">
        <f t="shared" si="7"/>
        <v>169664.33412864554</v>
      </c>
      <c r="O84" s="415">
        <f t="shared" si="7"/>
        <v>180346.40060538508</v>
      </c>
      <c r="P84" s="415">
        <f t="shared" si="7"/>
        <v>191701.00998750018</v>
      </c>
      <c r="Q84" s="415">
        <f t="shared" si="7"/>
        <v>203770.50557631321</v>
      </c>
      <c r="R84" s="415">
        <f t="shared" si="7"/>
        <v>216599.89660739791</v>
      </c>
      <c r="S84" s="415">
        <f t="shared" si="7"/>
        <v>230237.02609779968</v>
      </c>
      <c r="T84" s="415">
        <f t="shared" si="7"/>
        <v>244732.74926091716</v>
      </c>
      <c r="U84" s="415">
        <f t="shared" si="6"/>
        <v>260141.12315438455</v>
      </c>
      <c r="V84" s="415">
        <f t="shared" si="6"/>
        <v>276519.60826818459</v>
      </c>
      <c r="W84" s="415">
        <f t="shared" si="6"/>
        <v>293929.28280474956</v>
      </c>
      <c r="X84" s="416">
        <f t="shared" si="6"/>
        <v>312435.07045013661</v>
      </c>
    </row>
    <row r="85" spans="2:24" ht="15">
      <c r="B85" s="17"/>
      <c r="C85" s="3" t="s">
        <v>75</v>
      </c>
      <c r="D85" s="19"/>
      <c r="E85" s="415">
        <f>+$F$101*Proyecciones!D$96+$F$102*Proyecciones!D$101+Bases!$F$103*Proyecciones!D$106+Bases!$F$104*Proyecciones!D$111</f>
        <v>0</v>
      </c>
      <c r="F85" s="415">
        <f>+$F$101*Proyecciones!E$96+$F$102*Proyecciones!E$101+Bases!$F$103*Proyecciones!E$106+Bases!$F$104*Proyecciones!E$111</f>
        <v>0</v>
      </c>
      <c r="G85" s="415">
        <f>+$F$101*Proyecciones!F$96+$F$102*Proyecciones!F$101+Bases!$F$103*Proyecciones!F$106+Bases!$F$104*Proyecciones!F$111</f>
        <v>0</v>
      </c>
      <c r="H85" s="415">
        <f>+$F$101*Proyecciones!G$96+$F$102*Proyecciones!G$101+Bases!$F$103*Proyecciones!G$106+Bases!$F$104*Proyecciones!G$111</f>
        <v>0</v>
      </c>
      <c r="I85" s="415">
        <f>+$F$101*Proyecciones!H$96+$F$102*Proyecciones!H$101+Bases!$F$103*Proyecciones!H$106+Bases!$F$104*Proyecciones!H$111</f>
        <v>0</v>
      </c>
      <c r="J85" s="415">
        <f>+$F$101*Proyecciones!I$96+$F$102*Proyecciones!I$101+Bases!$F$103*Proyecciones!I$106+Bases!$F$104*Proyecciones!I$111</f>
        <v>0</v>
      </c>
      <c r="K85" s="415">
        <f>+$F$101*Proyecciones!J$96+$F$102*Proyecciones!J$101+Bases!$F$103*Proyecciones!J$106+Bases!$F$104*Proyecciones!J$111</f>
        <v>0</v>
      </c>
      <c r="L85" s="415">
        <f>+$F$101*Proyecciones!K$96+$F$102*Proyecciones!K$101+Bases!$F$103*Proyecciones!K$106+Bases!$F$104*Proyecciones!K$111</f>
        <v>0</v>
      </c>
      <c r="M85" s="415">
        <f>+$F$101*Proyecciones!L$96+$F$102*Proyecciones!L$101+Bases!$F$103*Proyecciones!L$106+Bases!$F$104*Proyecciones!L$111</f>
        <v>0</v>
      </c>
      <c r="N85" s="415">
        <f>+$F$101*Proyecciones!M$96+$F$102*Proyecciones!M$101+Bases!$F$103*Proyecciones!M$106+Bases!$F$104*Proyecciones!M$111</f>
        <v>0</v>
      </c>
      <c r="O85" s="415">
        <f>+$F$101*Proyecciones!N$96+$F$102*Proyecciones!N$101+Bases!$F$103*Proyecciones!N$106+Bases!$F$104*Proyecciones!N$111</f>
        <v>0</v>
      </c>
      <c r="P85" s="415">
        <f>+$F$101*Proyecciones!O$96+$F$102*Proyecciones!O$101+Bases!$F$103*Proyecciones!O$106+Bases!$F$104*Proyecciones!O$111</f>
        <v>0</v>
      </c>
      <c r="Q85" s="415">
        <f>+$F$101*Proyecciones!P$96+$F$102*Proyecciones!P$101+Bases!$F$103*Proyecciones!P$106+Bases!$F$104*Proyecciones!P$111</f>
        <v>0</v>
      </c>
      <c r="R85" s="415">
        <f>+$F$101*Proyecciones!Q$96+$F$102*Proyecciones!Q$101+Bases!$F$103*Proyecciones!Q$106+Bases!$F$104*Proyecciones!Q$111</f>
        <v>0</v>
      </c>
      <c r="S85" s="415">
        <f>+$F$101*Proyecciones!R$96+$F$102*Proyecciones!R$101+Bases!$F$103*Proyecciones!R$106+Bases!$F$104*Proyecciones!R$111</f>
        <v>0</v>
      </c>
      <c r="T85" s="415">
        <f>+$F$101*Proyecciones!S$96+$F$102*Proyecciones!S$101+Bases!$F$103*Proyecciones!S$106+Bases!$F$104*Proyecciones!S$111</f>
        <v>0</v>
      </c>
      <c r="U85" s="415">
        <f>+$F$101*Proyecciones!T$96+$F$102*Proyecciones!T$101+Bases!$F$103*Proyecciones!T$106+Bases!$F$104*Proyecciones!T$111</f>
        <v>0</v>
      </c>
      <c r="V85" s="415">
        <f>+$F$101*Proyecciones!U$96+$F$102*Proyecciones!U$101+Bases!$F$103*Proyecciones!U$106+Bases!$F$104*Proyecciones!U$111</f>
        <v>0</v>
      </c>
      <c r="W85" s="415">
        <f>+$F$101*Proyecciones!V$96+$F$102*Proyecciones!V$101+Bases!$F$103*Proyecciones!V$106+Bases!$F$104*Proyecciones!V$111</f>
        <v>0</v>
      </c>
      <c r="X85" s="416">
        <f>+$F$101*Proyecciones!W$96+$F$102*Proyecciones!W$101+Bases!$F$103*Proyecciones!W$106+Bases!$F$104*Proyecciones!W$111</f>
        <v>0</v>
      </c>
    </row>
    <row r="86" spans="2:24" ht="15">
      <c r="B86" s="17"/>
      <c r="D86" s="19"/>
      <c r="E86" s="415"/>
      <c r="F86" s="415"/>
      <c r="G86" s="415"/>
      <c r="H86" s="415"/>
      <c r="I86" s="415"/>
      <c r="J86" s="415"/>
      <c r="K86" s="415"/>
      <c r="L86" s="415"/>
      <c r="M86" s="415"/>
      <c r="N86" s="415"/>
      <c r="O86" s="415"/>
      <c r="P86" s="415"/>
      <c r="Q86" s="415"/>
      <c r="R86" s="415"/>
      <c r="S86" s="415"/>
      <c r="T86" s="415"/>
      <c r="U86" s="415"/>
      <c r="V86" s="415"/>
      <c r="W86" s="415"/>
      <c r="X86" s="416"/>
    </row>
    <row r="87" spans="2:24" s="19" customFormat="1" ht="15">
      <c r="B87" s="15" t="s">
        <v>76</v>
      </c>
      <c r="E87" s="417">
        <f t="shared" ref="E87:N87" si="8">SUM(E80:E85)</f>
        <v>907496.82882409182</v>
      </c>
      <c r="F87" s="417">
        <f t="shared" si="8"/>
        <v>1032658.7914555105</v>
      </c>
      <c r="G87" s="417">
        <f t="shared" si="8"/>
        <v>1132568.5295288311</v>
      </c>
      <c r="H87" s="417">
        <f t="shared" si="8"/>
        <v>1215508.7880832865</v>
      </c>
      <c r="I87" s="417">
        <f t="shared" si="8"/>
        <v>1297025.6694473042</v>
      </c>
      <c r="J87" s="417">
        <f t="shared" si="8"/>
        <v>1381358.2784747679</v>
      </c>
      <c r="K87" s="417">
        <f t="shared" si="8"/>
        <v>1468328.5956875393</v>
      </c>
      <c r="L87" s="417">
        <f t="shared" si="8"/>
        <v>1560774.5640720269</v>
      </c>
      <c r="M87" s="417">
        <f t="shared" si="8"/>
        <v>1659040.9306260017</v>
      </c>
      <c r="N87" s="417">
        <f t="shared" si="8"/>
        <v>1763494.1476182148</v>
      </c>
      <c r="O87" s="417">
        <f t="shared" ref="O87:X87" si="9">SUM(O80:O85)</f>
        <v>1874523.7391522578</v>
      </c>
      <c r="P87" s="417">
        <f t="shared" si="9"/>
        <v>1992543.7537692843</v>
      </c>
      <c r="Q87" s="417">
        <f t="shared" si="9"/>
        <v>2117994.3085065987</v>
      </c>
      <c r="R87" s="417">
        <f t="shared" si="9"/>
        <v>2251343.2301701745</v>
      </c>
      <c r="S87" s="417">
        <f t="shared" si="9"/>
        <v>2393087.7999416888</v>
      </c>
      <c r="T87" s="417">
        <f t="shared" si="9"/>
        <v>2543756.6078260178</v>
      </c>
      <c r="U87" s="417">
        <f t="shared" si="9"/>
        <v>2703911.5238547437</v>
      </c>
      <c r="V87" s="417">
        <f t="shared" si="9"/>
        <v>2874149.7933966387</v>
      </c>
      <c r="W87" s="417">
        <f t="shared" si="9"/>
        <v>3055106.2643888909</v>
      </c>
      <c r="X87" s="418">
        <f t="shared" si="9"/>
        <v>3247455.7547948165</v>
      </c>
    </row>
    <row r="88" spans="2:24" ht="15" thickBot="1">
      <c r="B88" s="47"/>
      <c r="C88" s="51"/>
      <c r="D88" s="23"/>
      <c r="E88" s="52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53"/>
    </row>
    <row r="89" spans="2:24" ht="15">
      <c r="C89" s="45"/>
      <c r="E89" s="54"/>
      <c r="F89" s="55"/>
      <c r="G89" s="55"/>
      <c r="H89" s="55"/>
      <c r="I89" s="55"/>
      <c r="J89" s="55"/>
      <c r="K89" s="55"/>
      <c r="L89" s="55"/>
      <c r="M89" s="55"/>
      <c r="N89" s="55"/>
      <c r="P89" s="19"/>
    </row>
    <row r="90" spans="2:24" ht="15.75" thickBot="1">
      <c r="C90" s="45"/>
      <c r="F90" s="19"/>
    </row>
    <row r="91" spans="2:24" ht="15.75" thickBot="1">
      <c r="B91" s="469" t="s">
        <v>77</v>
      </c>
      <c r="C91" s="470"/>
      <c r="D91" s="470"/>
      <c r="E91" s="470"/>
      <c r="F91" s="470"/>
      <c r="G91" s="470"/>
      <c r="H91" s="471"/>
    </row>
    <row r="92" spans="2:24" ht="15">
      <c r="B92" s="59" t="s">
        <v>78</v>
      </c>
      <c r="C92" s="13"/>
      <c r="D92" s="13"/>
      <c r="E92" s="13"/>
      <c r="F92" s="60" t="s">
        <v>79</v>
      </c>
      <c r="G92" s="13"/>
      <c r="H92" s="14"/>
    </row>
    <row r="93" spans="2:24" ht="15">
      <c r="B93" s="17"/>
      <c r="F93" s="61" t="s">
        <v>80</v>
      </c>
      <c r="H93" s="16"/>
    </row>
    <row r="94" spans="2:24" ht="15">
      <c r="B94" s="17"/>
      <c r="F94" s="61"/>
      <c r="H94" s="16"/>
    </row>
    <row r="95" spans="2:24" ht="15">
      <c r="B95" s="17"/>
      <c r="C95" s="3" t="s">
        <v>6</v>
      </c>
      <c r="F95" s="448">
        <v>20</v>
      </c>
      <c r="H95" s="16"/>
    </row>
    <row r="96" spans="2:24" ht="15">
      <c r="B96" s="17"/>
      <c r="C96" s="3" t="s">
        <v>7</v>
      </c>
      <c r="F96" s="448">
        <v>10</v>
      </c>
      <c r="H96" s="16"/>
    </row>
    <row r="97" spans="2:13" ht="15">
      <c r="B97" s="17"/>
      <c r="C97" s="3" t="s">
        <v>8</v>
      </c>
      <c r="F97" s="448">
        <v>10</v>
      </c>
      <c r="H97" s="16"/>
    </row>
    <row r="98" spans="2:13" ht="15">
      <c r="B98" s="17"/>
      <c r="C98" s="3" t="s">
        <v>9</v>
      </c>
      <c r="F98" s="448">
        <v>5</v>
      </c>
      <c r="H98" s="16"/>
    </row>
    <row r="99" spans="2:13">
      <c r="B99" s="17"/>
      <c r="H99" s="16"/>
    </row>
    <row r="100" spans="2:13" ht="15">
      <c r="B100" s="15" t="s">
        <v>81</v>
      </c>
      <c r="C100" s="19"/>
      <c r="F100" s="62" t="s">
        <v>66</v>
      </c>
      <c r="G100" s="62" t="s">
        <v>82</v>
      </c>
      <c r="H100" s="63"/>
      <c r="I100" s="19"/>
      <c r="J100" s="19"/>
      <c r="K100" s="19"/>
      <c r="L100" s="19"/>
      <c r="M100" s="19"/>
    </row>
    <row r="101" spans="2:13" ht="15">
      <c r="B101" s="64"/>
      <c r="C101" s="3" t="s">
        <v>6</v>
      </c>
      <c r="D101" s="45"/>
      <c r="E101" s="45"/>
      <c r="F101" s="449">
        <v>0</v>
      </c>
      <c r="G101" s="450">
        <f>1-F101</f>
        <v>1</v>
      </c>
      <c r="H101" s="16"/>
    </row>
    <row r="102" spans="2:13" ht="15">
      <c r="B102" s="64"/>
      <c r="C102" s="3" t="s">
        <v>7</v>
      </c>
      <c r="D102" s="45"/>
      <c r="E102" s="45"/>
      <c r="F102" s="449">
        <v>0</v>
      </c>
      <c r="G102" s="450">
        <f>1-F102</f>
        <v>1</v>
      </c>
      <c r="H102" s="16"/>
    </row>
    <row r="103" spans="2:13" ht="15">
      <c r="B103" s="64"/>
      <c r="C103" s="3" t="s">
        <v>8</v>
      </c>
      <c r="D103" s="45"/>
      <c r="E103" s="45"/>
      <c r="F103" s="449">
        <v>0</v>
      </c>
      <c r="G103" s="450">
        <f>1-F103</f>
        <v>1</v>
      </c>
      <c r="H103" s="16"/>
    </row>
    <row r="104" spans="2:13" ht="15">
      <c r="B104" s="64"/>
      <c r="C104" s="3" t="s">
        <v>9</v>
      </c>
      <c r="D104" s="45"/>
      <c r="E104" s="45"/>
      <c r="F104" s="449">
        <v>0</v>
      </c>
      <c r="G104" s="450">
        <f>1-F104</f>
        <v>1</v>
      </c>
      <c r="H104" s="16"/>
    </row>
    <row r="105" spans="2:13" s="66" customFormat="1" ht="12.75">
      <c r="B105" s="65"/>
      <c r="D105" s="67"/>
      <c r="E105" s="67"/>
      <c r="H105" s="68"/>
    </row>
    <row r="106" spans="2:13" ht="15">
      <c r="B106" s="69" t="s">
        <v>83</v>
      </c>
      <c r="G106" s="427">
        <v>5</v>
      </c>
      <c r="H106" s="70" t="s">
        <v>21</v>
      </c>
    </row>
    <row r="107" spans="2:13">
      <c r="B107" s="17"/>
      <c r="H107" s="16"/>
    </row>
    <row r="108" spans="2:13" ht="15">
      <c r="B108" s="69" t="s">
        <v>84</v>
      </c>
      <c r="G108" s="425">
        <v>0.35</v>
      </c>
      <c r="H108" s="16"/>
    </row>
    <row r="109" spans="2:13" ht="15" thickBot="1">
      <c r="B109" s="47"/>
      <c r="C109" s="23"/>
      <c r="D109" s="23"/>
      <c r="E109" s="23"/>
      <c r="F109" s="23"/>
      <c r="G109" s="23" t="s">
        <v>85</v>
      </c>
      <c r="H109" s="24"/>
    </row>
    <row r="110" spans="2:13" ht="15">
      <c r="B110" s="71" t="s">
        <v>86</v>
      </c>
      <c r="C110" s="6"/>
      <c r="D110" s="6"/>
      <c r="E110" s="6"/>
      <c r="F110" s="6"/>
      <c r="G110" s="6"/>
      <c r="H110" s="72"/>
    </row>
    <row r="111" spans="2:13" ht="15">
      <c r="B111" s="17"/>
      <c r="E111" s="451" t="s">
        <v>87</v>
      </c>
      <c r="H111" s="16"/>
    </row>
    <row r="112" spans="2:13" ht="15">
      <c r="B112" s="17"/>
      <c r="E112" s="451" t="s">
        <v>88</v>
      </c>
      <c r="H112" s="16"/>
    </row>
    <row r="113" spans="2:8" ht="15.75" thickBot="1">
      <c r="B113" s="73"/>
      <c r="E113" s="425">
        <v>0.25</v>
      </c>
      <c r="H113" s="16"/>
    </row>
    <row r="114" spans="2:8" ht="15.75" thickBot="1">
      <c r="B114" s="11" t="s">
        <v>89</v>
      </c>
      <c r="C114" s="12"/>
      <c r="D114" s="423"/>
      <c r="E114" s="423"/>
      <c r="F114" s="423"/>
      <c r="G114" s="423"/>
      <c r="H114" s="74"/>
    </row>
    <row r="115" spans="2:8">
      <c r="B115" s="452"/>
      <c r="C115" s="13"/>
      <c r="D115" s="13"/>
      <c r="E115" s="13"/>
      <c r="F115" s="13"/>
      <c r="G115" s="13"/>
      <c r="H115" s="14"/>
    </row>
    <row r="116" spans="2:8" ht="15.75" thickBot="1">
      <c r="B116" s="47"/>
      <c r="C116" s="23" t="s">
        <v>90</v>
      </c>
      <c r="D116" s="23"/>
      <c r="E116" s="23"/>
      <c r="F116" s="23"/>
      <c r="G116" s="441">
        <v>0.1</v>
      </c>
      <c r="H116" s="24"/>
    </row>
  </sheetData>
  <mergeCells count="10">
    <mergeCell ref="B8:E8"/>
    <mergeCell ref="D15:E15"/>
    <mergeCell ref="D16:E16"/>
    <mergeCell ref="B91:H91"/>
    <mergeCell ref="D14:E14"/>
    <mergeCell ref="D9:E9"/>
    <mergeCell ref="D10:E10"/>
    <mergeCell ref="D11:E11"/>
    <mergeCell ref="D12:E12"/>
    <mergeCell ref="D13:E13"/>
  </mergeCells>
  <printOptions horizontalCentered="1" verticalCentered="1"/>
  <pageMargins left="0.78740157480314965" right="0.39370078740157483" top="0.39370078740157483" bottom="0.39370078740157483" header="0.31496062992125984" footer="0.31496062992125984"/>
  <pageSetup scale="90" orientation="landscape" horizontalDpi="300" verticalDpi="300" r:id="rId1"/>
  <headerFooter alignWithMargins="0"/>
  <ignoredErrors>
    <ignoredError sqref="E70:X87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BJ510"/>
  <sheetViews>
    <sheetView showGridLines="0" zoomScale="110" zoomScaleNormal="110" workbookViewId="0">
      <pane xSplit="3" ySplit="3" topLeftCell="D16" activePane="bottomRight" state="frozen"/>
      <selection activeCell="G17" sqref="G17"/>
      <selection pane="topRight" activeCell="G17" sqref="G17"/>
      <selection pane="bottomLeft" activeCell="G17" sqref="G17"/>
      <selection pane="bottomRight" activeCell="F15" sqref="F15"/>
    </sheetView>
  </sheetViews>
  <sheetFormatPr baseColWidth="10" defaultColWidth="11.42578125" defaultRowHeight="12.75"/>
  <cols>
    <col min="1" max="1" width="11.42578125" style="66" customWidth="1"/>
    <col min="2" max="2" width="9.42578125" style="66" customWidth="1"/>
    <col min="3" max="3" width="33.7109375" style="66" customWidth="1"/>
    <col min="4" max="4" width="17.28515625" style="66" customWidth="1"/>
    <col min="5" max="5" width="18" style="66" customWidth="1"/>
    <col min="6" max="6" width="16.28515625" style="66" customWidth="1"/>
    <col min="7" max="7" width="15.85546875" style="66" customWidth="1"/>
    <col min="8" max="8" width="15.42578125" style="66" customWidth="1"/>
    <col min="9" max="10" width="18.42578125" style="66" customWidth="1"/>
    <col min="11" max="11" width="16" style="66" customWidth="1"/>
    <col min="12" max="12" width="17.42578125" style="66" customWidth="1"/>
    <col min="13" max="13" width="19.85546875" style="66" customWidth="1"/>
    <col min="14" max="14" width="16.42578125" style="66" customWidth="1"/>
    <col min="15" max="15" width="17.140625" style="66" customWidth="1"/>
    <col min="16" max="16" width="17.85546875" style="66" customWidth="1"/>
    <col min="17" max="17" width="16.42578125" style="66" customWidth="1"/>
    <col min="18" max="18" width="17.42578125" style="66" customWidth="1"/>
    <col min="19" max="19" width="17.7109375" style="66" customWidth="1"/>
    <col min="20" max="20" width="20.28515625" style="66" customWidth="1"/>
    <col min="21" max="21" width="18.42578125" style="66" customWidth="1"/>
    <col min="22" max="23" width="17.42578125" style="66" customWidth="1"/>
    <col min="24" max="25" width="16.42578125" style="66" bestFit="1" customWidth="1"/>
    <col min="26" max="16384" width="11.42578125" style="66"/>
  </cols>
  <sheetData>
    <row r="2" spans="2:14">
      <c r="B2" s="75"/>
      <c r="C2" s="76"/>
      <c r="D2" s="76"/>
      <c r="E2" s="76"/>
      <c r="F2" s="77"/>
      <c r="G2" s="77"/>
      <c r="H2" s="77"/>
    </row>
    <row r="3" spans="2:14" ht="15" customHeight="1">
      <c r="B3" s="491" t="s">
        <v>91</v>
      </c>
      <c r="C3" s="492"/>
      <c r="D3" s="493"/>
    </row>
    <row r="4" spans="2:14" ht="15">
      <c r="B4" s="80"/>
      <c r="C4" s="81"/>
      <c r="D4" s="82" t="s">
        <v>92</v>
      </c>
      <c r="E4" s="83"/>
      <c r="G4" s="84"/>
      <c r="H4" s="84"/>
      <c r="I4" s="84"/>
      <c r="J4" s="84"/>
      <c r="K4" s="84"/>
      <c r="L4" s="84"/>
      <c r="M4" s="84"/>
      <c r="N4" s="84"/>
    </row>
    <row r="5" spans="2:14" ht="15">
      <c r="B5" s="85"/>
      <c r="C5" s="86"/>
      <c r="D5" s="87" t="s">
        <v>93</v>
      </c>
      <c r="E5" s="83"/>
      <c r="G5" s="84"/>
      <c r="H5" s="84"/>
      <c r="I5" s="84"/>
      <c r="J5" s="84"/>
      <c r="K5" s="84"/>
      <c r="L5" s="84"/>
      <c r="M5" s="84"/>
      <c r="N5" s="84"/>
    </row>
    <row r="6" spans="2:14">
      <c r="B6" s="88"/>
      <c r="C6" s="79"/>
      <c r="D6" s="89"/>
    </row>
    <row r="7" spans="2:14">
      <c r="B7" s="90" t="s">
        <v>94</v>
      </c>
      <c r="D7" s="89"/>
    </row>
    <row r="8" spans="2:14">
      <c r="B8" s="91"/>
      <c r="C8" s="66" t="s">
        <v>5</v>
      </c>
      <c r="D8" s="358">
        <f>+Bases!D11</f>
        <v>0</v>
      </c>
    </row>
    <row r="9" spans="2:14">
      <c r="B9" s="91"/>
      <c r="C9" s="66" t="s">
        <v>6</v>
      </c>
      <c r="D9" s="358">
        <f>+Bases!D12</f>
        <v>0</v>
      </c>
    </row>
    <row r="10" spans="2:14">
      <c r="B10" s="91"/>
      <c r="C10" s="66" t="s">
        <v>7</v>
      </c>
      <c r="D10" s="358">
        <f>+Bases!D13</f>
        <v>150000</v>
      </c>
    </row>
    <row r="11" spans="2:14">
      <c r="B11" s="91"/>
      <c r="C11" s="66" t="s">
        <v>8</v>
      </c>
      <c r="D11" s="358">
        <v>150000</v>
      </c>
    </row>
    <row r="12" spans="2:14">
      <c r="B12" s="91"/>
      <c r="C12" s="66" t="s">
        <v>331</v>
      </c>
      <c r="D12" s="358">
        <f>+Bases!D15</f>
        <v>375000</v>
      </c>
    </row>
    <row r="13" spans="2:14">
      <c r="B13" s="91"/>
      <c r="D13" s="358"/>
    </row>
    <row r="14" spans="2:14">
      <c r="B14" s="92" t="s">
        <v>95</v>
      </c>
      <c r="C14" s="93"/>
      <c r="D14" s="359">
        <f>SUM(D8:D12)</f>
        <v>675000</v>
      </c>
      <c r="G14" s="94"/>
      <c r="L14" s="94"/>
      <c r="M14" s="94"/>
    </row>
    <row r="15" spans="2:14">
      <c r="B15" s="91"/>
      <c r="D15" s="358"/>
    </row>
    <row r="16" spans="2:14">
      <c r="B16" s="90" t="s">
        <v>96</v>
      </c>
      <c r="D16" s="358"/>
    </row>
    <row r="17" spans="2:14">
      <c r="B17" s="91"/>
      <c r="C17" s="66" t="s">
        <v>10</v>
      </c>
      <c r="D17" s="358">
        <f>+Bases!D16</f>
        <v>125000</v>
      </c>
      <c r="G17" s="95"/>
      <c r="L17" s="95"/>
      <c r="M17" s="95"/>
    </row>
    <row r="18" spans="2:14">
      <c r="B18" s="91"/>
      <c r="D18" s="358"/>
    </row>
    <row r="19" spans="2:14">
      <c r="B19" s="92" t="s">
        <v>97</v>
      </c>
      <c r="C19" s="93"/>
      <c r="D19" s="359">
        <f>SUM(D16:D17)</f>
        <v>125000</v>
      </c>
      <c r="G19" s="94"/>
      <c r="L19" s="96"/>
      <c r="M19" s="94"/>
    </row>
    <row r="20" spans="2:14">
      <c r="B20" s="91"/>
      <c r="D20" s="358"/>
    </row>
    <row r="21" spans="2:14">
      <c r="B21" s="90" t="s">
        <v>98</v>
      </c>
      <c r="D21" s="358"/>
    </row>
    <row r="22" spans="2:14">
      <c r="B22" s="91"/>
      <c r="C22" s="66" t="s">
        <v>32</v>
      </c>
      <c r="D22" s="358">
        <f>+D139</f>
        <v>1091369.125</v>
      </c>
    </row>
    <row r="23" spans="2:14">
      <c r="B23" s="91"/>
      <c r="C23" s="66" t="s">
        <v>35</v>
      </c>
      <c r="D23" s="358">
        <f>+D140</f>
        <v>0</v>
      </c>
    </row>
    <row r="24" spans="2:14">
      <c r="B24" s="91"/>
      <c r="D24" s="358"/>
    </row>
    <row r="25" spans="2:14">
      <c r="B25" s="92" t="s">
        <v>99</v>
      </c>
      <c r="C25" s="93"/>
      <c r="D25" s="359">
        <f>SUM(D22:D22)</f>
        <v>1091369.125</v>
      </c>
      <c r="G25" s="94"/>
      <c r="L25" s="96"/>
      <c r="M25" s="94"/>
      <c r="N25" s="94"/>
    </row>
    <row r="26" spans="2:14">
      <c r="B26" s="91"/>
      <c r="D26" s="358"/>
    </row>
    <row r="27" spans="2:14">
      <c r="B27" s="420" t="s">
        <v>100</v>
      </c>
      <c r="C27" s="421"/>
      <c r="D27" s="419">
        <f>D14+D19+D25</f>
        <v>1891369.125</v>
      </c>
      <c r="G27" s="94"/>
      <c r="H27" s="96"/>
      <c r="I27" s="96"/>
      <c r="J27" s="96"/>
      <c r="K27" s="96"/>
      <c r="L27" s="96"/>
      <c r="M27" s="94"/>
      <c r="N27" s="94"/>
    </row>
    <row r="28" spans="2:14">
      <c r="B28" s="97"/>
      <c r="C28" s="98"/>
      <c r="D28" s="99"/>
    </row>
    <row r="30" spans="2:14">
      <c r="B30" s="494" t="s">
        <v>101</v>
      </c>
      <c r="C30" s="495"/>
      <c r="D30" s="496"/>
      <c r="G30" s="76"/>
      <c r="H30" s="76"/>
    </row>
    <row r="31" spans="2:14">
      <c r="B31" s="100"/>
      <c r="C31" s="101"/>
      <c r="D31" s="102" t="s">
        <v>102</v>
      </c>
      <c r="G31" s="103"/>
      <c r="H31" s="103"/>
      <c r="I31" s="103"/>
      <c r="J31" s="103"/>
      <c r="K31" s="103"/>
      <c r="L31" s="103"/>
      <c r="M31" s="103"/>
      <c r="N31" s="103"/>
    </row>
    <row r="32" spans="2:14">
      <c r="B32" s="104"/>
      <c r="C32" s="105"/>
      <c r="D32" s="106" t="s">
        <v>103</v>
      </c>
      <c r="G32" s="103"/>
      <c r="H32" s="103"/>
      <c r="I32" s="103"/>
      <c r="J32" s="103"/>
      <c r="K32" s="103"/>
      <c r="L32" s="103"/>
      <c r="M32" s="103"/>
      <c r="N32" s="103"/>
    </row>
    <row r="33" spans="2:23">
      <c r="B33" s="107"/>
      <c r="C33" s="108"/>
      <c r="D33" s="109"/>
      <c r="G33" s="110"/>
      <c r="H33" s="110"/>
      <c r="I33" s="110"/>
      <c r="J33" s="110"/>
      <c r="K33" s="110"/>
      <c r="L33" s="110"/>
      <c r="M33" s="110"/>
      <c r="N33" s="110"/>
    </row>
    <row r="34" spans="2:23">
      <c r="B34" s="111">
        <f>1-B36</f>
        <v>1</v>
      </c>
      <c r="C34" s="112" t="s">
        <v>15</v>
      </c>
      <c r="D34" s="360">
        <f>+B34*D27</f>
        <v>1891369.125</v>
      </c>
    </row>
    <row r="35" spans="2:23">
      <c r="B35" s="111"/>
      <c r="C35" s="114"/>
      <c r="D35" s="358"/>
    </row>
    <row r="36" spans="2:23">
      <c r="B36" s="115">
        <f>+Bases!F23</f>
        <v>0</v>
      </c>
      <c r="C36" s="114" t="s">
        <v>104</v>
      </c>
      <c r="D36" s="360">
        <f>+B36*D27</f>
        <v>0</v>
      </c>
    </row>
    <row r="37" spans="2:23">
      <c r="B37" s="91"/>
      <c r="C37" s="114"/>
      <c r="D37" s="358"/>
    </row>
    <row r="38" spans="2:23">
      <c r="B38" s="116"/>
      <c r="C38" s="117" t="s">
        <v>93</v>
      </c>
      <c r="D38" s="361">
        <f>D34+D36</f>
        <v>1891369.125</v>
      </c>
      <c r="G38" s="79"/>
      <c r="H38" s="79"/>
      <c r="I38" s="79"/>
      <c r="J38" s="79"/>
      <c r="K38" s="79"/>
      <c r="L38" s="79"/>
      <c r="M38" s="79"/>
      <c r="N38" s="79"/>
    </row>
    <row r="39" spans="2:23">
      <c r="B39" s="97"/>
      <c r="C39" s="118"/>
      <c r="D39" s="99"/>
    </row>
    <row r="42" spans="2:23" ht="20.25" customHeight="1">
      <c r="B42" s="455" t="s">
        <v>105</v>
      </c>
      <c r="C42" s="456"/>
      <c r="D42" s="456"/>
      <c r="E42" s="456"/>
      <c r="F42" s="456"/>
      <c r="G42" s="456"/>
      <c r="H42" s="456"/>
      <c r="I42" s="456"/>
      <c r="J42" s="456"/>
      <c r="K42" s="456"/>
      <c r="L42" s="456"/>
      <c r="M42" s="456"/>
      <c r="N42" s="456"/>
      <c r="O42" s="456"/>
      <c r="P42" s="456"/>
      <c r="Q42" s="456"/>
      <c r="R42" s="456"/>
      <c r="S42" s="456"/>
      <c r="T42" s="456"/>
      <c r="U42" s="456"/>
      <c r="V42" s="456"/>
      <c r="W42" s="457"/>
    </row>
    <row r="43" spans="2:23">
      <c r="B43" s="119"/>
      <c r="C43" s="81"/>
      <c r="D43" s="119"/>
      <c r="E43" s="119"/>
      <c r="F43" s="119"/>
      <c r="G43" s="119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</row>
    <row r="44" spans="2:23">
      <c r="B44" s="121"/>
      <c r="C44" s="122"/>
      <c r="D44" s="123" t="s">
        <v>41</v>
      </c>
      <c r="E44" s="123" t="s">
        <v>42</v>
      </c>
      <c r="F44" s="123" t="s">
        <v>43</v>
      </c>
      <c r="G44" s="123" t="s">
        <v>44</v>
      </c>
      <c r="H44" s="124" t="s">
        <v>45</v>
      </c>
      <c r="I44" s="124" t="s">
        <v>46</v>
      </c>
      <c r="J44" s="124" t="s">
        <v>47</v>
      </c>
      <c r="K44" s="124" t="s">
        <v>48</v>
      </c>
      <c r="L44" s="124" t="s">
        <v>49</v>
      </c>
      <c r="M44" s="124" t="s">
        <v>50</v>
      </c>
      <c r="N44" s="124" t="s">
        <v>51</v>
      </c>
      <c r="O44" s="124" t="s">
        <v>52</v>
      </c>
      <c r="P44" s="124" t="s">
        <v>53</v>
      </c>
      <c r="Q44" s="124" t="s">
        <v>54</v>
      </c>
      <c r="R44" s="124" t="s">
        <v>55</v>
      </c>
      <c r="S44" s="124" t="s">
        <v>56</v>
      </c>
      <c r="T44" s="124" t="s">
        <v>57</v>
      </c>
      <c r="U44" s="124" t="s">
        <v>58</v>
      </c>
      <c r="V44" s="124" t="s">
        <v>59</v>
      </c>
      <c r="W44" s="124" t="s">
        <v>60</v>
      </c>
    </row>
    <row r="45" spans="2:23">
      <c r="B45" s="121"/>
      <c r="C45" s="122"/>
      <c r="D45" s="121"/>
      <c r="E45" s="121"/>
      <c r="F45" s="121"/>
      <c r="G45" s="121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</row>
    <row r="46" spans="2:23">
      <c r="B46" s="91"/>
      <c r="C46" s="79"/>
      <c r="D46" s="126"/>
      <c r="E46" s="91"/>
      <c r="F46" s="91"/>
      <c r="G46" s="91"/>
      <c r="H46" s="91"/>
      <c r="I46" s="91"/>
      <c r="J46" s="91"/>
      <c r="K46" s="91"/>
      <c r="L46" s="91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</row>
    <row r="47" spans="2:23">
      <c r="B47" s="116"/>
      <c r="C47" s="127" t="s">
        <v>106</v>
      </c>
      <c r="D47" s="362">
        <f>+Bases!E63</f>
        <v>8730953</v>
      </c>
      <c r="E47" s="362">
        <f>+Bases!F63</f>
        <v>9935126.0377600007</v>
      </c>
      <c r="F47" s="362">
        <f>+Bases!G63</f>
        <v>10896349.48191328</v>
      </c>
      <c r="G47" s="362">
        <f>+Bases!H63</f>
        <v>11694310.947172754</v>
      </c>
      <c r="H47" s="362">
        <f>+Bases!I63</f>
        <v>12478578.216533948</v>
      </c>
      <c r="I47" s="362">
        <f>+Bases!J63</f>
        <v>13289935.372172985</v>
      </c>
      <c r="J47" s="362">
        <f>+Bases!K63</f>
        <v>14126669.703204997</v>
      </c>
      <c r="K47" s="362">
        <f>+Bases!L63</f>
        <v>15016084.827718783</v>
      </c>
      <c r="L47" s="362">
        <f>+Bases!M63</f>
        <v>15961497.52847196</v>
      </c>
      <c r="M47" s="361">
        <f>+Bases!N63</f>
        <v>16966433.412864555</v>
      </c>
      <c r="N47" s="361">
        <f>+Bases!O63</f>
        <v>18034640.060538508</v>
      </c>
      <c r="O47" s="361">
        <f>+Bases!P63</f>
        <v>19170100.998750016</v>
      </c>
      <c r="P47" s="361">
        <f>+Bases!Q63</f>
        <v>20377050.557631321</v>
      </c>
      <c r="Q47" s="361">
        <f>+Bases!R63</f>
        <v>21659989.660739791</v>
      </c>
      <c r="R47" s="361">
        <f>+Bases!S63</f>
        <v>23023702.609779969</v>
      </c>
      <c r="S47" s="361">
        <f>+Bases!T63</f>
        <v>24473274.926091716</v>
      </c>
      <c r="T47" s="361">
        <f>+Bases!U63</f>
        <v>26014112.315438453</v>
      </c>
      <c r="U47" s="361">
        <f>+Bases!V63</f>
        <v>27651960.826818459</v>
      </c>
      <c r="V47" s="361">
        <f>+Bases!W63</f>
        <v>29392928.280474953</v>
      </c>
      <c r="W47" s="361">
        <f>+Bases!X63</f>
        <v>31243507.045013659</v>
      </c>
    </row>
    <row r="48" spans="2:23">
      <c r="B48" s="97"/>
      <c r="C48" s="98"/>
      <c r="D48" s="97"/>
      <c r="E48" s="97"/>
      <c r="F48" s="97"/>
      <c r="G48" s="97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</row>
    <row r="51" spans="2:23" ht="18.75" customHeight="1">
      <c r="B51" s="453" t="s">
        <v>107</v>
      </c>
      <c r="C51" s="454"/>
      <c r="D51" s="454"/>
      <c r="E51" s="454"/>
      <c r="F51" s="454"/>
      <c r="G51" s="454"/>
      <c r="H51" s="454"/>
      <c r="I51" s="454"/>
      <c r="J51" s="454"/>
      <c r="K51" s="422"/>
      <c r="L51" s="422"/>
      <c r="M51" s="422"/>
      <c r="N51" s="422"/>
      <c r="O51" s="422"/>
      <c r="P51" s="422"/>
      <c r="Q51" s="422"/>
      <c r="R51" s="422"/>
      <c r="S51" s="422"/>
      <c r="T51" s="422"/>
      <c r="U51" s="422"/>
      <c r="V51" s="422"/>
      <c r="W51" s="422"/>
    </row>
    <row r="52" spans="2:23">
      <c r="B52" s="119"/>
      <c r="C52" s="81"/>
      <c r="D52" s="119"/>
      <c r="E52" s="119"/>
      <c r="F52" s="119"/>
      <c r="G52" s="119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</row>
    <row r="53" spans="2:23">
      <c r="B53" s="121"/>
      <c r="C53" s="122"/>
      <c r="D53" s="123" t="s">
        <v>41</v>
      </c>
      <c r="E53" s="123" t="s">
        <v>42</v>
      </c>
      <c r="F53" s="123" t="s">
        <v>43</v>
      </c>
      <c r="G53" s="123" t="s">
        <v>44</v>
      </c>
      <c r="H53" s="124" t="s">
        <v>45</v>
      </c>
      <c r="I53" s="124" t="s">
        <v>46</v>
      </c>
      <c r="J53" s="124" t="s">
        <v>47</v>
      </c>
      <c r="K53" s="124" t="s">
        <v>48</v>
      </c>
      <c r="L53" s="124" t="s">
        <v>49</v>
      </c>
      <c r="M53" s="124" t="s">
        <v>50</v>
      </c>
      <c r="N53" s="124" t="s">
        <v>51</v>
      </c>
      <c r="O53" s="124" t="s">
        <v>52</v>
      </c>
      <c r="P53" s="124" t="s">
        <v>53</v>
      </c>
      <c r="Q53" s="124" t="s">
        <v>54</v>
      </c>
      <c r="R53" s="124" t="s">
        <v>55</v>
      </c>
      <c r="S53" s="124" t="s">
        <v>56</v>
      </c>
      <c r="T53" s="124" t="s">
        <v>57</v>
      </c>
      <c r="U53" s="124" t="s">
        <v>58</v>
      </c>
      <c r="V53" s="124" t="s">
        <v>59</v>
      </c>
      <c r="W53" s="124" t="s">
        <v>60</v>
      </c>
    </row>
    <row r="54" spans="2:23">
      <c r="B54" s="121"/>
      <c r="C54" s="122"/>
      <c r="D54" s="121"/>
      <c r="E54" s="121"/>
      <c r="F54" s="121"/>
      <c r="G54" s="121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</row>
    <row r="55" spans="2:23">
      <c r="B55" s="128"/>
      <c r="C55" s="129"/>
      <c r="D55" s="128"/>
      <c r="E55" s="128"/>
      <c r="F55" s="128"/>
      <c r="G55" s="128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</row>
    <row r="56" spans="2:23">
      <c r="B56" s="128"/>
      <c r="C56" s="131" t="str">
        <f>+Bases!C70</f>
        <v>Costos operacionales</v>
      </c>
      <c r="D56" s="363">
        <f>+Bases!E70</f>
        <v>7421310.0499999998</v>
      </c>
      <c r="E56" s="363">
        <f>+Bases!F70</f>
        <v>8444857.132096</v>
      </c>
      <c r="F56" s="363">
        <f>+Bases!G70</f>
        <v>9261897.0596262868</v>
      </c>
      <c r="G56" s="363">
        <f>+Bases!H70</f>
        <v>9940164.3050968405</v>
      </c>
      <c r="H56" s="363">
        <f>+Bases!I70</f>
        <v>10606791.484053856</v>
      </c>
      <c r="I56" s="363">
        <f>+Bases!J70</f>
        <v>11296445.066347037</v>
      </c>
      <c r="J56" s="363">
        <f>+Bases!K70</f>
        <v>12007669.247724246</v>
      </c>
      <c r="K56" s="363">
        <f>+Bases!L70</f>
        <v>12763672.103560966</v>
      </c>
      <c r="L56" s="363">
        <f>+Bases!M70</f>
        <v>13567272.899201166</v>
      </c>
      <c r="M56" s="358">
        <f>+Bases!N70</f>
        <v>14421468.400934871</v>
      </c>
      <c r="N56" s="358">
        <f>+Bases!O70</f>
        <v>15329444.051457731</v>
      </c>
      <c r="O56" s="358">
        <f>+Bases!P70</f>
        <v>16294585.848937513</v>
      </c>
      <c r="P56" s="358">
        <f>+Bases!Q70</f>
        <v>17320492.973986622</v>
      </c>
      <c r="Q56" s="358">
        <f>+Bases!R70</f>
        <v>18410991.211628821</v>
      </c>
      <c r="R56" s="358">
        <f>+Bases!S70</f>
        <v>19570147.218312971</v>
      </c>
      <c r="S56" s="358">
        <f>+Bases!T70</f>
        <v>20802283.687177956</v>
      </c>
      <c r="T56" s="358">
        <f>+Bases!U70</f>
        <v>22111995.468122683</v>
      </c>
      <c r="U56" s="358">
        <f>+Bases!V70</f>
        <v>23504166.702795688</v>
      </c>
      <c r="V56" s="358">
        <f>+Bases!W70</f>
        <v>24983989.038403708</v>
      </c>
      <c r="W56" s="358">
        <f>+Bases!X70</f>
        <v>26556980.98826161</v>
      </c>
    </row>
    <row r="57" spans="2:23" ht="2.25" customHeight="1">
      <c r="B57" s="128"/>
      <c r="C57" s="131"/>
      <c r="D57" s="363"/>
      <c r="E57" s="363"/>
      <c r="F57" s="363"/>
      <c r="G57" s="363"/>
      <c r="H57" s="363"/>
      <c r="I57" s="363"/>
      <c r="J57" s="363"/>
      <c r="K57" s="363"/>
      <c r="L57" s="363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</row>
    <row r="58" spans="2:23" hidden="1">
      <c r="B58" s="128"/>
      <c r="C58" s="131">
        <f>+Bases!C71</f>
        <v>0</v>
      </c>
      <c r="D58" s="363">
        <f>+Bases!E71</f>
        <v>0</v>
      </c>
      <c r="E58" s="363">
        <f>+Bases!F71</f>
        <v>0</v>
      </c>
      <c r="F58" s="363">
        <f>+Bases!G71</f>
        <v>0</v>
      </c>
      <c r="G58" s="363">
        <f>+Bases!H71</f>
        <v>0</v>
      </c>
      <c r="H58" s="363">
        <f>+Bases!I71</f>
        <v>0</v>
      </c>
      <c r="I58" s="363">
        <f>+Bases!J71</f>
        <v>0</v>
      </c>
      <c r="J58" s="363">
        <f>+Bases!K71</f>
        <v>0</v>
      </c>
      <c r="K58" s="363">
        <f>+Bases!L71</f>
        <v>0</v>
      </c>
      <c r="L58" s="363">
        <f>+Bases!M71</f>
        <v>0</v>
      </c>
      <c r="M58" s="358">
        <f>+Bases!N71</f>
        <v>0</v>
      </c>
      <c r="N58" s="358">
        <f>+Bases!O71</f>
        <v>0</v>
      </c>
      <c r="O58" s="358">
        <f>+Bases!P71</f>
        <v>0</v>
      </c>
      <c r="P58" s="358">
        <f>+Bases!Q71</f>
        <v>0</v>
      </c>
      <c r="Q58" s="358">
        <f>+Bases!R71</f>
        <v>0</v>
      </c>
      <c r="R58" s="358">
        <f>+Bases!S71</f>
        <v>0</v>
      </c>
      <c r="S58" s="358">
        <f>+Bases!T71</f>
        <v>0</v>
      </c>
      <c r="T58" s="358">
        <f>+Bases!U71</f>
        <v>0</v>
      </c>
      <c r="U58" s="358">
        <f>+Bases!V71</f>
        <v>0</v>
      </c>
      <c r="V58" s="358">
        <f>+Bases!W71</f>
        <v>0</v>
      </c>
      <c r="W58" s="358">
        <f>+Bases!X71</f>
        <v>0</v>
      </c>
    </row>
    <row r="59" spans="2:23" hidden="1">
      <c r="B59" s="128"/>
      <c r="C59" s="131"/>
      <c r="D59" s="363"/>
      <c r="E59" s="363"/>
      <c r="F59" s="363"/>
      <c r="G59" s="363"/>
      <c r="H59" s="363"/>
      <c r="I59" s="363"/>
      <c r="J59" s="363"/>
      <c r="K59" s="363"/>
      <c r="L59" s="363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</row>
    <row r="60" spans="2:23" hidden="1">
      <c r="B60" s="128"/>
      <c r="C60" s="131">
        <f>+Bases!C72</f>
        <v>0</v>
      </c>
      <c r="D60" s="363">
        <f>+Bases!E72</f>
        <v>0</v>
      </c>
      <c r="E60" s="363">
        <f>+Bases!F72</f>
        <v>0</v>
      </c>
      <c r="F60" s="363">
        <f>+Bases!G72</f>
        <v>0</v>
      </c>
      <c r="G60" s="363">
        <f>+Bases!H72</f>
        <v>0</v>
      </c>
      <c r="H60" s="363">
        <f>+Bases!I72</f>
        <v>0</v>
      </c>
      <c r="I60" s="363">
        <f>+Bases!J72</f>
        <v>0</v>
      </c>
      <c r="J60" s="363">
        <f>+Bases!K72</f>
        <v>0</v>
      </c>
      <c r="K60" s="363">
        <f>+Bases!L72</f>
        <v>0</v>
      </c>
      <c r="L60" s="363">
        <f>+Bases!M72</f>
        <v>0</v>
      </c>
      <c r="M60" s="358">
        <f>+Bases!N72</f>
        <v>0</v>
      </c>
      <c r="N60" s="358">
        <f>+Bases!O72</f>
        <v>0</v>
      </c>
      <c r="O60" s="358">
        <f>+Bases!P72</f>
        <v>0</v>
      </c>
      <c r="P60" s="358">
        <f>+Bases!Q72</f>
        <v>0</v>
      </c>
      <c r="Q60" s="358">
        <f>+Bases!R72</f>
        <v>0</v>
      </c>
      <c r="R60" s="358">
        <f>+Bases!S72</f>
        <v>0</v>
      </c>
      <c r="S60" s="358">
        <f>+Bases!T72</f>
        <v>0</v>
      </c>
      <c r="T60" s="358">
        <f>+Bases!U72</f>
        <v>0</v>
      </c>
      <c r="U60" s="358">
        <f>+Bases!V72</f>
        <v>0</v>
      </c>
      <c r="V60" s="358">
        <f>+Bases!W72</f>
        <v>0</v>
      </c>
      <c r="W60" s="358">
        <f>+Bases!X72</f>
        <v>0</v>
      </c>
    </row>
    <row r="61" spans="2:23" hidden="1">
      <c r="B61" s="128"/>
      <c r="C61" s="131"/>
      <c r="D61" s="363"/>
      <c r="E61" s="363"/>
      <c r="F61" s="363"/>
      <c r="G61" s="363"/>
      <c r="H61" s="363"/>
      <c r="I61" s="363"/>
      <c r="J61" s="363"/>
      <c r="K61" s="363"/>
      <c r="L61" s="363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</row>
    <row r="62" spans="2:23">
      <c r="B62" s="128"/>
      <c r="C62" s="131">
        <f>+Bases!C73</f>
        <v>0</v>
      </c>
      <c r="D62" s="363">
        <f>+Bases!E73</f>
        <v>0</v>
      </c>
      <c r="E62" s="363">
        <f>+Bases!F73</f>
        <v>0</v>
      </c>
      <c r="F62" s="363">
        <f>+Bases!G73</f>
        <v>0</v>
      </c>
      <c r="G62" s="363">
        <f>+Bases!H73</f>
        <v>0</v>
      </c>
      <c r="H62" s="363">
        <f>+Bases!I73</f>
        <v>0</v>
      </c>
      <c r="I62" s="363">
        <f>+Bases!J73</f>
        <v>0</v>
      </c>
      <c r="J62" s="363">
        <f>+Bases!K73</f>
        <v>0</v>
      </c>
      <c r="K62" s="363">
        <f>+Bases!L73</f>
        <v>0</v>
      </c>
      <c r="L62" s="363">
        <f>+Bases!M73</f>
        <v>0</v>
      </c>
      <c r="M62" s="358">
        <f>+Bases!N73</f>
        <v>0</v>
      </c>
      <c r="N62" s="358">
        <f>+Bases!O73</f>
        <v>0</v>
      </c>
      <c r="O62" s="358">
        <f>+Bases!P73</f>
        <v>0</v>
      </c>
      <c r="P62" s="358">
        <f>+Bases!Q73</f>
        <v>0</v>
      </c>
      <c r="Q62" s="358">
        <f>+Bases!R73</f>
        <v>0</v>
      </c>
      <c r="R62" s="358">
        <f>+Bases!S73</f>
        <v>0</v>
      </c>
      <c r="S62" s="358">
        <f>+Bases!T73</f>
        <v>0</v>
      </c>
      <c r="T62" s="358">
        <f>+Bases!U73</f>
        <v>0</v>
      </c>
      <c r="U62" s="358">
        <f>+Bases!V73</f>
        <v>0</v>
      </c>
      <c r="V62" s="358">
        <f>+Bases!W73</f>
        <v>0</v>
      </c>
      <c r="W62" s="358">
        <f>+Bases!X73</f>
        <v>0</v>
      </c>
    </row>
    <row r="63" spans="2:23">
      <c r="B63" s="128"/>
      <c r="D63" s="363"/>
      <c r="E63" s="363"/>
      <c r="F63" s="363"/>
      <c r="G63" s="363"/>
      <c r="H63" s="363"/>
      <c r="I63" s="363"/>
      <c r="J63" s="363"/>
      <c r="K63" s="363"/>
      <c r="L63" s="363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</row>
    <row r="64" spans="2:23">
      <c r="B64" s="116"/>
      <c r="C64" s="127" t="s">
        <v>108</v>
      </c>
      <c r="D64" s="362">
        <f t="shared" ref="D64:W64" si="0">SUM(D56:D63)</f>
        <v>7421310.0499999998</v>
      </c>
      <c r="E64" s="362">
        <f t="shared" si="0"/>
        <v>8444857.132096</v>
      </c>
      <c r="F64" s="362">
        <f t="shared" si="0"/>
        <v>9261897.0596262868</v>
      </c>
      <c r="G64" s="362">
        <f t="shared" si="0"/>
        <v>9940164.3050968405</v>
      </c>
      <c r="H64" s="362">
        <f t="shared" si="0"/>
        <v>10606791.484053856</v>
      </c>
      <c r="I64" s="362">
        <f t="shared" si="0"/>
        <v>11296445.066347037</v>
      </c>
      <c r="J64" s="362">
        <f t="shared" si="0"/>
        <v>12007669.247724246</v>
      </c>
      <c r="K64" s="362">
        <f t="shared" si="0"/>
        <v>12763672.103560966</v>
      </c>
      <c r="L64" s="362">
        <f t="shared" si="0"/>
        <v>13567272.899201166</v>
      </c>
      <c r="M64" s="361">
        <f t="shared" si="0"/>
        <v>14421468.400934871</v>
      </c>
      <c r="N64" s="361">
        <f t="shared" si="0"/>
        <v>15329444.051457731</v>
      </c>
      <c r="O64" s="361">
        <f t="shared" si="0"/>
        <v>16294585.848937513</v>
      </c>
      <c r="P64" s="361">
        <f t="shared" si="0"/>
        <v>17320492.973986622</v>
      </c>
      <c r="Q64" s="361">
        <f t="shared" si="0"/>
        <v>18410991.211628821</v>
      </c>
      <c r="R64" s="361">
        <f t="shared" si="0"/>
        <v>19570147.218312971</v>
      </c>
      <c r="S64" s="361">
        <f t="shared" si="0"/>
        <v>20802283.687177956</v>
      </c>
      <c r="T64" s="361">
        <f t="shared" si="0"/>
        <v>22111995.468122683</v>
      </c>
      <c r="U64" s="361">
        <f t="shared" si="0"/>
        <v>23504166.702795688</v>
      </c>
      <c r="V64" s="361">
        <f t="shared" si="0"/>
        <v>24983989.038403708</v>
      </c>
      <c r="W64" s="361">
        <f t="shared" si="0"/>
        <v>26556980.98826161</v>
      </c>
    </row>
    <row r="65" spans="2:23">
      <c r="B65" s="97"/>
      <c r="C65" s="98"/>
      <c r="D65" s="364"/>
      <c r="E65" s="364"/>
      <c r="F65" s="364"/>
      <c r="G65" s="364"/>
      <c r="H65" s="365"/>
      <c r="I65" s="365"/>
      <c r="J65" s="365"/>
      <c r="K65" s="365"/>
      <c r="L65" s="365"/>
      <c r="M65" s="365"/>
      <c r="N65" s="365"/>
      <c r="O65" s="365"/>
      <c r="P65" s="365"/>
      <c r="Q65" s="365"/>
      <c r="R65" s="365"/>
      <c r="S65" s="365"/>
      <c r="T65" s="365"/>
      <c r="U65" s="365"/>
      <c r="V65" s="365"/>
      <c r="W65" s="365"/>
    </row>
    <row r="67" spans="2:23">
      <c r="B67" s="75" t="s">
        <v>109</v>
      </c>
      <c r="C67" s="77"/>
      <c r="D67" s="77"/>
      <c r="E67" s="77"/>
      <c r="F67" s="77"/>
      <c r="G67" s="77"/>
      <c r="H67" s="77"/>
      <c r="I67" s="77"/>
      <c r="J67" s="77"/>
      <c r="K67" s="77"/>
    </row>
    <row r="68" spans="2:23">
      <c r="B68" s="77"/>
      <c r="C68" s="77"/>
      <c r="D68" s="77"/>
      <c r="E68" s="77"/>
      <c r="F68" s="77"/>
      <c r="G68" s="77"/>
      <c r="H68" s="77"/>
      <c r="I68" s="77"/>
      <c r="J68" s="77"/>
    </row>
    <row r="69" spans="2:23">
      <c r="B69" s="119"/>
      <c r="C69" s="81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</row>
    <row r="70" spans="2:23">
      <c r="B70" s="121"/>
      <c r="C70" s="122"/>
      <c r="D70" s="124" t="s">
        <v>41</v>
      </c>
      <c r="E70" s="124" t="s">
        <v>42</v>
      </c>
      <c r="F70" s="124" t="s">
        <v>43</v>
      </c>
      <c r="G70" s="124" t="s">
        <v>44</v>
      </c>
      <c r="H70" s="124" t="s">
        <v>45</v>
      </c>
      <c r="I70" s="124" t="s">
        <v>46</v>
      </c>
      <c r="J70" s="124" t="s">
        <v>47</v>
      </c>
      <c r="K70" s="124" t="s">
        <v>48</v>
      </c>
      <c r="L70" s="124" t="s">
        <v>49</v>
      </c>
      <c r="M70" s="124" t="s">
        <v>50</v>
      </c>
      <c r="N70" s="124" t="s">
        <v>51</v>
      </c>
      <c r="O70" s="124" t="s">
        <v>52</v>
      </c>
      <c r="P70" s="124" t="s">
        <v>53</v>
      </c>
      <c r="Q70" s="124" t="s">
        <v>54</v>
      </c>
      <c r="R70" s="124" t="s">
        <v>55</v>
      </c>
      <c r="S70" s="124" t="s">
        <v>56</v>
      </c>
      <c r="T70" s="124" t="s">
        <v>57</v>
      </c>
      <c r="U70" s="124" t="s">
        <v>58</v>
      </c>
      <c r="V70" s="124" t="s">
        <v>59</v>
      </c>
      <c r="W70" s="124" t="s">
        <v>60</v>
      </c>
    </row>
    <row r="71" spans="2:23">
      <c r="B71" s="121"/>
      <c r="C71" s="122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</row>
    <row r="72" spans="2:23">
      <c r="B72" s="128"/>
      <c r="C72" s="129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</row>
    <row r="73" spans="2:23">
      <c r="B73" s="132"/>
      <c r="C73" s="131" t="str">
        <f>+Bases!C80</f>
        <v>Personal</v>
      </c>
      <c r="D73" s="358">
        <f>+Bases!E80</f>
        <v>514333.66029318038</v>
      </c>
      <c r="E73" s="358">
        <f>+Bases!F80</f>
        <v>585270.55872081581</v>
      </c>
      <c r="F73" s="358">
        <f>+Bases!G80</f>
        <v>641895.48527705471</v>
      </c>
      <c r="G73" s="358">
        <f>+Bases!H80</f>
        <v>688902.77545486402</v>
      </c>
      <c r="H73" s="358">
        <f>+Bases!I80</f>
        <v>735103.35118796909</v>
      </c>
      <c r="I73" s="358">
        <f>+Bases!J80</f>
        <v>782899.77108221082</v>
      </c>
      <c r="J73" s="358">
        <f>+Bases!K80</f>
        <v>832191.14066954679</v>
      </c>
      <c r="K73" s="358">
        <f>+Bases!L80</f>
        <v>884585.89488610148</v>
      </c>
      <c r="L73" s="358">
        <f>+Bases!M80</f>
        <v>940279.42282813054</v>
      </c>
      <c r="M73" s="358">
        <f>+Bases!N80</f>
        <v>999479.41528938967</v>
      </c>
      <c r="N73" s="358">
        <f>+Bases!O80</f>
        <v>1062406.6392760098</v>
      </c>
      <c r="O73" s="358">
        <f>+Bases!P80</f>
        <v>1129295.7612848275</v>
      </c>
      <c r="P73" s="358">
        <f>+Bases!Q80</f>
        <v>1200396.2224153203</v>
      </c>
      <c r="Q73" s="358">
        <f>+Bases!R80</f>
        <v>1275973.1685785891</v>
      </c>
      <c r="R73" s="358">
        <f>+Bases!S80</f>
        <v>1356308.4392722971</v>
      </c>
      <c r="S73" s="358">
        <f>+Bases!T80</f>
        <v>1441701.618608881</v>
      </c>
      <c r="T73" s="358">
        <f>+Bases!U80</f>
        <v>1532471.1525164964</v>
      </c>
      <c r="U73" s="358">
        <f>+Bases!V80</f>
        <v>1628955.5362789349</v>
      </c>
      <c r="V73" s="358">
        <f>+Bases!W80</f>
        <v>1731514.5768430568</v>
      </c>
      <c r="W73" s="358">
        <f>+Bases!X80</f>
        <v>1840530.734601096</v>
      </c>
    </row>
    <row r="74" spans="2:23">
      <c r="B74" s="132"/>
      <c r="C74" s="131"/>
      <c r="D74" s="358"/>
      <c r="E74" s="358"/>
      <c r="F74" s="358"/>
      <c r="G74" s="358"/>
      <c r="H74" s="358"/>
      <c r="I74" s="358"/>
      <c r="J74" s="358"/>
      <c r="K74" s="358"/>
      <c r="L74" s="358"/>
      <c r="M74" s="358"/>
      <c r="N74" s="358"/>
      <c r="O74" s="358"/>
      <c r="P74" s="358"/>
      <c r="Q74" s="358"/>
      <c r="R74" s="358"/>
      <c r="S74" s="358"/>
      <c r="T74" s="358"/>
      <c r="U74" s="358"/>
      <c r="V74" s="358"/>
      <c r="W74" s="358"/>
    </row>
    <row r="75" spans="2:23">
      <c r="B75" s="132"/>
      <c r="C75" s="131" t="s">
        <v>71</v>
      </c>
      <c r="D75" s="358">
        <f>Bases!E81</f>
        <v>56441.560866794134</v>
      </c>
      <c r="E75" s="358">
        <f>Bases!F81</f>
        <v>64225.980941542381</v>
      </c>
      <c r="F75" s="358">
        <f>Bases!G81</f>
        <v>70439.844597636606</v>
      </c>
      <c r="G75" s="358">
        <f>Bases!H81</f>
        <v>75598.29529721073</v>
      </c>
      <c r="H75" s="358">
        <f>Bases!I81</f>
        <v>80668.219373022876</v>
      </c>
      <c r="I75" s="358">
        <f>Bases!J81</f>
        <v>85913.266996656821</v>
      </c>
      <c r="J75" s="358">
        <f>Bases!K81</f>
        <v>91322.366286766337</v>
      </c>
      <c r="K75" s="358">
        <f>Bases!L81</f>
        <v>97072.022468181152</v>
      </c>
      <c r="L75" s="358">
        <f>Bases!M81</f>
        <v>103183.67700277784</v>
      </c>
      <c r="M75" s="358">
        <f>Bases!N81</f>
        <v>109680.12130687274</v>
      </c>
      <c r="N75" s="358">
        <f>Bases!O81</f>
        <v>116585.58174435345</v>
      </c>
      <c r="O75" s="358">
        <f>Bases!P81</f>
        <v>123925.80997097798</v>
      </c>
      <c r="P75" s="358">
        <f>Bases!Q81</f>
        <v>131728.17896675077</v>
      </c>
      <c r="Q75" s="358">
        <f>Bases!R81</f>
        <v>140021.78511449741</v>
      </c>
      <c r="R75" s="358">
        <f>Bases!S81</f>
        <v>148837.55670530617</v>
      </c>
      <c r="S75" s="358">
        <f>Bases!T81</f>
        <v>158208.36927547224</v>
      </c>
      <c r="T75" s="358">
        <f>Bases!U81</f>
        <v>168169.16820505599</v>
      </c>
      <c r="U75" s="358">
        <f>Bases!V81</f>
        <v>178757.09903524633</v>
      </c>
      <c r="V75" s="358">
        <f>Bases!W81</f>
        <v>190011.64599050547</v>
      </c>
      <c r="W75" s="358">
        <f>Bases!X81</f>
        <v>201974.77922206771</v>
      </c>
    </row>
    <row r="76" spans="2:23">
      <c r="B76" s="132"/>
      <c r="C76" s="131"/>
      <c r="D76" s="358"/>
      <c r="E76" s="358"/>
      <c r="F76" s="358"/>
      <c r="G76" s="358"/>
      <c r="H76" s="358"/>
      <c r="I76" s="358"/>
      <c r="J76" s="358"/>
      <c r="K76" s="358"/>
      <c r="L76" s="358"/>
      <c r="M76" s="358"/>
      <c r="N76" s="358"/>
      <c r="O76" s="358"/>
      <c r="P76" s="358"/>
      <c r="Q76" s="358"/>
      <c r="R76" s="358"/>
      <c r="S76" s="358"/>
      <c r="T76" s="358"/>
      <c r="U76" s="358"/>
      <c r="V76" s="358"/>
      <c r="W76" s="358"/>
    </row>
    <row r="77" spans="2:23">
      <c r="B77" s="132"/>
      <c r="C77" s="131" t="s">
        <v>73</v>
      </c>
      <c r="D77" s="358">
        <f>Bases!E82+Bases!E83</f>
        <v>249412.07766411727</v>
      </c>
      <c r="E77" s="358">
        <f>Bases!F82+Bases!F83</f>
        <v>283810.99141555233</v>
      </c>
      <c r="F77" s="358">
        <f>Bases!G82+Bases!G83</f>
        <v>311269.70483500697</v>
      </c>
      <c r="G77" s="358">
        <f>Bases!H82+Bases!H83</f>
        <v>334064.60785948427</v>
      </c>
      <c r="H77" s="358">
        <f>Bases!I82+Bases!I83</f>
        <v>356468.31672097271</v>
      </c>
      <c r="I77" s="358">
        <f>Bases!J82+Bases!J83</f>
        <v>379645.88667417038</v>
      </c>
      <c r="J77" s="358">
        <f>Bases!K82+Bases!K83</f>
        <v>403548.39169917617</v>
      </c>
      <c r="K77" s="358">
        <f>Bases!L82+Bases!L83</f>
        <v>428955.79844055627</v>
      </c>
      <c r="L77" s="358">
        <f>Bases!M82+Bases!M83</f>
        <v>455962.85551037372</v>
      </c>
      <c r="M77" s="358">
        <f>Bases!N82+Bases!N83</f>
        <v>484670.27689330687</v>
      </c>
      <c r="N77" s="358">
        <f>Bases!O82+Bases!O83</f>
        <v>515185.11752650957</v>
      </c>
      <c r="O77" s="358">
        <f>Bases!P82+Bases!P83</f>
        <v>547621.17252597865</v>
      </c>
      <c r="P77" s="358">
        <f>Bases!Q82+Bases!Q83</f>
        <v>582099.40154821449</v>
      </c>
      <c r="Q77" s="358">
        <f>Bases!R82+Bases!R83</f>
        <v>618748.37986969005</v>
      </c>
      <c r="R77" s="358">
        <f>Bases!S82+Bases!S83</f>
        <v>657704.77786628576</v>
      </c>
      <c r="S77" s="358">
        <f>Bases!T82+Bases!T83</f>
        <v>699113.87068074709</v>
      </c>
      <c r="T77" s="358">
        <f>Bases!U82+Bases!U83</f>
        <v>743130.07997880701</v>
      </c>
      <c r="U77" s="358">
        <f>Bases!V82+Bases!V83</f>
        <v>789917.54981427267</v>
      </c>
      <c r="V77" s="358">
        <f>Bases!W82+Bases!W83</f>
        <v>839650.75875057944</v>
      </c>
      <c r="W77" s="358">
        <f>Bases!X82+Bases!X83</f>
        <v>892515.17052151612</v>
      </c>
    </row>
    <row r="78" spans="2:23">
      <c r="B78" s="132"/>
      <c r="C78" s="131"/>
      <c r="D78" s="358"/>
      <c r="E78" s="358"/>
      <c r="F78" s="358"/>
      <c r="G78" s="358"/>
      <c r="H78" s="358"/>
      <c r="I78" s="358"/>
      <c r="J78" s="358"/>
      <c r="K78" s="358"/>
      <c r="L78" s="358"/>
      <c r="M78" s="358"/>
      <c r="N78" s="358"/>
      <c r="O78" s="358"/>
      <c r="P78" s="358"/>
      <c r="Q78" s="358"/>
      <c r="R78" s="358"/>
      <c r="S78" s="358"/>
      <c r="T78" s="358"/>
      <c r="U78" s="358"/>
      <c r="V78" s="358"/>
      <c r="W78" s="358"/>
    </row>
    <row r="79" spans="2:23">
      <c r="B79" s="132"/>
      <c r="C79" s="131" t="str">
        <f>+Bases!C84</f>
        <v>Diversos Ventas</v>
      </c>
      <c r="D79" s="358">
        <f>+Bases!E84</f>
        <v>87309.53</v>
      </c>
      <c r="E79" s="358">
        <f>+Bases!F84</f>
        <v>99351.260377600003</v>
      </c>
      <c r="F79" s="358">
        <f>+Bases!G84</f>
        <v>108963.4948191328</v>
      </c>
      <c r="G79" s="358">
        <f>+Bases!H84</f>
        <v>116943.10947172754</v>
      </c>
      <c r="H79" s="358">
        <f>+Bases!I84</f>
        <v>124785.78216533948</v>
      </c>
      <c r="I79" s="358">
        <f>+Bases!J84</f>
        <v>132899.35372172986</v>
      </c>
      <c r="J79" s="358">
        <f>+Bases!K84</f>
        <v>141266.69703204997</v>
      </c>
      <c r="K79" s="358">
        <f>+Bases!L84</f>
        <v>150160.84827718785</v>
      </c>
      <c r="L79" s="358">
        <f>+Bases!M84</f>
        <v>159614.97528471961</v>
      </c>
      <c r="M79" s="358">
        <f>+Bases!N84</f>
        <v>169664.33412864554</v>
      </c>
      <c r="N79" s="358">
        <f>+Bases!O84</f>
        <v>180346.40060538508</v>
      </c>
      <c r="O79" s="358">
        <f>+Bases!P84</f>
        <v>191701.00998750018</v>
      </c>
      <c r="P79" s="358">
        <f>+Bases!Q84</f>
        <v>203770.50557631321</v>
      </c>
      <c r="Q79" s="358">
        <f>+Bases!R84</f>
        <v>216599.89660739791</v>
      </c>
      <c r="R79" s="358">
        <f>+Bases!S84</f>
        <v>230237.02609779968</v>
      </c>
      <c r="S79" s="358">
        <f>+Bases!T84</f>
        <v>244732.74926091716</v>
      </c>
      <c r="T79" s="358">
        <f>+Bases!U84</f>
        <v>260141.12315438455</v>
      </c>
      <c r="U79" s="358">
        <f>+Bases!V84</f>
        <v>276519.60826818459</v>
      </c>
      <c r="V79" s="358">
        <f>+Bases!W84</f>
        <v>293929.28280474956</v>
      </c>
      <c r="W79" s="358">
        <f>+Bases!X84</f>
        <v>312435.07045013661</v>
      </c>
    </row>
    <row r="80" spans="2:23">
      <c r="B80" s="132"/>
      <c r="C80" s="131"/>
      <c r="D80" s="358"/>
      <c r="E80" s="358"/>
      <c r="F80" s="358"/>
      <c r="G80" s="358"/>
      <c r="H80" s="358"/>
      <c r="I80" s="358"/>
      <c r="J80" s="358"/>
      <c r="K80" s="358"/>
      <c r="L80" s="358"/>
      <c r="M80" s="358"/>
      <c r="N80" s="358"/>
      <c r="O80" s="358"/>
      <c r="P80" s="358"/>
      <c r="Q80" s="358"/>
      <c r="R80" s="358"/>
      <c r="S80" s="358"/>
      <c r="T80" s="358"/>
      <c r="U80" s="358"/>
      <c r="V80" s="358"/>
      <c r="W80" s="358"/>
    </row>
    <row r="81" spans="2:23">
      <c r="B81" s="132"/>
      <c r="C81" s="131" t="str">
        <f>+Bases!C85</f>
        <v>Depreciacion</v>
      </c>
      <c r="D81" s="358">
        <f>+Bases!E85</f>
        <v>0</v>
      </c>
      <c r="E81" s="358">
        <f>+Bases!F85</f>
        <v>0</v>
      </c>
      <c r="F81" s="358">
        <f>+Bases!G85</f>
        <v>0</v>
      </c>
      <c r="G81" s="358">
        <f>+Bases!H85</f>
        <v>0</v>
      </c>
      <c r="H81" s="358">
        <f>+Bases!I85</f>
        <v>0</v>
      </c>
      <c r="I81" s="358">
        <f>+Bases!J85</f>
        <v>0</v>
      </c>
      <c r="J81" s="358">
        <f>+Bases!K85</f>
        <v>0</v>
      </c>
      <c r="K81" s="358">
        <f>+Bases!L85</f>
        <v>0</v>
      </c>
      <c r="L81" s="358">
        <f>+Bases!M85</f>
        <v>0</v>
      </c>
      <c r="M81" s="358">
        <f>+Bases!N85</f>
        <v>0</v>
      </c>
      <c r="N81" s="358">
        <f>+Bases!O85</f>
        <v>0</v>
      </c>
      <c r="O81" s="358">
        <f>+Bases!P85</f>
        <v>0</v>
      </c>
      <c r="P81" s="358">
        <f>+Bases!Q85</f>
        <v>0</v>
      </c>
      <c r="Q81" s="358">
        <f>+Bases!R85</f>
        <v>0</v>
      </c>
      <c r="R81" s="358">
        <f>+Bases!S85</f>
        <v>0</v>
      </c>
      <c r="S81" s="358">
        <f>+Bases!T85</f>
        <v>0</v>
      </c>
      <c r="T81" s="358">
        <f>+Bases!U85</f>
        <v>0</v>
      </c>
      <c r="U81" s="358">
        <f>+Bases!V85</f>
        <v>0</v>
      </c>
      <c r="V81" s="358">
        <f>+Bases!W85</f>
        <v>0</v>
      </c>
      <c r="W81" s="358">
        <f>+Bases!X85</f>
        <v>0</v>
      </c>
    </row>
    <row r="82" spans="2:23">
      <c r="B82" s="133"/>
      <c r="C82" s="131"/>
      <c r="D82" s="363"/>
      <c r="E82" s="363"/>
      <c r="F82" s="363"/>
      <c r="G82" s="363"/>
      <c r="H82" s="363"/>
      <c r="I82" s="363"/>
      <c r="J82" s="363"/>
      <c r="K82" s="363"/>
      <c r="L82" s="363"/>
      <c r="M82" s="358"/>
      <c r="N82" s="358"/>
      <c r="O82" s="358"/>
      <c r="P82" s="358"/>
      <c r="Q82" s="358"/>
      <c r="R82" s="358"/>
      <c r="S82" s="358"/>
      <c r="T82" s="358"/>
      <c r="U82" s="358"/>
      <c r="V82" s="358"/>
      <c r="W82" s="358"/>
    </row>
    <row r="83" spans="2:23">
      <c r="B83" s="133"/>
      <c r="C83" s="131" t="s">
        <v>110</v>
      </c>
      <c r="D83" s="363">
        <f t="shared" ref="D83:W83" si="1">+D127</f>
        <v>25000</v>
      </c>
      <c r="E83" s="363">
        <f t="shared" si="1"/>
        <v>25000</v>
      </c>
      <c r="F83" s="363">
        <f t="shared" si="1"/>
        <v>25000</v>
      </c>
      <c r="G83" s="363">
        <f t="shared" si="1"/>
        <v>25000</v>
      </c>
      <c r="H83" s="363">
        <f t="shared" si="1"/>
        <v>25000</v>
      </c>
      <c r="I83" s="363">
        <f t="shared" si="1"/>
        <v>0</v>
      </c>
      <c r="J83" s="363">
        <f t="shared" si="1"/>
        <v>0</v>
      </c>
      <c r="K83" s="363">
        <f t="shared" si="1"/>
        <v>0</v>
      </c>
      <c r="L83" s="363">
        <f t="shared" si="1"/>
        <v>0</v>
      </c>
      <c r="M83" s="358">
        <f t="shared" si="1"/>
        <v>0</v>
      </c>
      <c r="N83" s="358">
        <f t="shared" si="1"/>
        <v>0</v>
      </c>
      <c r="O83" s="358">
        <f t="shared" si="1"/>
        <v>0</v>
      </c>
      <c r="P83" s="358">
        <f t="shared" si="1"/>
        <v>0</v>
      </c>
      <c r="Q83" s="358">
        <f t="shared" si="1"/>
        <v>0</v>
      </c>
      <c r="R83" s="358">
        <f t="shared" si="1"/>
        <v>0</v>
      </c>
      <c r="S83" s="358">
        <f t="shared" si="1"/>
        <v>0</v>
      </c>
      <c r="T83" s="358">
        <f t="shared" si="1"/>
        <v>0</v>
      </c>
      <c r="U83" s="358">
        <f t="shared" si="1"/>
        <v>0</v>
      </c>
      <c r="V83" s="358">
        <f t="shared" si="1"/>
        <v>0</v>
      </c>
      <c r="W83" s="358">
        <f t="shared" si="1"/>
        <v>0</v>
      </c>
    </row>
    <row r="84" spans="2:23">
      <c r="B84" s="91"/>
      <c r="C84" s="131"/>
      <c r="D84" s="358"/>
      <c r="E84" s="358"/>
      <c r="F84" s="358"/>
      <c r="G84" s="358"/>
      <c r="H84" s="358"/>
      <c r="I84" s="358"/>
      <c r="J84" s="358"/>
      <c r="K84" s="358"/>
      <c r="L84" s="358"/>
      <c r="M84" s="358"/>
      <c r="N84" s="358"/>
      <c r="O84" s="358"/>
      <c r="P84" s="358"/>
      <c r="Q84" s="358"/>
      <c r="R84" s="358"/>
      <c r="S84" s="358"/>
      <c r="T84" s="358"/>
      <c r="U84" s="358"/>
      <c r="V84" s="358"/>
      <c r="W84" s="358"/>
    </row>
    <row r="85" spans="2:23">
      <c r="B85" s="116"/>
      <c r="C85" s="127" t="s">
        <v>111</v>
      </c>
      <c r="D85" s="361">
        <f t="shared" ref="D85:W85" si="2">SUM(D73:D84)</f>
        <v>932496.8288240917</v>
      </c>
      <c r="E85" s="361">
        <f t="shared" si="2"/>
        <v>1057658.7914555105</v>
      </c>
      <c r="F85" s="361">
        <f t="shared" si="2"/>
        <v>1157568.5295288311</v>
      </c>
      <c r="G85" s="361">
        <f t="shared" si="2"/>
        <v>1240508.7880832865</v>
      </c>
      <c r="H85" s="361">
        <f t="shared" si="2"/>
        <v>1322025.6694473042</v>
      </c>
      <c r="I85" s="361">
        <f t="shared" si="2"/>
        <v>1381358.2784747679</v>
      </c>
      <c r="J85" s="361">
        <f t="shared" si="2"/>
        <v>1468328.5956875393</v>
      </c>
      <c r="K85" s="361">
        <f t="shared" si="2"/>
        <v>1560774.5640720269</v>
      </c>
      <c r="L85" s="361">
        <f t="shared" si="2"/>
        <v>1659040.9306260017</v>
      </c>
      <c r="M85" s="361">
        <f t="shared" si="2"/>
        <v>1763494.1476182148</v>
      </c>
      <c r="N85" s="361">
        <f t="shared" si="2"/>
        <v>1874523.7391522578</v>
      </c>
      <c r="O85" s="361">
        <f t="shared" si="2"/>
        <v>1992543.7537692843</v>
      </c>
      <c r="P85" s="361">
        <f t="shared" si="2"/>
        <v>2117994.3085065987</v>
      </c>
      <c r="Q85" s="361">
        <f t="shared" si="2"/>
        <v>2251343.2301701745</v>
      </c>
      <c r="R85" s="361">
        <f t="shared" si="2"/>
        <v>2393087.7999416888</v>
      </c>
      <c r="S85" s="361">
        <f t="shared" si="2"/>
        <v>2543756.6078260178</v>
      </c>
      <c r="T85" s="361">
        <f t="shared" si="2"/>
        <v>2703911.5238547437</v>
      </c>
      <c r="U85" s="361">
        <f t="shared" si="2"/>
        <v>2874149.7933966387</v>
      </c>
      <c r="V85" s="361">
        <f t="shared" si="2"/>
        <v>3055106.2643888909</v>
      </c>
      <c r="W85" s="361">
        <f t="shared" si="2"/>
        <v>3247455.7547948165</v>
      </c>
    </row>
    <row r="86" spans="2:23">
      <c r="B86" s="97"/>
      <c r="C86" s="98"/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</row>
    <row r="88" spans="2:23">
      <c r="B88" s="75" t="s">
        <v>112</v>
      </c>
      <c r="C88" s="77"/>
      <c r="D88" s="77"/>
      <c r="E88" s="77"/>
      <c r="F88" s="77"/>
      <c r="G88" s="77"/>
      <c r="H88" s="77"/>
      <c r="I88" s="77"/>
      <c r="J88" s="77"/>
    </row>
    <row r="89" spans="2:23">
      <c r="B89" s="77"/>
      <c r="C89" s="77"/>
      <c r="E89" s="77"/>
      <c r="F89" s="77"/>
      <c r="H89" s="77"/>
      <c r="I89" s="77"/>
      <c r="J89" s="77"/>
    </row>
    <row r="90" spans="2:23">
      <c r="B90" s="134"/>
      <c r="C90" s="101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</row>
    <row r="91" spans="2:23">
      <c r="B91" s="136"/>
      <c r="C91" s="137" t="s">
        <v>113</v>
      </c>
      <c r="D91" s="138" t="s">
        <v>41</v>
      </c>
      <c r="E91" s="138" t="s">
        <v>42</v>
      </c>
      <c r="F91" s="138" t="s">
        <v>43</v>
      </c>
      <c r="G91" s="138" t="s">
        <v>44</v>
      </c>
      <c r="H91" s="138" t="s">
        <v>45</v>
      </c>
      <c r="I91" s="138" t="s">
        <v>46</v>
      </c>
      <c r="J91" s="138" t="s">
        <v>47</v>
      </c>
      <c r="K91" s="138" t="s">
        <v>48</v>
      </c>
      <c r="L91" s="138" t="s">
        <v>49</v>
      </c>
      <c r="M91" s="138" t="s">
        <v>50</v>
      </c>
      <c r="N91" s="138" t="s">
        <v>51</v>
      </c>
      <c r="O91" s="138" t="s">
        <v>52</v>
      </c>
      <c r="P91" s="138" t="s">
        <v>53</v>
      </c>
      <c r="Q91" s="138" t="s">
        <v>54</v>
      </c>
      <c r="R91" s="138" t="s">
        <v>55</v>
      </c>
      <c r="S91" s="138" t="s">
        <v>56</v>
      </c>
      <c r="T91" s="138" t="s">
        <v>57</v>
      </c>
      <c r="U91" s="138" t="s">
        <v>58</v>
      </c>
      <c r="V91" s="138" t="s">
        <v>59</v>
      </c>
      <c r="W91" s="138" t="s">
        <v>60</v>
      </c>
    </row>
    <row r="92" spans="2:23">
      <c r="B92" s="136"/>
      <c r="C92" s="139"/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</row>
    <row r="93" spans="2:23">
      <c r="B93" s="128"/>
      <c r="C93" s="129"/>
      <c r="D93" s="141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</row>
    <row r="94" spans="2:23">
      <c r="B94" s="132"/>
      <c r="C94" s="79" t="s">
        <v>6</v>
      </c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</row>
    <row r="95" spans="2:23">
      <c r="B95" s="132"/>
      <c r="C95" s="66" t="s">
        <v>114</v>
      </c>
      <c r="D95" s="358">
        <f>+D9</f>
        <v>0</v>
      </c>
      <c r="E95" s="358">
        <f t="shared" ref="E95:W95" si="3">+D97</f>
        <v>0</v>
      </c>
      <c r="F95" s="358">
        <f t="shared" si="3"/>
        <v>0</v>
      </c>
      <c r="G95" s="358">
        <f t="shared" si="3"/>
        <v>0</v>
      </c>
      <c r="H95" s="358">
        <f t="shared" si="3"/>
        <v>0</v>
      </c>
      <c r="I95" s="358">
        <f t="shared" si="3"/>
        <v>0</v>
      </c>
      <c r="J95" s="358">
        <f t="shared" si="3"/>
        <v>0</v>
      </c>
      <c r="K95" s="358">
        <f t="shared" si="3"/>
        <v>0</v>
      </c>
      <c r="L95" s="358">
        <f t="shared" si="3"/>
        <v>0</v>
      </c>
      <c r="M95" s="358">
        <f t="shared" si="3"/>
        <v>0</v>
      </c>
      <c r="N95" s="358">
        <f t="shared" si="3"/>
        <v>0</v>
      </c>
      <c r="O95" s="358">
        <f t="shared" si="3"/>
        <v>0</v>
      </c>
      <c r="P95" s="358">
        <f t="shared" si="3"/>
        <v>0</v>
      </c>
      <c r="Q95" s="358">
        <f t="shared" si="3"/>
        <v>0</v>
      </c>
      <c r="R95" s="358">
        <f t="shared" si="3"/>
        <v>0</v>
      </c>
      <c r="S95" s="358">
        <f t="shared" si="3"/>
        <v>0</v>
      </c>
      <c r="T95" s="358">
        <f t="shared" si="3"/>
        <v>0</v>
      </c>
      <c r="U95" s="358">
        <f t="shared" si="3"/>
        <v>0</v>
      </c>
      <c r="V95" s="358">
        <f t="shared" si="3"/>
        <v>0</v>
      </c>
      <c r="W95" s="358">
        <f t="shared" si="3"/>
        <v>0</v>
      </c>
    </row>
    <row r="96" spans="2:23">
      <c r="B96" s="132"/>
      <c r="C96" s="66" t="s">
        <v>115</v>
      </c>
      <c r="D96" s="358">
        <f>+D95/Bases!$F$95</f>
        <v>0</v>
      </c>
      <c r="E96" s="358">
        <f>+IF(D97&gt;0,$D$95/Bases!$F$95,0)</f>
        <v>0</v>
      </c>
      <c r="F96" s="358">
        <f>+IF(E97&gt;=0,$D$95/Bases!$F$95,0)</f>
        <v>0</v>
      </c>
      <c r="G96" s="358">
        <f>+IF(F97&gt;=0,$D$95/Bases!$F$95,0)</f>
        <v>0</v>
      </c>
      <c r="H96" s="358">
        <f>+IF(G97&gt;=0,$D$95/Bases!$F$95,0)</f>
        <v>0</v>
      </c>
      <c r="I96" s="358">
        <f>+IF(H97&gt;=0,$D$95/Bases!$F$95,0)</f>
        <v>0</v>
      </c>
      <c r="J96" s="358">
        <f>+IF(I97&gt;=0,$D$95/Bases!$F$95,0)</f>
        <v>0</v>
      </c>
      <c r="K96" s="358">
        <f>+IF(J97&gt;=0,$D$95/Bases!$F$95,0)</f>
        <v>0</v>
      </c>
      <c r="L96" s="358">
        <f>+IF(K97&gt;=0,$D$95/Bases!$F$95,0)</f>
        <v>0</v>
      </c>
      <c r="M96" s="358">
        <f>+IF(L97&gt;=0,$D$95/Bases!$F$95,0)</f>
        <v>0</v>
      </c>
      <c r="N96" s="358">
        <f>+IF(M97&gt;=0,$D$95/Bases!$F$95,0)</f>
        <v>0</v>
      </c>
      <c r="O96" s="358">
        <f>+IF(N97&gt;=0,$D$95/Bases!$F$95,0)</f>
        <v>0</v>
      </c>
      <c r="P96" s="358">
        <f>+IF(O97&gt;=0,$D$95/Bases!$F$95,0)</f>
        <v>0</v>
      </c>
      <c r="Q96" s="358">
        <f>+IF(P97&gt;=0,$D$95/Bases!$F$95,0)</f>
        <v>0</v>
      </c>
      <c r="R96" s="358">
        <f>+IF(Q97&gt;=0,$D$95/Bases!$F$95,0)</f>
        <v>0</v>
      </c>
      <c r="S96" s="358">
        <f>+IF(R97&gt;=0,$D$95/Bases!$F$95,0)</f>
        <v>0</v>
      </c>
      <c r="T96" s="358">
        <f>+IF(S97&gt;=0,$D$95/Bases!$F$95,0)</f>
        <v>0</v>
      </c>
      <c r="U96" s="358">
        <f>+IF(T97&gt;=0,$D$95/Bases!$F$95,0)</f>
        <v>0</v>
      </c>
      <c r="V96" s="358">
        <f>+IF(U97&gt;=0,$D$95/Bases!$F$95,0)</f>
        <v>0</v>
      </c>
      <c r="W96" s="358">
        <f>+IF(V97&gt;=0,$D$95/Bases!$F$95,0)</f>
        <v>0</v>
      </c>
    </row>
    <row r="97" spans="2:23">
      <c r="B97" s="132"/>
      <c r="C97" s="66" t="s">
        <v>116</v>
      </c>
      <c r="D97" s="358">
        <f t="shared" ref="D97:W97" si="4">+D95-D96</f>
        <v>0</v>
      </c>
      <c r="E97" s="358">
        <f t="shared" si="4"/>
        <v>0</v>
      </c>
      <c r="F97" s="358">
        <f t="shared" si="4"/>
        <v>0</v>
      </c>
      <c r="G97" s="358">
        <f t="shared" si="4"/>
        <v>0</v>
      </c>
      <c r="H97" s="358">
        <f t="shared" si="4"/>
        <v>0</v>
      </c>
      <c r="I97" s="358">
        <f t="shared" si="4"/>
        <v>0</v>
      </c>
      <c r="J97" s="358">
        <f t="shared" si="4"/>
        <v>0</v>
      </c>
      <c r="K97" s="358">
        <f t="shared" si="4"/>
        <v>0</v>
      </c>
      <c r="L97" s="358">
        <f t="shared" si="4"/>
        <v>0</v>
      </c>
      <c r="M97" s="358">
        <f t="shared" si="4"/>
        <v>0</v>
      </c>
      <c r="N97" s="358">
        <f t="shared" si="4"/>
        <v>0</v>
      </c>
      <c r="O97" s="358">
        <f t="shared" si="4"/>
        <v>0</v>
      </c>
      <c r="P97" s="358">
        <f t="shared" si="4"/>
        <v>0</v>
      </c>
      <c r="Q97" s="358">
        <f t="shared" si="4"/>
        <v>0</v>
      </c>
      <c r="R97" s="358">
        <f t="shared" si="4"/>
        <v>0</v>
      </c>
      <c r="S97" s="358">
        <f t="shared" si="4"/>
        <v>0</v>
      </c>
      <c r="T97" s="358">
        <f t="shared" si="4"/>
        <v>0</v>
      </c>
      <c r="U97" s="358">
        <f t="shared" si="4"/>
        <v>0</v>
      </c>
      <c r="V97" s="358">
        <f t="shared" si="4"/>
        <v>0</v>
      </c>
      <c r="W97" s="358">
        <f t="shared" si="4"/>
        <v>0</v>
      </c>
    </row>
    <row r="98" spans="2:23">
      <c r="B98" s="132"/>
      <c r="D98" s="358"/>
      <c r="E98" s="358"/>
      <c r="F98" s="358"/>
      <c r="G98" s="358"/>
      <c r="H98" s="358"/>
      <c r="I98" s="358"/>
      <c r="J98" s="358"/>
      <c r="K98" s="358"/>
      <c r="L98" s="358"/>
      <c r="M98" s="358"/>
      <c r="N98" s="358"/>
      <c r="O98" s="358"/>
      <c r="P98" s="358"/>
      <c r="Q98" s="358"/>
      <c r="R98" s="358"/>
      <c r="S98" s="358"/>
      <c r="T98" s="358"/>
      <c r="U98" s="358"/>
      <c r="V98" s="358"/>
      <c r="W98" s="358"/>
    </row>
    <row r="99" spans="2:23">
      <c r="B99" s="132"/>
      <c r="C99" s="79" t="s">
        <v>7</v>
      </c>
      <c r="D99" s="358"/>
      <c r="E99" s="358"/>
      <c r="F99" s="358"/>
      <c r="G99" s="358"/>
      <c r="H99" s="358"/>
      <c r="I99" s="358"/>
      <c r="J99" s="358"/>
      <c r="K99" s="358"/>
      <c r="L99" s="358"/>
      <c r="M99" s="358"/>
      <c r="N99" s="358"/>
      <c r="O99" s="358"/>
      <c r="P99" s="358"/>
      <c r="Q99" s="358"/>
      <c r="R99" s="358"/>
      <c r="S99" s="358"/>
      <c r="T99" s="358"/>
      <c r="U99" s="358"/>
      <c r="V99" s="358"/>
      <c r="W99" s="358"/>
    </row>
    <row r="100" spans="2:23">
      <c r="B100" s="132"/>
      <c r="C100" s="66" t="str">
        <f>+C95</f>
        <v>Saldo Inicial</v>
      </c>
      <c r="D100" s="358">
        <f>+D10</f>
        <v>150000</v>
      </c>
      <c r="E100" s="358">
        <f t="shared" ref="E100:W100" si="5">+D102</f>
        <v>135000</v>
      </c>
      <c r="F100" s="358">
        <f t="shared" si="5"/>
        <v>120000</v>
      </c>
      <c r="G100" s="358">
        <f t="shared" si="5"/>
        <v>105000</v>
      </c>
      <c r="H100" s="358">
        <f t="shared" si="5"/>
        <v>90000</v>
      </c>
      <c r="I100" s="358">
        <f t="shared" si="5"/>
        <v>75000</v>
      </c>
      <c r="J100" s="358">
        <f t="shared" si="5"/>
        <v>60000</v>
      </c>
      <c r="K100" s="358">
        <f t="shared" si="5"/>
        <v>45000</v>
      </c>
      <c r="L100" s="358">
        <f t="shared" si="5"/>
        <v>30000</v>
      </c>
      <c r="M100" s="358">
        <f t="shared" si="5"/>
        <v>15000</v>
      </c>
      <c r="N100" s="358">
        <f t="shared" si="5"/>
        <v>0</v>
      </c>
      <c r="O100" s="358">
        <f t="shared" si="5"/>
        <v>0</v>
      </c>
      <c r="P100" s="358">
        <f t="shared" si="5"/>
        <v>0</v>
      </c>
      <c r="Q100" s="358">
        <f t="shared" si="5"/>
        <v>0</v>
      </c>
      <c r="R100" s="358">
        <f t="shared" si="5"/>
        <v>0</v>
      </c>
      <c r="S100" s="358">
        <f t="shared" si="5"/>
        <v>0</v>
      </c>
      <c r="T100" s="358">
        <f t="shared" si="5"/>
        <v>0</v>
      </c>
      <c r="U100" s="358">
        <f t="shared" si="5"/>
        <v>0</v>
      </c>
      <c r="V100" s="358">
        <f t="shared" si="5"/>
        <v>0</v>
      </c>
      <c r="W100" s="358">
        <f t="shared" si="5"/>
        <v>0</v>
      </c>
    </row>
    <row r="101" spans="2:23">
      <c r="B101" s="132"/>
      <c r="C101" s="66" t="str">
        <f>+C96</f>
        <v>Depreciación</v>
      </c>
      <c r="D101" s="358">
        <f>+D100/Bases!$F$96</f>
        <v>15000</v>
      </c>
      <c r="E101" s="358">
        <f>+IF(D102&gt;0,$D$100/Bases!$F$96,0)</f>
        <v>15000</v>
      </c>
      <c r="F101" s="358">
        <f>+IF(E102&gt;0,$D$100/Bases!$F$96,0)</f>
        <v>15000</v>
      </c>
      <c r="G101" s="358">
        <f>+IF(F102&gt;0,$D$100/Bases!$F$96,0)</f>
        <v>15000</v>
      </c>
      <c r="H101" s="358">
        <f>+IF(G102&gt;0,$D$100/Bases!$F$96,0)</f>
        <v>15000</v>
      </c>
      <c r="I101" s="358">
        <f>+IF(H102&gt;0,$D$100/Bases!$F$96,0)</f>
        <v>15000</v>
      </c>
      <c r="J101" s="358">
        <f>+IF(I102&gt;0,$D$100/Bases!$F$96,0)</f>
        <v>15000</v>
      </c>
      <c r="K101" s="358">
        <f>+IF(J102&gt;0,$D$100/Bases!$F$96,0)</f>
        <v>15000</v>
      </c>
      <c r="L101" s="358">
        <f>+IF(K102&gt;0,$D$100/Bases!$F$96,0)</f>
        <v>15000</v>
      </c>
      <c r="M101" s="358">
        <f>+IF(L102&gt;0,$D$100/Bases!$F$96,0)</f>
        <v>15000</v>
      </c>
      <c r="N101" s="358">
        <f>+IF(M102&gt;0,$D$100/Bases!$F$96,0)</f>
        <v>0</v>
      </c>
      <c r="O101" s="358">
        <f>+IF(N102&gt;0,$D$100/Bases!$F$96,0)</f>
        <v>0</v>
      </c>
      <c r="P101" s="358">
        <f>+IF(O102&gt;0,$D$100/Bases!$F$96,0)</f>
        <v>0</v>
      </c>
      <c r="Q101" s="358">
        <f>+IF(P102&gt;0,$D$100/Bases!$F$96,0)</f>
        <v>0</v>
      </c>
      <c r="R101" s="358">
        <f>+IF(Q102&gt;0,$D$100/Bases!$F$96,0)</f>
        <v>0</v>
      </c>
      <c r="S101" s="358">
        <f>+IF(R102&gt;0,$D$100/Bases!$F$96,0)</f>
        <v>0</v>
      </c>
      <c r="T101" s="358">
        <f>+IF(S102&gt;0,$D$100/Bases!$F$96,0)</f>
        <v>0</v>
      </c>
      <c r="U101" s="358">
        <f>+IF(T102&gt;0,$D$100/Bases!$F$96,0)</f>
        <v>0</v>
      </c>
      <c r="V101" s="358">
        <f>+IF(U102&gt;0,$D$100/Bases!$F$96,0)</f>
        <v>0</v>
      </c>
      <c r="W101" s="358">
        <f>+IF(V102&gt;0,$D$100/Bases!$F$96,0)</f>
        <v>0</v>
      </c>
    </row>
    <row r="102" spans="2:23">
      <c r="B102" s="132"/>
      <c r="C102" s="66" t="str">
        <f>+C97</f>
        <v>Saldo por depreciar</v>
      </c>
      <c r="D102" s="358">
        <f t="shared" ref="D102:W102" si="6">+D100-D101</f>
        <v>135000</v>
      </c>
      <c r="E102" s="358">
        <f t="shared" si="6"/>
        <v>120000</v>
      </c>
      <c r="F102" s="358">
        <f t="shared" si="6"/>
        <v>105000</v>
      </c>
      <c r="G102" s="358">
        <f t="shared" si="6"/>
        <v>90000</v>
      </c>
      <c r="H102" s="358">
        <f t="shared" si="6"/>
        <v>75000</v>
      </c>
      <c r="I102" s="358">
        <f t="shared" si="6"/>
        <v>60000</v>
      </c>
      <c r="J102" s="358">
        <f t="shared" si="6"/>
        <v>45000</v>
      </c>
      <c r="K102" s="358">
        <f t="shared" si="6"/>
        <v>30000</v>
      </c>
      <c r="L102" s="358">
        <f t="shared" si="6"/>
        <v>15000</v>
      </c>
      <c r="M102" s="358">
        <f t="shared" si="6"/>
        <v>0</v>
      </c>
      <c r="N102" s="358">
        <f t="shared" si="6"/>
        <v>0</v>
      </c>
      <c r="O102" s="358">
        <f t="shared" si="6"/>
        <v>0</v>
      </c>
      <c r="P102" s="358">
        <f t="shared" si="6"/>
        <v>0</v>
      </c>
      <c r="Q102" s="358">
        <f t="shared" si="6"/>
        <v>0</v>
      </c>
      <c r="R102" s="358">
        <f t="shared" si="6"/>
        <v>0</v>
      </c>
      <c r="S102" s="358">
        <f t="shared" si="6"/>
        <v>0</v>
      </c>
      <c r="T102" s="358">
        <f t="shared" si="6"/>
        <v>0</v>
      </c>
      <c r="U102" s="358">
        <f t="shared" si="6"/>
        <v>0</v>
      </c>
      <c r="V102" s="358">
        <f t="shared" si="6"/>
        <v>0</v>
      </c>
      <c r="W102" s="358">
        <f t="shared" si="6"/>
        <v>0</v>
      </c>
    </row>
    <row r="103" spans="2:23">
      <c r="B103" s="132"/>
      <c r="D103" s="358"/>
      <c r="E103" s="358"/>
      <c r="F103" s="358"/>
      <c r="G103" s="358"/>
      <c r="H103" s="358"/>
      <c r="I103" s="358"/>
      <c r="J103" s="358"/>
      <c r="K103" s="358"/>
      <c r="L103" s="358"/>
      <c r="M103" s="358"/>
      <c r="N103" s="358"/>
      <c r="O103" s="358"/>
      <c r="P103" s="358"/>
      <c r="Q103" s="358"/>
      <c r="R103" s="358"/>
      <c r="S103" s="358"/>
      <c r="T103" s="358"/>
      <c r="U103" s="358"/>
      <c r="V103" s="358"/>
      <c r="W103" s="358"/>
    </row>
    <row r="104" spans="2:23">
      <c r="B104" s="132"/>
      <c r="C104" s="79" t="s">
        <v>8</v>
      </c>
      <c r="D104" s="358"/>
      <c r="E104" s="358"/>
      <c r="F104" s="358"/>
      <c r="G104" s="358"/>
      <c r="H104" s="358"/>
      <c r="I104" s="358"/>
      <c r="J104" s="358"/>
      <c r="K104" s="358"/>
      <c r="L104" s="358"/>
      <c r="M104" s="358"/>
      <c r="N104" s="358"/>
      <c r="O104" s="358"/>
      <c r="P104" s="358"/>
      <c r="Q104" s="358"/>
      <c r="R104" s="358"/>
      <c r="S104" s="358"/>
      <c r="T104" s="358"/>
      <c r="U104" s="358"/>
      <c r="V104" s="358"/>
      <c r="W104" s="358"/>
    </row>
    <row r="105" spans="2:23">
      <c r="B105" s="132"/>
      <c r="C105" s="66" t="str">
        <f>+C95</f>
        <v>Saldo Inicial</v>
      </c>
      <c r="D105" s="358">
        <f>+D11</f>
        <v>150000</v>
      </c>
      <c r="E105" s="358">
        <f t="shared" ref="E105:W105" si="7">+D107</f>
        <v>135000</v>
      </c>
      <c r="F105" s="358">
        <f t="shared" si="7"/>
        <v>120000</v>
      </c>
      <c r="G105" s="358">
        <f t="shared" si="7"/>
        <v>105000</v>
      </c>
      <c r="H105" s="358">
        <f t="shared" si="7"/>
        <v>90000</v>
      </c>
      <c r="I105" s="358">
        <f t="shared" si="7"/>
        <v>75000</v>
      </c>
      <c r="J105" s="358">
        <f t="shared" si="7"/>
        <v>60000</v>
      </c>
      <c r="K105" s="358">
        <f t="shared" si="7"/>
        <v>45000</v>
      </c>
      <c r="L105" s="358">
        <f t="shared" si="7"/>
        <v>30000</v>
      </c>
      <c r="M105" s="358">
        <f t="shared" si="7"/>
        <v>15000</v>
      </c>
      <c r="N105" s="358">
        <f t="shared" si="7"/>
        <v>0</v>
      </c>
      <c r="O105" s="358">
        <f t="shared" si="7"/>
        <v>0</v>
      </c>
      <c r="P105" s="358">
        <f t="shared" si="7"/>
        <v>0</v>
      </c>
      <c r="Q105" s="358">
        <f t="shared" si="7"/>
        <v>0</v>
      </c>
      <c r="R105" s="358">
        <f t="shared" si="7"/>
        <v>0</v>
      </c>
      <c r="S105" s="358">
        <f t="shared" si="7"/>
        <v>0</v>
      </c>
      <c r="T105" s="358">
        <f t="shared" si="7"/>
        <v>0</v>
      </c>
      <c r="U105" s="358">
        <f t="shared" si="7"/>
        <v>0</v>
      </c>
      <c r="V105" s="358">
        <f t="shared" si="7"/>
        <v>0</v>
      </c>
      <c r="W105" s="358">
        <f t="shared" si="7"/>
        <v>0</v>
      </c>
    </row>
    <row r="106" spans="2:23">
      <c r="B106" s="132"/>
      <c r="C106" s="66" t="str">
        <f>+C96</f>
        <v>Depreciación</v>
      </c>
      <c r="D106" s="358">
        <f>+D105/Bases!$F$97</f>
        <v>15000</v>
      </c>
      <c r="E106" s="358">
        <f>+IF(D107&gt;0,$D$105/Bases!$F$97,0)</f>
        <v>15000</v>
      </c>
      <c r="F106" s="358">
        <f>+IF(E107&gt;0,$D$105/Bases!$F$97,0)</f>
        <v>15000</v>
      </c>
      <c r="G106" s="358">
        <f>+IF(F107&gt;0,$D$105/Bases!$F$97,0)</f>
        <v>15000</v>
      </c>
      <c r="H106" s="358">
        <f>+IF(G107&gt;0,$D$105/Bases!$F$97,0)</f>
        <v>15000</v>
      </c>
      <c r="I106" s="358">
        <f>+IF(H107&gt;0,$D$105/Bases!$F$97,0)</f>
        <v>15000</v>
      </c>
      <c r="J106" s="358">
        <f>+IF(I107&gt;0,$D$105/Bases!$F$97,0)</f>
        <v>15000</v>
      </c>
      <c r="K106" s="358">
        <f>+IF(J107&gt;0,$D$105/Bases!$F$97,0)</f>
        <v>15000</v>
      </c>
      <c r="L106" s="358">
        <f>+IF(K107&gt;0,$D$105/Bases!$F$97,0)</f>
        <v>15000</v>
      </c>
      <c r="M106" s="358">
        <f>+IF(L107&gt;0,$D$105/Bases!$F$97,0)</f>
        <v>15000</v>
      </c>
      <c r="N106" s="358">
        <f>+IF(M107&gt;0,$D$105/Bases!$F$97,0)</f>
        <v>0</v>
      </c>
      <c r="O106" s="358">
        <f>+IF(N107&gt;0,$D$105/Bases!$F$97,0)</f>
        <v>0</v>
      </c>
      <c r="P106" s="358">
        <f>+IF(O107&gt;0,$D$105/Bases!$F$97,0)</f>
        <v>0</v>
      </c>
      <c r="Q106" s="358">
        <f>+IF(P107&gt;0,$D$105/Bases!$F$97,0)</f>
        <v>0</v>
      </c>
      <c r="R106" s="358">
        <f>+IF(Q107&gt;0,$D$105/Bases!$F$97,0)</f>
        <v>0</v>
      </c>
      <c r="S106" s="358">
        <f>+IF(R107&gt;0,$D$105/Bases!$F$97,0)</f>
        <v>0</v>
      </c>
      <c r="T106" s="358">
        <f>+IF(S107&gt;0,$D$105/Bases!$F$97,0)</f>
        <v>0</v>
      </c>
      <c r="U106" s="358">
        <f>+IF(T107&gt;0,$D$105/Bases!$F$97,0)</f>
        <v>0</v>
      </c>
      <c r="V106" s="358">
        <f>+IF(U107&gt;0,$D$105/Bases!$F$97,0)</f>
        <v>0</v>
      </c>
      <c r="W106" s="358">
        <f>+IF(V107&gt;0,$D$105/Bases!$F$97,0)</f>
        <v>0</v>
      </c>
    </row>
    <row r="107" spans="2:23">
      <c r="B107" s="132"/>
      <c r="C107" s="66" t="str">
        <f>+C97</f>
        <v>Saldo por depreciar</v>
      </c>
      <c r="D107" s="358">
        <f t="shared" ref="D107:W107" si="8">+D105-D106</f>
        <v>135000</v>
      </c>
      <c r="E107" s="358">
        <f t="shared" si="8"/>
        <v>120000</v>
      </c>
      <c r="F107" s="358">
        <f t="shared" si="8"/>
        <v>105000</v>
      </c>
      <c r="G107" s="358">
        <f t="shared" si="8"/>
        <v>90000</v>
      </c>
      <c r="H107" s="358">
        <f t="shared" si="8"/>
        <v>75000</v>
      </c>
      <c r="I107" s="358">
        <f t="shared" si="8"/>
        <v>60000</v>
      </c>
      <c r="J107" s="358">
        <f t="shared" si="8"/>
        <v>45000</v>
      </c>
      <c r="K107" s="358">
        <f t="shared" si="8"/>
        <v>30000</v>
      </c>
      <c r="L107" s="358">
        <f t="shared" si="8"/>
        <v>15000</v>
      </c>
      <c r="M107" s="358">
        <f t="shared" si="8"/>
        <v>0</v>
      </c>
      <c r="N107" s="358">
        <f t="shared" si="8"/>
        <v>0</v>
      </c>
      <c r="O107" s="358">
        <f t="shared" si="8"/>
        <v>0</v>
      </c>
      <c r="P107" s="358">
        <f t="shared" si="8"/>
        <v>0</v>
      </c>
      <c r="Q107" s="358">
        <f t="shared" si="8"/>
        <v>0</v>
      </c>
      <c r="R107" s="358">
        <f t="shared" si="8"/>
        <v>0</v>
      </c>
      <c r="S107" s="358">
        <f t="shared" si="8"/>
        <v>0</v>
      </c>
      <c r="T107" s="358">
        <f t="shared" si="8"/>
        <v>0</v>
      </c>
      <c r="U107" s="358">
        <f t="shared" si="8"/>
        <v>0</v>
      </c>
      <c r="V107" s="358">
        <f t="shared" si="8"/>
        <v>0</v>
      </c>
      <c r="W107" s="358">
        <f t="shared" si="8"/>
        <v>0</v>
      </c>
    </row>
    <row r="108" spans="2:23">
      <c r="B108" s="132"/>
      <c r="D108" s="358"/>
      <c r="E108" s="358"/>
      <c r="F108" s="358"/>
      <c r="G108" s="358"/>
      <c r="H108" s="358"/>
      <c r="I108" s="358"/>
      <c r="J108" s="358"/>
      <c r="K108" s="358"/>
      <c r="L108" s="358"/>
      <c r="M108" s="358"/>
      <c r="N108" s="358"/>
      <c r="O108" s="358"/>
      <c r="P108" s="358"/>
      <c r="Q108" s="358"/>
      <c r="R108" s="358"/>
      <c r="S108" s="358"/>
      <c r="T108" s="358"/>
      <c r="U108" s="358"/>
      <c r="V108" s="358"/>
      <c r="W108" s="358"/>
    </row>
    <row r="109" spans="2:23">
      <c r="B109" s="132"/>
      <c r="C109" s="79" t="s">
        <v>9</v>
      </c>
      <c r="D109" s="358"/>
      <c r="E109" s="358"/>
      <c r="F109" s="358"/>
      <c r="G109" s="358"/>
      <c r="H109" s="358"/>
      <c r="I109" s="358"/>
      <c r="J109" s="358"/>
      <c r="K109" s="358"/>
      <c r="L109" s="358"/>
      <c r="M109" s="358"/>
      <c r="N109" s="358"/>
      <c r="O109" s="358"/>
      <c r="P109" s="358"/>
      <c r="Q109" s="358"/>
      <c r="R109" s="358"/>
      <c r="S109" s="358"/>
      <c r="T109" s="358"/>
      <c r="U109" s="358"/>
      <c r="V109" s="358"/>
      <c r="W109" s="358"/>
    </row>
    <row r="110" spans="2:23">
      <c r="B110" s="132"/>
      <c r="C110" s="66" t="str">
        <f>+C95</f>
        <v>Saldo Inicial</v>
      </c>
      <c r="D110" s="358">
        <f>+D12</f>
        <v>375000</v>
      </c>
      <c r="E110" s="358">
        <f t="shared" ref="E110:W110" si="9">+D112</f>
        <v>300000</v>
      </c>
      <c r="F110" s="358">
        <f t="shared" si="9"/>
        <v>225000</v>
      </c>
      <c r="G110" s="358">
        <f t="shared" si="9"/>
        <v>150000</v>
      </c>
      <c r="H110" s="358">
        <f t="shared" si="9"/>
        <v>75000</v>
      </c>
      <c r="I110" s="358">
        <f t="shared" si="9"/>
        <v>0</v>
      </c>
      <c r="J110" s="358">
        <f t="shared" si="9"/>
        <v>0</v>
      </c>
      <c r="K110" s="358">
        <f t="shared" si="9"/>
        <v>0</v>
      </c>
      <c r="L110" s="358">
        <f t="shared" si="9"/>
        <v>0</v>
      </c>
      <c r="M110" s="358">
        <f t="shared" si="9"/>
        <v>0</v>
      </c>
      <c r="N110" s="358">
        <f t="shared" si="9"/>
        <v>0</v>
      </c>
      <c r="O110" s="358">
        <f t="shared" si="9"/>
        <v>0</v>
      </c>
      <c r="P110" s="358">
        <f t="shared" si="9"/>
        <v>0</v>
      </c>
      <c r="Q110" s="358">
        <f t="shared" si="9"/>
        <v>0</v>
      </c>
      <c r="R110" s="358">
        <f t="shared" si="9"/>
        <v>0</v>
      </c>
      <c r="S110" s="358">
        <f t="shared" si="9"/>
        <v>0</v>
      </c>
      <c r="T110" s="358">
        <f t="shared" si="9"/>
        <v>0</v>
      </c>
      <c r="U110" s="358">
        <f t="shared" si="9"/>
        <v>0</v>
      </c>
      <c r="V110" s="358">
        <f t="shared" si="9"/>
        <v>0</v>
      </c>
      <c r="W110" s="358">
        <f t="shared" si="9"/>
        <v>0</v>
      </c>
    </row>
    <row r="111" spans="2:23">
      <c r="B111" s="132"/>
      <c r="C111" s="66" t="str">
        <f>+C96</f>
        <v>Depreciación</v>
      </c>
      <c r="D111" s="358">
        <f>+D110/Bases!$F$98</f>
        <v>75000</v>
      </c>
      <c r="E111" s="358">
        <f>+IF(D112&gt;0,$D$110/Bases!$F$98,0)</f>
        <v>75000</v>
      </c>
      <c r="F111" s="358">
        <f>+IF(E112&gt;0,$D$110/Bases!$F$98,0)</f>
        <v>75000</v>
      </c>
      <c r="G111" s="358">
        <f>+IF(F112&gt;0,$D$110/Bases!$F$98,0)</f>
        <v>75000</v>
      </c>
      <c r="H111" s="358">
        <f>+IF(G112&gt;0,$D$110/Bases!$F$98,0)</f>
        <v>75000</v>
      </c>
      <c r="I111" s="358">
        <f>+IF(H112&gt;0,$D$110/Bases!$F$98,0)</f>
        <v>0</v>
      </c>
      <c r="J111" s="358">
        <f>+IF(I112&gt;0,$D$110/Bases!$F$98,0)</f>
        <v>0</v>
      </c>
      <c r="K111" s="358">
        <f>+IF(J112&gt;0,$D$110/Bases!$F$98,0)</f>
        <v>0</v>
      </c>
      <c r="L111" s="358">
        <f>+IF(K112&gt;0,$D$110/Bases!$F$98,0)</f>
        <v>0</v>
      </c>
      <c r="M111" s="358">
        <f>+IF(L112&gt;0,$D$110/Bases!$F$98,0)</f>
        <v>0</v>
      </c>
      <c r="N111" s="358">
        <f>+IF(M112&gt;0,$D$110/Bases!$F$98,0)</f>
        <v>0</v>
      </c>
      <c r="O111" s="358">
        <f>+IF(N112&gt;0,$D$110/Bases!$F$98,0)</f>
        <v>0</v>
      </c>
      <c r="P111" s="358">
        <f>+IF(O112&gt;0,$D$110/Bases!$F$98,0)</f>
        <v>0</v>
      </c>
      <c r="Q111" s="358">
        <f>+IF(P112&gt;0,$D$110/Bases!$F$98,0)</f>
        <v>0</v>
      </c>
      <c r="R111" s="358">
        <f>+IF(Q112&gt;0,$D$110/Bases!$F$98,0)</f>
        <v>0</v>
      </c>
      <c r="S111" s="358">
        <f>+IF(R112&gt;0,$D$110/Bases!$F$98,0)</f>
        <v>0</v>
      </c>
      <c r="T111" s="358">
        <f>+IF(S112&gt;0,$D$110/Bases!$F$98,0)</f>
        <v>0</v>
      </c>
      <c r="U111" s="358">
        <f>+IF(T112&gt;0,$D$110/Bases!$F$98,0)</f>
        <v>0</v>
      </c>
      <c r="V111" s="358">
        <f>+IF(U112&gt;0,$D$110/Bases!$F$98,0)</f>
        <v>0</v>
      </c>
      <c r="W111" s="358">
        <f>+IF(V112&gt;0,$D$110/Bases!$F$98,0)</f>
        <v>0</v>
      </c>
    </row>
    <row r="112" spans="2:23">
      <c r="B112" s="132"/>
      <c r="C112" s="66" t="s">
        <v>117</v>
      </c>
      <c r="D112" s="358">
        <f t="shared" ref="D112:W112" si="10">+D110-D111</f>
        <v>300000</v>
      </c>
      <c r="E112" s="358">
        <f t="shared" si="10"/>
        <v>225000</v>
      </c>
      <c r="F112" s="358">
        <f t="shared" si="10"/>
        <v>150000</v>
      </c>
      <c r="G112" s="358">
        <f t="shared" si="10"/>
        <v>75000</v>
      </c>
      <c r="H112" s="358">
        <f t="shared" si="10"/>
        <v>0</v>
      </c>
      <c r="I112" s="358">
        <f t="shared" si="10"/>
        <v>0</v>
      </c>
      <c r="J112" s="358">
        <f t="shared" si="10"/>
        <v>0</v>
      </c>
      <c r="K112" s="358">
        <f t="shared" si="10"/>
        <v>0</v>
      </c>
      <c r="L112" s="358">
        <f t="shared" si="10"/>
        <v>0</v>
      </c>
      <c r="M112" s="358">
        <f t="shared" si="10"/>
        <v>0</v>
      </c>
      <c r="N112" s="358">
        <f t="shared" si="10"/>
        <v>0</v>
      </c>
      <c r="O112" s="358">
        <f t="shared" si="10"/>
        <v>0</v>
      </c>
      <c r="P112" s="358">
        <f t="shared" si="10"/>
        <v>0</v>
      </c>
      <c r="Q112" s="358">
        <f t="shared" si="10"/>
        <v>0</v>
      </c>
      <c r="R112" s="358">
        <f t="shared" si="10"/>
        <v>0</v>
      </c>
      <c r="S112" s="358">
        <f t="shared" si="10"/>
        <v>0</v>
      </c>
      <c r="T112" s="358">
        <f t="shared" si="10"/>
        <v>0</v>
      </c>
      <c r="U112" s="358">
        <f t="shared" si="10"/>
        <v>0</v>
      </c>
      <c r="V112" s="358">
        <f t="shared" si="10"/>
        <v>0</v>
      </c>
      <c r="W112" s="358">
        <f t="shared" si="10"/>
        <v>0</v>
      </c>
    </row>
    <row r="113" spans="2:23">
      <c r="B113" s="132"/>
      <c r="D113" s="358"/>
      <c r="E113" s="358"/>
      <c r="F113" s="358"/>
      <c r="G113" s="358"/>
      <c r="H113" s="358"/>
      <c r="I113" s="358"/>
      <c r="J113" s="358"/>
      <c r="K113" s="358"/>
      <c r="L113" s="358"/>
      <c r="M113" s="358"/>
      <c r="N113" s="358"/>
      <c r="O113" s="358"/>
      <c r="P113" s="358"/>
      <c r="Q113" s="358"/>
      <c r="R113" s="358"/>
      <c r="S113" s="358"/>
      <c r="T113" s="358"/>
      <c r="U113" s="358"/>
      <c r="V113" s="358"/>
      <c r="W113" s="358"/>
    </row>
    <row r="114" spans="2:23">
      <c r="B114" s="116"/>
      <c r="C114" s="127" t="s">
        <v>118</v>
      </c>
      <c r="D114" s="361">
        <f>D96+D101+D106+D111</f>
        <v>105000</v>
      </c>
      <c r="E114" s="361">
        <f t="shared" ref="E114:W114" si="11">E96+E101+E106+E111</f>
        <v>105000</v>
      </c>
      <c r="F114" s="361">
        <f t="shared" si="11"/>
        <v>105000</v>
      </c>
      <c r="G114" s="361">
        <f t="shared" si="11"/>
        <v>105000</v>
      </c>
      <c r="H114" s="361">
        <f t="shared" si="11"/>
        <v>105000</v>
      </c>
      <c r="I114" s="361">
        <f t="shared" si="11"/>
        <v>30000</v>
      </c>
      <c r="J114" s="361">
        <f t="shared" si="11"/>
        <v>30000</v>
      </c>
      <c r="K114" s="361">
        <f t="shared" si="11"/>
        <v>30000</v>
      </c>
      <c r="L114" s="361">
        <f t="shared" si="11"/>
        <v>30000</v>
      </c>
      <c r="M114" s="361">
        <f t="shared" si="11"/>
        <v>30000</v>
      </c>
      <c r="N114" s="361">
        <f t="shared" si="11"/>
        <v>0</v>
      </c>
      <c r="O114" s="361">
        <f t="shared" si="11"/>
        <v>0</v>
      </c>
      <c r="P114" s="361">
        <f t="shared" si="11"/>
        <v>0</v>
      </c>
      <c r="Q114" s="361">
        <f t="shared" si="11"/>
        <v>0</v>
      </c>
      <c r="R114" s="361">
        <f t="shared" si="11"/>
        <v>0</v>
      </c>
      <c r="S114" s="361">
        <f t="shared" si="11"/>
        <v>0</v>
      </c>
      <c r="T114" s="361">
        <f t="shared" si="11"/>
        <v>0</v>
      </c>
      <c r="U114" s="361">
        <f t="shared" si="11"/>
        <v>0</v>
      </c>
      <c r="V114" s="361">
        <f t="shared" si="11"/>
        <v>0</v>
      </c>
      <c r="W114" s="361">
        <f t="shared" si="11"/>
        <v>0</v>
      </c>
    </row>
    <row r="115" spans="2:23">
      <c r="B115" s="97"/>
      <c r="C115" s="98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</row>
    <row r="118" spans="2:23">
      <c r="B118" s="75" t="s">
        <v>119</v>
      </c>
      <c r="C118" s="77"/>
      <c r="D118" s="77"/>
      <c r="E118" s="77"/>
      <c r="F118" s="77"/>
      <c r="G118" s="77"/>
      <c r="H118" s="77"/>
      <c r="I118" s="77"/>
      <c r="J118" s="77"/>
    </row>
    <row r="119" spans="2:23">
      <c r="B119" s="77"/>
      <c r="C119" s="77"/>
      <c r="D119" s="77"/>
      <c r="E119" s="77"/>
      <c r="F119" s="77"/>
      <c r="G119" s="77"/>
      <c r="H119" s="77"/>
      <c r="I119" s="77"/>
      <c r="J119" s="77"/>
    </row>
    <row r="120" spans="2:23">
      <c r="B120" s="119"/>
      <c r="C120" s="81"/>
      <c r="D120" s="119"/>
      <c r="E120" s="119"/>
      <c r="F120" s="119"/>
      <c r="G120" s="119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</row>
    <row r="121" spans="2:23">
      <c r="B121" s="121"/>
      <c r="C121" s="143"/>
      <c r="D121" s="123" t="s">
        <v>41</v>
      </c>
      <c r="E121" s="123" t="s">
        <v>42</v>
      </c>
      <c r="F121" s="123" t="s">
        <v>43</v>
      </c>
      <c r="G121" s="123" t="s">
        <v>44</v>
      </c>
      <c r="H121" s="124" t="s">
        <v>45</v>
      </c>
      <c r="I121" s="124" t="s">
        <v>46</v>
      </c>
      <c r="J121" s="124" t="s">
        <v>47</v>
      </c>
      <c r="K121" s="124" t="s">
        <v>48</v>
      </c>
      <c r="L121" s="124" t="s">
        <v>49</v>
      </c>
      <c r="M121" s="124" t="s">
        <v>50</v>
      </c>
      <c r="N121" s="124" t="s">
        <v>51</v>
      </c>
      <c r="O121" s="124" t="s">
        <v>52</v>
      </c>
      <c r="P121" s="124" t="s">
        <v>53</v>
      </c>
      <c r="Q121" s="124" t="s">
        <v>54</v>
      </c>
      <c r="R121" s="124" t="s">
        <v>55</v>
      </c>
      <c r="S121" s="124" t="s">
        <v>56</v>
      </c>
      <c r="T121" s="124" t="s">
        <v>57</v>
      </c>
      <c r="U121" s="124" t="s">
        <v>58</v>
      </c>
      <c r="V121" s="124" t="s">
        <v>59</v>
      </c>
      <c r="W121" s="124" t="s">
        <v>60</v>
      </c>
    </row>
    <row r="122" spans="2:23">
      <c r="B122" s="121"/>
      <c r="C122" s="122"/>
      <c r="D122" s="121"/>
      <c r="E122" s="121"/>
      <c r="F122" s="121"/>
      <c r="G122" s="121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</row>
    <row r="123" spans="2:23">
      <c r="B123" s="128"/>
      <c r="C123" s="129"/>
      <c r="D123" s="128"/>
      <c r="E123" s="128"/>
      <c r="F123" s="128"/>
      <c r="G123" s="128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</row>
    <row r="124" spans="2:23" ht="14.25" customHeight="1">
      <c r="B124" s="91"/>
      <c r="D124" s="91"/>
      <c r="E124" s="91"/>
      <c r="F124" s="91"/>
      <c r="G124" s="91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</row>
    <row r="125" spans="2:23" ht="14.25" customHeight="1">
      <c r="B125" s="91"/>
      <c r="C125" s="79" t="s">
        <v>120</v>
      </c>
      <c r="D125" s="91"/>
      <c r="E125" s="91"/>
      <c r="F125" s="91"/>
      <c r="G125" s="91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</row>
    <row r="126" spans="2:23" ht="14.25" customHeight="1">
      <c r="B126" s="91"/>
      <c r="C126" s="66" t="s">
        <v>114</v>
      </c>
      <c r="D126" s="363">
        <f>+D19</f>
        <v>125000</v>
      </c>
      <c r="E126" s="363">
        <f t="shared" ref="E126:W126" si="12">+D128</f>
        <v>100000</v>
      </c>
      <c r="F126" s="363">
        <f t="shared" si="12"/>
        <v>75000</v>
      </c>
      <c r="G126" s="363">
        <f t="shared" si="12"/>
        <v>50000</v>
      </c>
      <c r="H126" s="363">
        <f t="shared" si="12"/>
        <v>25000</v>
      </c>
      <c r="I126" s="363">
        <f t="shared" si="12"/>
        <v>0</v>
      </c>
      <c r="J126" s="363">
        <f t="shared" si="12"/>
        <v>0</v>
      </c>
      <c r="K126" s="363">
        <f t="shared" si="12"/>
        <v>0</v>
      </c>
      <c r="L126" s="363">
        <f t="shared" si="12"/>
        <v>0</v>
      </c>
      <c r="M126" s="358">
        <f t="shared" si="12"/>
        <v>0</v>
      </c>
      <c r="N126" s="358">
        <f t="shared" si="12"/>
        <v>0</v>
      </c>
      <c r="O126" s="358">
        <f t="shared" si="12"/>
        <v>0</v>
      </c>
      <c r="P126" s="358">
        <f t="shared" si="12"/>
        <v>0</v>
      </c>
      <c r="Q126" s="358">
        <f t="shared" si="12"/>
        <v>0</v>
      </c>
      <c r="R126" s="358">
        <f t="shared" si="12"/>
        <v>0</v>
      </c>
      <c r="S126" s="358">
        <f t="shared" si="12"/>
        <v>0</v>
      </c>
      <c r="T126" s="358">
        <f t="shared" si="12"/>
        <v>0</v>
      </c>
      <c r="U126" s="358">
        <f t="shared" si="12"/>
        <v>0</v>
      </c>
      <c r="V126" s="358">
        <f t="shared" si="12"/>
        <v>0</v>
      </c>
      <c r="W126" s="358">
        <f t="shared" si="12"/>
        <v>0</v>
      </c>
    </row>
    <row r="127" spans="2:23">
      <c r="B127" s="91"/>
      <c r="C127" s="66" t="s">
        <v>121</v>
      </c>
      <c r="D127" s="363">
        <f>+D126/Bases!$G$106</f>
        <v>25000</v>
      </c>
      <c r="E127" s="363">
        <f>+IF(D128&gt;0,$D$126/Bases!$G$106,0)</f>
        <v>25000</v>
      </c>
      <c r="F127" s="363">
        <f>+IF(E128&gt;0,$D$126/Bases!$G$106,0)</f>
        <v>25000</v>
      </c>
      <c r="G127" s="363">
        <f>+IF(F128&gt;0,$D$126/Bases!$G$106,0)</f>
        <v>25000</v>
      </c>
      <c r="H127" s="363">
        <f>+IF(G128&gt;0,$D$126/Bases!$G$106,0)</f>
        <v>25000</v>
      </c>
      <c r="I127" s="363">
        <f>+IF(H128&gt;0,$D$126/Bases!$G$106,0)</f>
        <v>0</v>
      </c>
      <c r="J127" s="363">
        <f>+IF(I128&gt;0,$D$126/Bases!$G$106,0)</f>
        <v>0</v>
      </c>
      <c r="K127" s="363">
        <f>+IF(J128&gt;0,$D$126/Bases!$G$106,0)</f>
        <v>0</v>
      </c>
      <c r="L127" s="363">
        <f>+IF(K128&gt;0,$D$126/Bases!$G$106,0)</f>
        <v>0</v>
      </c>
      <c r="M127" s="358">
        <f>+IF(L128&gt;0,$D$126/Bases!$G$106,0)</f>
        <v>0</v>
      </c>
      <c r="N127" s="358">
        <f>+IF(M128&gt;0,$D$126/Bases!$G$106,0)</f>
        <v>0</v>
      </c>
      <c r="O127" s="358">
        <f>+IF(N128&gt;0,$D$126/Bases!$G$106,0)</f>
        <v>0</v>
      </c>
      <c r="P127" s="358">
        <f>+IF(O128&gt;0,$D$126/Bases!$G$106,0)</f>
        <v>0</v>
      </c>
      <c r="Q127" s="358">
        <f>+IF(P128&gt;0,$D$126/Bases!$G$106,0)</f>
        <v>0</v>
      </c>
      <c r="R127" s="358">
        <f>+IF(Q128&gt;0,$D$126/Bases!$G$106,0)</f>
        <v>0</v>
      </c>
      <c r="S127" s="358">
        <f>+IF(R128&gt;0,$D$126/Bases!$G$106,0)</f>
        <v>0</v>
      </c>
      <c r="T127" s="358">
        <f>+IF(S128&gt;0,$D$126/Bases!$G$106,0)</f>
        <v>0</v>
      </c>
      <c r="U127" s="358">
        <f>+IF(T128&gt;0,$D$126/Bases!$G$106,0)</f>
        <v>0</v>
      </c>
      <c r="V127" s="358">
        <f>+IF(U128&gt;0,$D$126/Bases!$G$106,0)</f>
        <v>0</v>
      </c>
      <c r="W127" s="358">
        <f>+IF(V128&gt;0,$D$126/Bases!$G$106,0)</f>
        <v>0</v>
      </c>
    </row>
    <row r="128" spans="2:23">
      <c r="B128" s="91"/>
      <c r="C128" s="66" t="s">
        <v>122</v>
      </c>
      <c r="D128" s="363">
        <f t="shared" ref="D128:W128" si="13">+D126-D127</f>
        <v>100000</v>
      </c>
      <c r="E128" s="363">
        <f t="shared" si="13"/>
        <v>75000</v>
      </c>
      <c r="F128" s="363">
        <f t="shared" si="13"/>
        <v>50000</v>
      </c>
      <c r="G128" s="363">
        <f t="shared" si="13"/>
        <v>25000</v>
      </c>
      <c r="H128" s="363">
        <f t="shared" si="13"/>
        <v>0</v>
      </c>
      <c r="I128" s="363">
        <f t="shared" si="13"/>
        <v>0</v>
      </c>
      <c r="J128" s="363">
        <f t="shared" si="13"/>
        <v>0</v>
      </c>
      <c r="K128" s="363">
        <f t="shared" si="13"/>
        <v>0</v>
      </c>
      <c r="L128" s="363">
        <f t="shared" si="13"/>
        <v>0</v>
      </c>
      <c r="M128" s="358">
        <f t="shared" si="13"/>
        <v>0</v>
      </c>
      <c r="N128" s="358">
        <f t="shared" si="13"/>
        <v>0</v>
      </c>
      <c r="O128" s="358">
        <f t="shared" si="13"/>
        <v>0</v>
      </c>
      <c r="P128" s="358">
        <f t="shared" si="13"/>
        <v>0</v>
      </c>
      <c r="Q128" s="358">
        <f t="shared" si="13"/>
        <v>0</v>
      </c>
      <c r="R128" s="358">
        <f t="shared" si="13"/>
        <v>0</v>
      </c>
      <c r="S128" s="358">
        <f t="shared" si="13"/>
        <v>0</v>
      </c>
      <c r="T128" s="358">
        <f t="shared" si="13"/>
        <v>0</v>
      </c>
      <c r="U128" s="358">
        <f t="shared" si="13"/>
        <v>0</v>
      </c>
      <c r="V128" s="358">
        <f t="shared" si="13"/>
        <v>0</v>
      </c>
      <c r="W128" s="358">
        <f t="shared" si="13"/>
        <v>0</v>
      </c>
    </row>
    <row r="129" spans="1:24">
      <c r="B129" s="88"/>
      <c r="C129" s="79"/>
      <c r="D129" s="88"/>
      <c r="E129" s="88"/>
      <c r="F129" s="88"/>
      <c r="G129" s="88"/>
      <c r="H129" s="144"/>
      <c r="I129" s="144"/>
      <c r="J129" s="144"/>
      <c r="K129" s="144"/>
      <c r="L129" s="144"/>
      <c r="M129" s="144"/>
      <c r="N129" s="144"/>
      <c r="O129" s="144"/>
      <c r="P129" s="144"/>
      <c r="Q129" s="144"/>
      <c r="R129" s="144"/>
      <c r="S129" s="144"/>
      <c r="T129" s="144"/>
      <c r="U129" s="144"/>
      <c r="V129" s="144"/>
      <c r="W129" s="144"/>
    </row>
    <row r="130" spans="1:24">
      <c r="B130" s="97"/>
      <c r="C130" s="98"/>
      <c r="D130" s="97"/>
      <c r="E130" s="97"/>
      <c r="F130" s="97"/>
      <c r="G130" s="97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</row>
    <row r="132" spans="1:24">
      <c r="B132" s="75" t="s">
        <v>123</v>
      </c>
      <c r="C132" s="77"/>
      <c r="D132" s="77"/>
      <c r="E132" s="77"/>
      <c r="F132" s="77"/>
      <c r="G132" s="77"/>
      <c r="H132" s="77"/>
      <c r="I132" s="77"/>
      <c r="J132" s="77"/>
    </row>
    <row r="133" spans="1:24">
      <c r="B133" s="77"/>
      <c r="C133" s="77"/>
      <c r="D133" s="77"/>
      <c r="E133" s="77"/>
      <c r="F133" s="77"/>
      <c r="G133" s="77"/>
      <c r="H133" s="77"/>
      <c r="I133" s="77"/>
      <c r="J133" s="77"/>
    </row>
    <row r="134" spans="1:24">
      <c r="A134" s="145"/>
      <c r="B134" s="119"/>
      <c r="C134" s="81"/>
      <c r="D134" s="119"/>
      <c r="E134" s="119"/>
      <c r="F134" s="119"/>
      <c r="G134" s="119"/>
      <c r="H134" s="119"/>
      <c r="I134" s="120"/>
      <c r="J134" s="120"/>
      <c r="K134" s="120"/>
      <c r="L134" s="81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</row>
    <row r="135" spans="1:24">
      <c r="A135" s="91"/>
      <c r="B135" s="121"/>
      <c r="C135" s="143"/>
      <c r="D135" s="123" t="s">
        <v>124</v>
      </c>
      <c r="E135" s="123" t="s">
        <v>41</v>
      </c>
      <c r="F135" s="123" t="s">
        <v>42</v>
      </c>
      <c r="G135" s="123" t="s">
        <v>43</v>
      </c>
      <c r="H135" s="123" t="s">
        <v>44</v>
      </c>
      <c r="I135" s="124" t="s">
        <v>45</v>
      </c>
      <c r="J135" s="124" t="s">
        <v>46</v>
      </c>
      <c r="K135" s="124" t="s">
        <v>47</v>
      </c>
      <c r="L135" s="143" t="s">
        <v>48</v>
      </c>
      <c r="M135" s="124" t="s">
        <v>49</v>
      </c>
      <c r="N135" s="124" t="s">
        <v>50</v>
      </c>
      <c r="O135" s="124" t="s">
        <v>51</v>
      </c>
      <c r="P135" s="124" t="s">
        <v>52</v>
      </c>
      <c r="Q135" s="124" t="s">
        <v>53</v>
      </c>
      <c r="R135" s="124" t="s">
        <v>54</v>
      </c>
      <c r="S135" s="124" t="s">
        <v>55</v>
      </c>
      <c r="T135" s="124" t="s">
        <v>56</v>
      </c>
      <c r="U135" s="124" t="s">
        <v>57</v>
      </c>
      <c r="V135" s="124" t="s">
        <v>58</v>
      </c>
      <c r="W135" s="124" t="s">
        <v>59</v>
      </c>
      <c r="X135" s="124" t="s">
        <v>60</v>
      </c>
    </row>
    <row r="136" spans="1:24">
      <c r="A136" s="91"/>
      <c r="B136" s="121"/>
      <c r="C136" s="122"/>
      <c r="D136" s="121"/>
      <c r="E136" s="121"/>
      <c r="F136" s="121"/>
      <c r="G136" s="121"/>
      <c r="H136" s="121"/>
      <c r="I136" s="125"/>
      <c r="J136" s="125"/>
      <c r="K136" s="125"/>
      <c r="L136" s="122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</row>
    <row r="137" spans="1:24">
      <c r="A137" s="91"/>
      <c r="B137" s="128"/>
      <c r="C137" s="129"/>
      <c r="D137" s="128"/>
      <c r="E137" s="128"/>
      <c r="F137" s="128"/>
      <c r="G137" s="128"/>
      <c r="H137" s="128"/>
      <c r="I137" s="130"/>
      <c r="J137" s="89"/>
      <c r="K137" s="89"/>
      <c r="M137" s="130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</row>
    <row r="138" spans="1:24">
      <c r="A138" s="91"/>
      <c r="B138" s="128"/>
      <c r="C138" s="146" t="s">
        <v>125</v>
      </c>
      <c r="D138" s="128"/>
      <c r="E138" s="128"/>
      <c r="F138" s="128"/>
      <c r="G138" s="128"/>
      <c r="H138" s="128"/>
      <c r="I138" s="130"/>
      <c r="J138" s="89"/>
      <c r="K138" s="89"/>
      <c r="M138" s="130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</row>
    <row r="139" spans="1:24">
      <c r="A139" s="91"/>
      <c r="B139" s="132"/>
      <c r="C139" s="66" t="s">
        <v>32</v>
      </c>
      <c r="D139" s="363">
        <f>+Bases!$G$43*Proyecciones!D47</f>
        <v>1091369.125</v>
      </c>
      <c r="E139" s="363">
        <f>+Bases!$G$43*Proyecciones!E47</f>
        <v>1241890.7547200001</v>
      </c>
      <c r="F139" s="363">
        <f>+Bases!$G$43*Proyecciones!F47</f>
        <v>1362043.68523916</v>
      </c>
      <c r="G139" s="363">
        <f>+Bases!$G$43*Proyecciones!G47</f>
        <v>1461788.8683965942</v>
      </c>
      <c r="H139" s="363">
        <f>+Bases!$G$43*Proyecciones!H47</f>
        <v>1559822.2770667435</v>
      </c>
      <c r="I139" s="363">
        <f>+Bases!$G$43*Proyecciones!I47</f>
        <v>1661241.9215216232</v>
      </c>
      <c r="J139" s="363">
        <f>+Bases!$G$43*Proyecciones!J47</f>
        <v>1765833.7129006246</v>
      </c>
      <c r="K139" s="363">
        <f>+Bases!$G$43*Proyecciones!K47</f>
        <v>1877010.6034648479</v>
      </c>
      <c r="L139" s="363">
        <f>+Bases!$G$43*Proyecciones!L47</f>
        <v>1995187.191058995</v>
      </c>
      <c r="M139" s="363">
        <f>+Bases!$G$43*Proyecciones!M47</f>
        <v>2120804.1766080693</v>
      </c>
      <c r="N139" s="363">
        <f>+Bases!$G$43*Proyecciones!N47</f>
        <v>2254330.0075673135</v>
      </c>
      <c r="O139" s="363">
        <f>+Bases!$G$43*Proyecciones!O47</f>
        <v>2396262.624843752</v>
      </c>
      <c r="P139" s="363">
        <f>+Bases!$G$43*Proyecciones!P47</f>
        <v>2547131.3197039152</v>
      </c>
      <c r="Q139" s="363">
        <f>+Bases!$G$43*Proyecciones!Q47</f>
        <v>2707498.7075924738</v>
      </c>
      <c r="R139" s="363">
        <f>+Bases!$G$43*Proyecciones!R47</f>
        <v>2877962.8262224961</v>
      </c>
      <c r="S139" s="363">
        <f>+Bases!$G$43*Proyecciones!S47</f>
        <v>3059159.3657614645</v>
      </c>
      <c r="T139" s="363">
        <f>+Bases!$G$43*Proyecciones!T47</f>
        <v>3251764.0394298066</v>
      </c>
      <c r="U139" s="363">
        <f>+Bases!$G$43*Proyecciones!U47</f>
        <v>3456495.1033523073</v>
      </c>
      <c r="V139" s="363">
        <f>+Bases!$G$43*Proyecciones!V47</f>
        <v>3674116.0350593692</v>
      </c>
      <c r="W139" s="363">
        <f>+Bases!$G$43*Proyecciones!W47</f>
        <v>3905438.3806267073</v>
      </c>
      <c r="X139" s="358">
        <f t="shared" ref="X139" si="14">+W139</f>
        <v>3905438.3806267073</v>
      </c>
    </row>
    <row r="140" spans="1:24">
      <c r="A140" s="91"/>
      <c r="B140" s="132"/>
      <c r="C140" s="66" t="s">
        <v>35</v>
      </c>
      <c r="D140" s="363">
        <f>+Bases!$G$45*Proyecciones!D64</f>
        <v>0</v>
      </c>
      <c r="E140" s="363">
        <f>+Bases!$G$45*Proyecciones!E64</f>
        <v>0</v>
      </c>
      <c r="F140" s="363">
        <f>+Bases!$G$45*Proyecciones!F64</f>
        <v>0</v>
      </c>
      <c r="G140" s="363">
        <f>+Bases!$G$45*Proyecciones!G64</f>
        <v>0</v>
      </c>
      <c r="H140" s="363">
        <f>+Bases!$G$45*Proyecciones!H64</f>
        <v>0</v>
      </c>
      <c r="I140" s="363">
        <f>+Bases!$G$45*Proyecciones!I64</f>
        <v>0</v>
      </c>
      <c r="J140" s="363">
        <f>+Bases!$G$45*Proyecciones!J64</f>
        <v>0</v>
      </c>
      <c r="K140" s="363">
        <f>+Bases!$G$45*Proyecciones!K64</f>
        <v>0</v>
      </c>
      <c r="L140" s="363">
        <f>+Bases!$G$45*Proyecciones!L64</f>
        <v>0</v>
      </c>
      <c r="M140" s="363">
        <f>+Bases!$G$45*Proyecciones!M64</f>
        <v>0</v>
      </c>
      <c r="N140" s="358">
        <f>+Bases!$G$45*Proyecciones!N64</f>
        <v>0</v>
      </c>
      <c r="O140" s="358">
        <f>+Bases!$G$45*Proyecciones!O64</f>
        <v>0</v>
      </c>
      <c r="P140" s="358">
        <f>+Bases!$G$45*Proyecciones!P64</f>
        <v>0</v>
      </c>
      <c r="Q140" s="358">
        <f>+Bases!$G$45*Proyecciones!Q64</f>
        <v>0</v>
      </c>
      <c r="R140" s="358">
        <f>+Bases!$G$45*Proyecciones!R64</f>
        <v>0</v>
      </c>
      <c r="S140" s="358">
        <f>+Bases!$G$45*Proyecciones!S64</f>
        <v>0</v>
      </c>
      <c r="T140" s="358">
        <f>+Bases!$G$45*Proyecciones!T64</f>
        <v>0</v>
      </c>
      <c r="U140" s="358">
        <f>+Bases!$G$45*Proyecciones!U64</f>
        <v>0</v>
      </c>
      <c r="V140" s="358">
        <f>+Bases!$G$45*Proyecciones!V64</f>
        <v>0</v>
      </c>
      <c r="W140" s="358">
        <f>+Bases!$G$45*Proyecciones!W64</f>
        <v>0</v>
      </c>
      <c r="X140" s="358">
        <f>+Bases!$G$45*Proyecciones!X64</f>
        <v>0</v>
      </c>
    </row>
    <row r="141" spans="1:24">
      <c r="A141" s="91"/>
      <c r="B141" s="91"/>
      <c r="D141" s="363"/>
      <c r="E141" s="363"/>
      <c r="F141" s="363"/>
      <c r="G141" s="363"/>
      <c r="H141" s="363"/>
      <c r="I141" s="363"/>
      <c r="J141" s="358"/>
      <c r="K141" s="358"/>
      <c r="L141" s="366"/>
      <c r="M141" s="358"/>
      <c r="N141" s="358"/>
      <c r="O141" s="358"/>
      <c r="P141" s="358"/>
      <c r="Q141" s="358"/>
      <c r="R141" s="358"/>
      <c r="S141" s="358"/>
      <c r="T141" s="358"/>
      <c r="U141" s="358"/>
      <c r="V141" s="358"/>
      <c r="W141" s="358"/>
      <c r="X141" s="358"/>
    </row>
    <row r="142" spans="1:24">
      <c r="A142" s="91"/>
      <c r="B142" s="116"/>
      <c r="C142" s="127" t="s">
        <v>93</v>
      </c>
      <c r="D142" s="361">
        <f t="shared" ref="D142:M142" si="15">SUM(D139:D141)</f>
        <v>1091369.125</v>
      </c>
      <c r="E142" s="361">
        <f t="shared" si="15"/>
        <v>1241890.7547200001</v>
      </c>
      <c r="F142" s="361">
        <f t="shared" si="15"/>
        <v>1362043.68523916</v>
      </c>
      <c r="G142" s="361">
        <f t="shared" si="15"/>
        <v>1461788.8683965942</v>
      </c>
      <c r="H142" s="361">
        <f t="shared" si="15"/>
        <v>1559822.2770667435</v>
      </c>
      <c r="I142" s="361">
        <f t="shared" si="15"/>
        <v>1661241.9215216232</v>
      </c>
      <c r="J142" s="361">
        <f t="shared" si="15"/>
        <v>1765833.7129006246</v>
      </c>
      <c r="K142" s="361">
        <f t="shared" si="15"/>
        <v>1877010.6034648479</v>
      </c>
      <c r="L142" s="361">
        <f t="shared" si="15"/>
        <v>1995187.191058995</v>
      </c>
      <c r="M142" s="361">
        <f t="shared" si="15"/>
        <v>2120804.1766080693</v>
      </c>
      <c r="N142" s="361">
        <f>SUM(N139:N141)</f>
        <v>2254330.0075673135</v>
      </c>
      <c r="O142" s="361">
        <f t="shared" ref="O142:X142" si="16">SUM(O139:O141)</f>
        <v>2396262.624843752</v>
      </c>
      <c r="P142" s="361">
        <f t="shared" si="16"/>
        <v>2547131.3197039152</v>
      </c>
      <c r="Q142" s="361">
        <f t="shared" si="16"/>
        <v>2707498.7075924738</v>
      </c>
      <c r="R142" s="361">
        <f t="shared" si="16"/>
        <v>2877962.8262224961</v>
      </c>
      <c r="S142" s="361">
        <f t="shared" si="16"/>
        <v>3059159.3657614645</v>
      </c>
      <c r="T142" s="361">
        <f t="shared" si="16"/>
        <v>3251764.0394298066</v>
      </c>
      <c r="U142" s="361">
        <f t="shared" si="16"/>
        <v>3456495.1033523073</v>
      </c>
      <c r="V142" s="361">
        <f t="shared" si="16"/>
        <v>3674116.0350593692</v>
      </c>
      <c r="W142" s="361">
        <f t="shared" si="16"/>
        <v>3905438.3806267073</v>
      </c>
      <c r="X142" s="361">
        <f t="shared" si="16"/>
        <v>3905438.3806267073</v>
      </c>
    </row>
    <row r="143" spans="1:24">
      <c r="A143" s="91"/>
      <c r="B143" s="88"/>
      <c r="C143" s="79" t="s">
        <v>126</v>
      </c>
      <c r="D143" s="367">
        <f>+D142</f>
        <v>1091369.125</v>
      </c>
      <c r="E143" s="367">
        <f t="shared" ref="E143:X143" si="17">+E142-D142</f>
        <v>150521.62972000008</v>
      </c>
      <c r="F143" s="367">
        <f t="shared" si="17"/>
        <v>120152.93051915988</v>
      </c>
      <c r="G143" s="367">
        <f t="shared" si="17"/>
        <v>99745.183157434221</v>
      </c>
      <c r="H143" s="367">
        <f t="shared" si="17"/>
        <v>98033.408670149278</v>
      </c>
      <c r="I143" s="367">
        <f t="shared" si="17"/>
        <v>101419.64445487969</v>
      </c>
      <c r="J143" s="368">
        <f t="shared" si="17"/>
        <v>104591.79137900146</v>
      </c>
      <c r="K143" s="368">
        <f t="shared" si="17"/>
        <v>111176.89056422329</v>
      </c>
      <c r="L143" s="369">
        <f t="shared" si="17"/>
        <v>118176.58759414707</v>
      </c>
      <c r="M143" s="368">
        <f t="shared" si="17"/>
        <v>125616.98554907436</v>
      </c>
      <c r="N143" s="368">
        <f t="shared" si="17"/>
        <v>133525.83095924417</v>
      </c>
      <c r="O143" s="368">
        <f t="shared" si="17"/>
        <v>141932.61727643851</v>
      </c>
      <c r="P143" s="368">
        <f t="shared" si="17"/>
        <v>150868.69486016314</v>
      </c>
      <c r="Q143" s="368">
        <f t="shared" si="17"/>
        <v>160367.38788855867</v>
      </c>
      <c r="R143" s="368">
        <f t="shared" si="17"/>
        <v>170464.11863002228</v>
      </c>
      <c r="S143" s="368">
        <f t="shared" si="17"/>
        <v>181196.53953896835</v>
      </c>
      <c r="T143" s="368">
        <f t="shared" si="17"/>
        <v>192604.67366834218</v>
      </c>
      <c r="U143" s="368">
        <f t="shared" si="17"/>
        <v>204731.0639225007</v>
      </c>
      <c r="V143" s="368">
        <f t="shared" si="17"/>
        <v>217620.93170706183</v>
      </c>
      <c r="W143" s="368">
        <f t="shared" si="17"/>
        <v>231322.34556733817</v>
      </c>
      <c r="X143" s="368">
        <f t="shared" si="17"/>
        <v>0</v>
      </c>
    </row>
    <row r="144" spans="1:24">
      <c r="A144" s="91"/>
      <c r="B144" s="88"/>
      <c r="C144" s="79"/>
      <c r="D144" s="367"/>
      <c r="E144" s="367"/>
      <c r="F144" s="367"/>
      <c r="G144" s="367"/>
      <c r="H144" s="367"/>
      <c r="I144" s="367"/>
      <c r="J144" s="368"/>
      <c r="K144" s="368"/>
      <c r="L144" s="369"/>
      <c r="M144" s="368"/>
      <c r="N144" s="358"/>
      <c r="O144" s="358"/>
      <c r="P144" s="358"/>
      <c r="Q144" s="358"/>
      <c r="R144" s="358"/>
      <c r="S144" s="358"/>
      <c r="T144" s="358"/>
      <c r="U144" s="358"/>
      <c r="V144" s="358"/>
      <c r="W144" s="358"/>
      <c r="X144" s="358"/>
    </row>
    <row r="145" spans="1:25">
      <c r="A145" s="91"/>
      <c r="B145" s="88"/>
      <c r="C145" s="146" t="s">
        <v>127</v>
      </c>
      <c r="D145" s="367"/>
      <c r="E145" s="367"/>
      <c r="F145" s="367"/>
      <c r="G145" s="367"/>
      <c r="H145" s="367"/>
      <c r="I145" s="367"/>
      <c r="J145" s="368"/>
      <c r="K145" s="368"/>
      <c r="L145" s="369"/>
      <c r="M145" s="368"/>
      <c r="N145" s="358"/>
      <c r="O145" s="358"/>
      <c r="P145" s="358"/>
      <c r="Q145" s="358"/>
      <c r="R145" s="358"/>
      <c r="S145" s="358"/>
      <c r="T145" s="358"/>
      <c r="U145" s="358"/>
      <c r="V145" s="358"/>
      <c r="W145" s="358"/>
      <c r="X145" s="358"/>
    </row>
    <row r="146" spans="1:25">
      <c r="A146" s="91"/>
      <c r="B146" s="88"/>
      <c r="C146" s="66" t="str">
        <f>+Bases!C47</f>
        <v>Costos y Gastos por Pagar</v>
      </c>
      <c r="D146" s="363">
        <f>+Bases!$G$47*(Proyecciones!D64+Proyecciones!D85-D62-D81-D83)</f>
        <v>693789.61300604686</v>
      </c>
      <c r="E146" s="363">
        <f>+Bases!$G$47*(Proyecciones!E64+Proyecciones!E85-E62-E81-E83)</f>
        <v>789477.07643184089</v>
      </c>
      <c r="F146" s="363">
        <f>+Bases!$G$47*(Proyecciones!F64+Proyecciones!F85-F62-F81-F83)</f>
        <v>865858.98357662139</v>
      </c>
      <c r="G146" s="363">
        <f>+Bases!$G$47*(Proyecciones!G64+Proyecciones!G85-G62-G81-G83)</f>
        <v>929267.56866190466</v>
      </c>
      <c r="H146" s="363">
        <f>+Bases!$G$47*(Proyecciones!H64+Proyecciones!H85-H62-H81-H83)</f>
        <v>991587.96888664667</v>
      </c>
      <c r="I146" s="363">
        <f>+Bases!$G$47*(Proyecciones!I64+Proyecciones!I85-I62-I81-I83)</f>
        <v>1056061.0186236564</v>
      </c>
      <c r="J146" s="363">
        <f>+Bases!$G$47*(Proyecciones!J64+Proyecciones!J85-J62-J81-J83)</f>
        <v>1122550.6203562017</v>
      </c>
      <c r="K146" s="363">
        <f>+Bases!$G$47*(Proyecciones!K64+Proyecciones!K85-K62-K81-K83)</f>
        <v>1193226.4074138284</v>
      </c>
      <c r="L146" s="363">
        <f>+Bases!$G$47*(Proyecciones!L64+Proyecciones!L85-L62-L81-L83)</f>
        <v>1268351.942024603</v>
      </c>
      <c r="M146" s="363">
        <f>+Bases!$G$47*(Proyecciones!M64+Proyecciones!M85-M62-M81-M83)</f>
        <v>1348207.3802944722</v>
      </c>
      <c r="N146" s="363">
        <f>+Bases!$G$47*(Proyecciones!N64+Proyecciones!N85-N62-N81-N83)</f>
        <v>1433090.516957812</v>
      </c>
      <c r="O146" s="363">
        <f>+Bases!$G$47*(Proyecciones!O64+Proyecciones!O85-O62-O81-O83)</f>
        <v>1523317.8959054763</v>
      </c>
      <c r="P146" s="363">
        <f>+Bases!$G$47*(Proyecciones!P64+Proyecciones!P85-P62-P81-P83)</f>
        <v>1619225.9906316851</v>
      </c>
      <c r="Q146" s="363">
        <f>+Bases!$G$47*(Proyecciones!Q64+Proyecciones!Q85-Q62-Q81-Q83)</f>
        <v>1721172.4590018564</v>
      </c>
      <c r="R146" s="363">
        <f>+Bases!$G$47*(Proyecciones!R64+Proyecciones!R85-R62-R81-R83)</f>
        <v>1829537.4770206132</v>
      </c>
      <c r="S146" s="363">
        <f>+Bases!$G$47*(Proyecciones!S64+Proyecciones!S85-S62-S81-S83)</f>
        <v>1944725.1565738309</v>
      </c>
      <c r="T146" s="363">
        <f>+Bases!$G$47*(Proyecciones!T64+Proyecciones!T85-T62-T81-T83)</f>
        <v>2067165.0524317196</v>
      </c>
      <c r="U146" s="363">
        <f>+Bases!$G$47*(Proyecciones!U64+Proyecciones!U85-U62-U81-U83)</f>
        <v>2197313.764132821</v>
      </c>
      <c r="V146" s="363">
        <f>+Bases!$G$47*(Proyecciones!V64+Proyecciones!V85-V62-V81-V83)</f>
        <v>2335656.6387226237</v>
      </c>
      <c r="W146" s="363">
        <f>+Bases!$G$47*(Proyecciones!W64+Proyecciones!W85-W62-W81-W83)</f>
        <v>2482709.5806966005</v>
      </c>
      <c r="X146" s="358">
        <f>W146</f>
        <v>2482709.5806966005</v>
      </c>
    </row>
    <row r="147" spans="1:25">
      <c r="A147" s="91"/>
      <c r="B147" s="88"/>
      <c r="C147" s="79"/>
      <c r="D147" s="367"/>
      <c r="E147" s="367"/>
      <c r="F147" s="367"/>
      <c r="G147" s="367"/>
      <c r="H147" s="367"/>
      <c r="I147" s="367"/>
      <c r="J147" s="368"/>
      <c r="K147" s="368"/>
      <c r="L147" s="369"/>
      <c r="M147" s="368"/>
      <c r="N147" s="368"/>
      <c r="O147" s="368"/>
      <c r="P147" s="368"/>
      <c r="Q147" s="368"/>
      <c r="R147" s="368"/>
      <c r="S147" s="368"/>
      <c r="T147" s="368"/>
      <c r="U147" s="368"/>
      <c r="V147" s="368"/>
      <c r="W147" s="368"/>
      <c r="X147" s="368"/>
    </row>
    <row r="148" spans="1:25">
      <c r="A148" s="91"/>
      <c r="B148" s="116"/>
      <c r="C148" s="127" t="s">
        <v>93</v>
      </c>
      <c r="D148" s="362">
        <f t="shared" ref="D148:X148" si="18">+D146</f>
        <v>693789.61300604686</v>
      </c>
      <c r="E148" s="362">
        <f t="shared" si="18"/>
        <v>789477.07643184089</v>
      </c>
      <c r="F148" s="362">
        <f t="shared" si="18"/>
        <v>865858.98357662139</v>
      </c>
      <c r="G148" s="362">
        <f t="shared" si="18"/>
        <v>929267.56866190466</v>
      </c>
      <c r="H148" s="362">
        <f t="shared" si="18"/>
        <v>991587.96888664667</v>
      </c>
      <c r="I148" s="362">
        <f t="shared" si="18"/>
        <v>1056061.0186236564</v>
      </c>
      <c r="J148" s="362">
        <f t="shared" si="18"/>
        <v>1122550.6203562017</v>
      </c>
      <c r="K148" s="362">
        <f t="shared" si="18"/>
        <v>1193226.4074138284</v>
      </c>
      <c r="L148" s="362">
        <f t="shared" si="18"/>
        <v>1268351.942024603</v>
      </c>
      <c r="M148" s="362">
        <f t="shared" si="18"/>
        <v>1348207.3802944722</v>
      </c>
      <c r="N148" s="361">
        <f t="shared" si="18"/>
        <v>1433090.516957812</v>
      </c>
      <c r="O148" s="361">
        <f t="shared" si="18"/>
        <v>1523317.8959054763</v>
      </c>
      <c r="P148" s="361">
        <f t="shared" si="18"/>
        <v>1619225.9906316851</v>
      </c>
      <c r="Q148" s="361">
        <f t="shared" si="18"/>
        <v>1721172.4590018564</v>
      </c>
      <c r="R148" s="361">
        <f t="shared" si="18"/>
        <v>1829537.4770206132</v>
      </c>
      <c r="S148" s="361">
        <f t="shared" si="18"/>
        <v>1944725.1565738309</v>
      </c>
      <c r="T148" s="361">
        <f t="shared" si="18"/>
        <v>2067165.0524317196</v>
      </c>
      <c r="U148" s="361">
        <f t="shared" si="18"/>
        <v>2197313.764132821</v>
      </c>
      <c r="V148" s="361">
        <f t="shared" si="18"/>
        <v>2335656.6387226237</v>
      </c>
      <c r="W148" s="361">
        <f t="shared" si="18"/>
        <v>2482709.5806966005</v>
      </c>
      <c r="X148" s="361">
        <f t="shared" si="18"/>
        <v>2482709.5806966005</v>
      </c>
    </row>
    <row r="149" spans="1:25">
      <c r="A149" s="91"/>
      <c r="B149" s="88"/>
      <c r="C149" s="79" t="s">
        <v>126</v>
      </c>
      <c r="D149" s="367">
        <f>+D148</f>
        <v>693789.61300604686</v>
      </c>
      <c r="E149" s="367">
        <f t="shared" ref="E149:X149" si="19">+E148-D148</f>
        <v>95687.463425794034</v>
      </c>
      <c r="F149" s="367">
        <f t="shared" si="19"/>
        <v>76381.907144780504</v>
      </c>
      <c r="G149" s="367">
        <f t="shared" si="19"/>
        <v>63408.585085283266</v>
      </c>
      <c r="H149" s="367">
        <f t="shared" si="19"/>
        <v>62320.400224742014</v>
      </c>
      <c r="I149" s="367">
        <f t="shared" si="19"/>
        <v>64473.049737009685</v>
      </c>
      <c r="J149" s="368">
        <f t="shared" si="19"/>
        <v>66489.601732545299</v>
      </c>
      <c r="K149" s="368">
        <f t="shared" si="19"/>
        <v>70675.78705762676</v>
      </c>
      <c r="L149" s="369">
        <f t="shared" si="19"/>
        <v>75125.534610774601</v>
      </c>
      <c r="M149" s="368">
        <f t="shared" si="19"/>
        <v>79855.438269869192</v>
      </c>
      <c r="N149" s="368">
        <f t="shared" si="19"/>
        <v>84883.136663339799</v>
      </c>
      <c r="O149" s="368">
        <f t="shared" si="19"/>
        <v>90227.378947664285</v>
      </c>
      <c r="P149" s="368">
        <f t="shared" si="19"/>
        <v>95908.09472620883</v>
      </c>
      <c r="Q149" s="368">
        <f t="shared" si="19"/>
        <v>101946.46837017126</v>
      </c>
      <c r="R149" s="368">
        <f t="shared" si="19"/>
        <v>108365.01801875676</v>
      </c>
      <c r="S149" s="368">
        <f t="shared" si="19"/>
        <v>115187.67955321772</v>
      </c>
      <c r="T149" s="368">
        <f t="shared" si="19"/>
        <v>122439.89585788874</v>
      </c>
      <c r="U149" s="368">
        <f t="shared" si="19"/>
        <v>130148.71170110139</v>
      </c>
      <c r="V149" s="368">
        <f t="shared" si="19"/>
        <v>138342.8745898027</v>
      </c>
      <c r="W149" s="368">
        <f t="shared" si="19"/>
        <v>147052.94197397679</v>
      </c>
      <c r="X149" s="368">
        <f t="shared" si="19"/>
        <v>0</v>
      </c>
    </row>
    <row r="150" spans="1:25">
      <c r="A150" s="91"/>
      <c r="B150" s="88"/>
      <c r="C150" s="79"/>
      <c r="D150" s="367"/>
      <c r="E150" s="367"/>
      <c r="F150" s="367"/>
      <c r="G150" s="367"/>
      <c r="H150" s="367"/>
      <c r="I150" s="367"/>
      <c r="J150" s="368"/>
      <c r="K150" s="368"/>
      <c r="L150" s="369"/>
      <c r="M150" s="368"/>
      <c r="N150" s="368"/>
      <c r="O150" s="368"/>
      <c r="P150" s="368"/>
      <c r="Q150" s="368"/>
      <c r="R150" s="368"/>
      <c r="S150" s="368"/>
      <c r="T150" s="368"/>
      <c r="U150" s="368"/>
      <c r="V150" s="368"/>
      <c r="W150" s="368"/>
      <c r="X150" s="368"/>
    </row>
    <row r="151" spans="1:25">
      <c r="A151" s="91"/>
      <c r="B151" s="88"/>
      <c r="C151" s="79" t="s">
        <v>128</v>
      </c>
      <c r="D151" s="367">
        <f t="shared" ref="D151:W151" si="20">+D142-D148</f>
        <v>397579.51199395314</v>
      </c>
      <c r="E151" s="367">
        <f t="shared" si="20"/>
        <v>452413.67828815919</v>
      </c>
      <c r="F151" s="367">
        <f t="shared" si="20"/>
        <v>496184.70166253857</v>
      </c>
      <c r="G151" s="367">
        <f t="shared" si="20"/>
        <v>532521.29973468953</v>
      </c>
      <c r="H151" s="367">
        <f t="shared" si="20"/>
        <v>568234.30818009679</v>
      </c>
      <c r="I151" s="367">
        <f t="shared" si="20"/>
        <v>605180.90289796679</v>
      </c>
      <c r="J151" s="368">
        <f t="shared" si="20"/>
        <v>643283.09254442295</v>
      </c>
      <c r="K151" s="368">
        <f t="shared" si="20"/>
        <v>683784.19605101948</v>
      </c>
      <c r="L151" s="369">
        <f t="shared" si="20"/>
        <v>726835.24903439195</v>
      </c>
      <c r="M151" s="368">
        <f t="shared" si="20"/>
        <v>772596.79631359712</v>
      </c>
      <c r="N151" s="368">
        <f t="shared" si="20"/>
        <v>821239.49060950149</v>
      </c>
      <c r="O151" s="368">
        <f t="shared" si="20"/>
        <v>872944.72893827572</v>
      </c>
      <c r="P151" s="368">
        <f t="shared" si="20"/>
        <v>927905.32907223003</v>
      </c>
      <c r="Q151" s="368">
        <f t="shared" si="20"/>
        <v>986326.24859061744</v>
      </c>
      <c r="R151" s="368">
        <f t="shared" si="20"/>
        <v>1048425.349201883</v>
      </c>
      <c r="S151" s="368">
        <f t="shared" si="20"/>
        <v>1114434.2091876336</v>
      </c>
      <c r="T151" s="368">
        <f t="shared" si="20"/>
        <v>1184598.986998087</v>
      </c>
      <c r="U151" s="368">
        <f t="shared" si="20"/>
        <v>1259181.3392194863</v>
      </c>
      <c r="V151" s="368">
        <f t="shared" si="20"/>
        <v>1338459.3963367455</v>
      </c>
      <c r="W151" s="368">
        <f t="shared" si="20"/>
        <v>1422728.7999301068</v>
      </c>
      <c r="X151" s="368">
        <f t="shared" ref="X151" si="21">+W151</f>
        <v>1422728.7999301068</v>
      </c>
    </row>
    <row r="152" spans="1:25">
      <c r="A152" s="91"/>
      <c r="B152" s="88"/>
      <c r="C152" s="79"/>
      <c r="D152" s="367"/>
      <c r="E152" s="367"/>
      <c r="F152" s="367"/>
      <c r="G152" s="367"/>
      <c r="H152" s="367"/>
      <c r="I152" s="367"/>
      <c r="J152" s="368"/>
      <c r="K152" s="368"/>
      <c r="L152" s="369"/>
      <c r="M152" s="368"/>
      <c r="N152" s="368"/>
      <c r="O152" s="368"/>
      <c r="P152" s="368"/>
      <c r="Q152" s="368"/>
      <c r="R152" s="368"/>
      <c r="S152" s="368"/>
      <c r="T152" s="368"/>
      <c r="U152" s="368"/>
      <c r="V152" s="368"/>
      <c r="W152" s="368"/>
      <c r="X152" s="368"/>
    </row>
    <row r="153" spans="1:25">
      <c r="A153" s="97"/>
      <c r="B153" s="147"/>
      <c r="C153" s="148" t="s">
        <v>126</v>
      </c>
      <c r="D153" s="370">
        <f>+D151</f>
        <v>397579.51199395314</v>
      </c>
      <c r="E153" s="370">
        <f t="shared" ref="E153:X153" si="22">+E151-D151</f>
        <v>54834.16629420605</v>
      </c>
      <c r="F153" s="370">
        <f t="shared" si="22"/>
        <v>43771.02337437938</v>
      </c>
      <c r="G153" s="370">
        <f t="shared" si="22"/>
        <v>36336.598072150955</v>
      </c>
      <c r="H153" s="370">
        <f t="shared" si="22"/>
        <v>35713.008445407264</v>
      </c>
      <c r="I153" s="370">
        <f t="shared" si="22"/>
        <v>36946.594717870001</v>
      </c>
      <c r="J153" s="371">
        <f t="shared" si="22"/>
        <v>38102.189646456158</v>
      </c>
      <c r="K153" s="371">
        <f t="shared" si="22"/>
        <v>40501.103506596526</v>
      </c>
      <c r="L153" s="372">
        <f t="shared" si="22"/>
        <v>43051.052983372472</v>
      </c>
      <c r="M153" s="371">
        <f t="shared" si="22"/>
        <v>45761.547279205173</v>
      </c>
      <c r="N153" s="371">
        <f t="shared" si="22"/>
        <v>48642.694295904366</v>
      </c>
      <c r="O153" s="371">
        <f t="shared" si="22"/>
        <v>51705.238328774227</v>
      </c>
      <c r="P153" s="371">
        <f t="shared" si="22"/>
        <v>54960.600133954315</v>
      </c>
      <c r="Q153" s="371">
        <f t="shared" si="22"/>
        <v>58420.919518387411</v>
      </c>
      <c r="R153" s="371">
        <f t="shared" si="22"/>
        <v>62099.100611265516</v>
      </c>
      <c r="S153" s="371">
        <f t="shared" si="22"/>
        <v>66008.859985750634</v>
      </c>
      <c r="T153" s="371">
        <f t="shared" si="22"/>
        <v>70164.777810453437</v>
      </c>
      <c r="U153" s="371">
        <f t="shared" si="22"/>
        <v>74582.352221399313</v>
      </c>
      <c r="V153" s="371">
        <f t="shared" si="22"/>
        <v>79278.05711725913</v>
      </c>
      <c r="W153" s="371">
        <f t="shared" si="22"/>
        <v>84269.403593361378</v>
      </c>
      <c r="X153" s="371">
        <f t="shared" si="22"/>
        <v>0</v>
      </c>
    </row>
    <row r="155" spans="1:25">
      <c r="B155" s="75" t="s">
        <v>129</v>
      </c>
      <c r="C155" s="77"/>
      <c r="D155" s="77"/>
      <c r="E155" s="458"/>
      <c r="F155" s="458"/>
      <c r="G155" s="77"/>
      <c r="H155" s="77"/>
      <c r="I155" s="77"/>
      <c r="J155" s="77"/>
    </row>
    <row r="156" spans="1:25">
      <c r="B156" s="77"/>
      <c r="C156" s="77"/>
      <c r="D156" s="77"/>
      <c r="E156" s="77"/>
      <c r="F156" s="77"/>
      <c r="G156" s="77"/>
      <c r="H156" s="77"/>
      <c r="I156" s="77"/>
      <c r="J156" s="77"/>
    </row>
    <row r="157" spans="1:25">
      <c r="B157" s="149"/>
      <c r="C157" s="150"/>
      <c r="D157" s="151"/>
      <c r="E157" s="150"/>
      <c r="F157" s="149"/>
      <c r="G157" s="149"/>
      <c r="H157" s="149"/>
      <c r="I157" s="149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</row>
    <row r="158" spans="1:25">
      <c r="B158" s="152"/>
      <c r="C158" s="153"/>
      <c r="D158" s="154" t="s">
        <v>130</v>
      </c>
      <c r="E158" s="153" t="s">
        <v>124</v>
      </c>
      <c r="F158" s="155" t="s">
        <v>41</v>
      </c>
      <c r="G158" s="155" t="s">
        <v>42</v>
      </c>
      <c r="H158" s="155" t="s">
        <v>43</v>
      </c>
      <c r="I158" s="155" t="s">
        <v>44</v>
      </c>
      <c r="J158" s="154" t="s">
        <v>45</v>
      </c>
      <c r="K158" s="154" t="s">
        <v>46</v>
      </c>
      <c r="L158" s="154" t="s">
        <v>47</v>
      </c>
      <c r="M158" s="154" t="s">
        <v>48</v>
      </c>
      <c r="N158" s="154" t="s">
        <v>49</v>
      </c>
      <c r="O158" s="154" t="s">
        <v>50</v>
      </c>
      <c r="P158" s="154" t="s">
        <v>51</v>
      </c>
      <c r="Q158" s="154" t="s">
        <v>52</v>
      </c>
      <c r="R158" s="154" t="s">
        <v>53</v>
      </c>
      <c r="S158" s="154" t="s">
        <v>54</v>
      </c>
      <c r="T158" s="154" t="s">
        <v>55</v>
      </c>
      <c r="U158" s="154" t="s">
        <v>56</v>
      </c>
      <c r="V158" s="154" t="s">
        <v>57</v>
      </c>
      <c r="W158" s="154" t="s">
        <v>58</v>
      </c>
      <c r="X158" s="154" t="s">
        <v>59</v>
      </c>
      <c r="Y158" s="154" t="s">
        <v>60</v>
      </c>
    </row>
    <row r="159" spans="1:25">
      <c r="B159" s="152"/>
      <c r="C159" s="156"/>
      <c r="D159" s="157"/>
      <c r="E159" s="156"/>
      <c r="F159" s="152"/>
      <c r="G159" s="152"/>
      <c r="H159" s="152"/>
      <c r="I159" s="152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58"/>
    </row>
    <row r="160" spans="1:25">
      <c r="B160" s="128"/>
      <c r="C160" s="129"/>
      <c r="D160" s="130"/>
      <c r="E160" s="129"/>
      <c r="F160" s="459">
        <v>1</v>
      </c>
      <c r="G160" s="459">
        <v>2</v>
      </c>
      <c r="H160" s="459">
        <v>3</v>
      </c>
      <c r="I160" s="459">
        <v>4</v>
      </c>
      <c r="J160" s="460">
        <v>5</v>
      </c>
      <c r="K160" s="144">
        <v>6</v>
      </c>
      <c r="L160" s="144">
        <v>7</v>
      </c>
      <c r="M160" s="144">
        <v>8</v>
      </c>
      <c r="N160" s="144">
        <v>9</v>
      </c>
      <c r="O160" s="144">
        <v>10</v>
      </c>
      <c r="P160" s="144">
        <v>11</v>
      </c>
      <c r="Q160" s="144">
        <v>12</v>
      </c>
      <c r="R160" s="144">
        <v>13</v>
      </c>
      <c r="S160" s="144">
        <v>14</v>
      </c>
      <c r="T160" s="144">
        <v>15</v>
      </c>
      <c r="U160" s="144">
        <v>16</v>
      </c>
      <c r="V160" s="144">
        <v>17</v>
      </c>
      <c r="W160" s="144">
        <v>18</v>
      </c>
      <c r="X160" s="144">
        <v>19</v>
      </c>
      <c r="Y160" s="144">
        <v>20</v>
      </c>
    </row>
    <row r="161" spans="2:25">
      <c r="B161" s="132"/>
      <c r="C161" s="66" t="s">
        <v>114</v>
      </c>
      <c r="D161" s="89"/>
      <c r="E161" s="66">
        <f>+$D$36</f>
        <v>0</v>
      </c>
      <c r="F161" s="91">
        <f t="shared" ref="F161:Y161" si="23">+E163</f>
        <v>0</v>
      </c>
      <c r="G161" s="91">
        <f t="shared" si="23"/>
        <v>0</v>
      </c>
      <c r="H161" s="91">
        <f t="shared" si="23"/>
        <v>0</v>
      </c>
      <c r="I161" s="91">
        <f t="shared" si="23"/>
        <v>0</v>
      </c>
      <c r="J161" s="89">
        <f t="shared" si="23"/>
        <v>0</v>
      </c>
      <c r="K161" s="89">
        <f t="shared" si="23"/>
        <v>0</v>
      </c>
      <c r="L161" s="89">
        <f t="shared" si="23"/>
        <v>0</v>
      </c>
      <c r="M161" s="89">
        <f t="shared" si="23"/>
        <v>0</v>
      </c>
      <c r="N161" s="89">
        <f t="shared" si="23"/>
        <v>0</v>
      </c>
      <c r="O161" s="89">
        <f t="shared" si="23"/>
        <v>0</v>
      </c>
      <c r="P161" s="89">
        <f t="shared" si="23"/>
        <v>0</v>
      </c>
      <c r="Q161" s="89">
        <f t="shared" si="23"/>
        <v>0</v>
      </c>
      <c r="R161" s="89">
        <f t="shared" si="23"/>
        <v>0</v>
      </c>
      <c r="S161" s="89">
        <f t="shared" si="23"/>
        <v>0</v>
      </c>
      <c r="T161" s="89">
        <f t="shared" si="23"/>
        <v>0</v>
      </c>
      <c r="U161" s="89">
        <f t="shared" si="23"/>
        <v>0</v>
      </c>
      <c r="V161" s="89">
        <f t="shared" si="23"/>
        <v>0</v>
      </c>
      <c r="W161" s="89">
        <f t="shared" si="23"/>
        <v>0</v>
      </c>
      <c r="X161" s="89">
        <f t="shared" si="23"/>
        <v>0</v>
      </c>
      <c r="Y161" s="89">
        <f t="shared" si="23"/>
        <v>0</v>
      </c>
    </row>
    <row r="162" spans="2:25">
      <c r="B162" s="132"/>
      <c r="C162" s="66" t="s">
        <v>131</v>
      </c>
      <c r="D162" s="89"/>
      <c r="F162" s="91">
        <f>(IF(E163&lt;=0,0,(IF(Bases!$F$29&lt;=F160-1,$E$161/(Bases!$F$27-Bases!$F$29),0))))</f>
        <v>0</v>
      </c>
      <c r="G162" s="91">
        <f>(IF(F163&lt;=0,0,(IF(Bases!$F$29&lt;=G160-1,$E$161/(Bases!$F$27-Bases!$F$29),0))))</f>
        <v>0</v>
      </c>
      <c r="H162" s="91">
        <f>(IF(G163&lt;=0,0,(IF(Bases!$F$29&lt;=H160-1,$E$161/(Bases!$F$27-Bases!$F$29),0))))</f>
        <v>0</v>
      </c>
      <c r="I162" s="91">
        <f>(IF(H163&lt;=0,0,(IF(Bases!$F$29&lt;=I160-1,$E$161/(Bases!$F$27-Bases!$F$29),0))))</f>
        <v>0</v>
      </c>
      <c r="J162" s="91">
        <f>(IF(I163&lt;=0,0,(IF(Bases!$F$29&lt;=J160-1,$E$161/(Bases!$F$27-Bases!$F$29),0))))</f>
        <v>0</v>
      </c>
      <c r="K162" s="91">
        <f>(IF(J163&lt;=0,0,(IF(Bases!$F$29&lt;=K160-1,$E$161/(Bases!$F$27-Bases!$F$29),0))))</f>
        <v>0</v>
      </c>
      <c r="L162" s="91">
        <f>(IF(K163&lt;=0,0,(IF(Bases!$F$29&lt;=L160-1,$E$161/(Bases!$F$27-Bases!$F$29),0))))</f>
        <v>0</v>
      </c>
      <c r="M162" s="91">
        <f>(IF(L163&lt;=0,0,(IF(Bases!$F$29&lt;=M160-1,$E$161/(Bases!$F$27-Bases!$F$29),0))))</f>
        <v>0</v>
      </c>
      <c r="N162" s="91">
        <f>(IF(M163&lt;=0,0,(IF(Bases!$F$29&lt;=N160-1,$E$161/(Bases!$F$27-Bases!$F$29),0))))</f>
        <v>0</v>
      </c>
      <c r="O162" s="89">
        <f>(IF(N163&lt;=0,0,(IF(Bases!$F$29&lt;=O160-1,$E$161/(Bases!$F$27-Bases!$F$29),0))))</f>
        <v>0</v>
      </c>
      <c r="P162" s="89">
        <f>(IF(O163&lt;=0,0,(IF(Bases!$F$29&lt;=P160-1,$E$161/(Bases!$F$27-Bases!$F$29),0))))</f>
        <v>0</v>
      </c>
      <c r="Q162" s="89">
        <f>(IF(P163&lt;=0,0,(IF(Bases!$F$29&lt;=Q160-1,$E$161/(Bases!$F$27-Bases!$F$29),0))))</f>
        <v>0</v>
      </c>
      <c r="R162" s="89">
        <f>(IF(Q163&lt;=0,0,(IF(Bases!$F$29&lt;=R160-1,$E$161/(Bases!$F$27-Bases!$F$29),0))))</f>
        <v>0</v>
      </c>
      <c r="S162" s="89">
        <f>(IF(R163&lt;=0,0,(IF(Bases!$F$29&lt;=S160-1,$E$161/(Bases!$F$27-Bases!$F$29),0))))</f>
        <v>0</v>
      </c>
      <c r="T162" s="89">
        <f>(IF(S163&lt;=0,0,(IF(Bases!$F$29&lt;=T160-1,$E$161/(Bases!$F$27-Bases!$F$29),0))))</f>
        <v>0</v>
      </c>
      <c r="U162" s="89">
        <f>(IF(T163&lt;=0,0,(IF(Bases!$F$29&lt;=U160-1,$E$161/(Bases!$F$27-Bases!$F$29),0))))</f>
        <v>0</v>
      </c>
      <c r="V162" s="89">
        <f>(IF(U163&lt;=0,0,(IF(Bases!$F$29&lt;=V160-1,$E$161/(Bases!$F$27-Bases!$F$29),0))))</f>
        <v>0</v>
      </c>
      <c r="W162" s="89">
        <f>(IF(V163&lt;=0,0,(IF(Bases!$F$29&lt;=W160-1,$E$161/(Bases!$F$27-Bases!$F$29),0))))</f>
        <v>0</v>
      </c>
      <c r="X162" s="89">
        <f>(IF(W163&lt;=0,0,(IF(Bases!$F$29&lt;=X160-1,$E$161/(Bases!$F$27-Bases!$F$29),0))))</f>
        <v>0</v>
      </c>
      <c r="Y162" s="89">
        <f>(IF(X163&lt;=0,0,(IF(Bases!$F$29&lt;=Y160-1,$E$161/(Bases!$F$27-Bases!$F$29),0))))</f>
        <v>0</v>
      </c>
    </row>
    <row r="163" spans="2:25">
      <c r="B163" s="132"/>
      <c r="C163" s="66" t="s">
        <v>132</v>
      </c>
      <c r="D163" s="89"/>
      <c r="E163" s="66">
        <f t="shared" ref="E163:Y163" si="24">+E161-E162</f>
        <v>0</v>
      </c>
      <c r="F163" s="91">
        <f t="shared" si="24"/>
        <v>0</v>
      </c>
      <c r="G163" s="91">
        <f t="shared" si="24"/>
        <v>0</v>
      </c>
      <c r="H163" s="91">
        <f t="shared" si="24"/>
        <v>0</v>
      </c>
      <c r="I163" s="91">
        <f t="shared" si="24"/>
        <v>0</v>
      </c>
      <c r="J163" s="89">
        <f t="shared" si="24"/>
        <v>0</v>
      </c>
      <c r="K163" s="89">
        <f t="shared" si="24"/>
        <v>0</v>
      </c>
      <c r="L163" s="89">
        <f t="shared" si="24"/>
        <v>0</v>
      </c>
      <c r="M163" s="89">
        <f t="shared" si="24"/>
        <v>0</v>
      </c>
      <c r="N163" s="89">
        <f t="shared" si="24"/>
        <v>0</v>
      </c>
      <c r="O163" s="89">
        <f t="shared" si="24"/>
        <v>0</v>
      </c>
      <c r="P163" s="89">
        <f t="shared" si="24"/>
        <v>0</v>
      </c>
      <c r="Q163" s="89">
        <f t="shared" si="24"/>
        <v>0</v>
      </c>
      <c r="R163" s="89">
        <f t="shared" si="24"/>
        <v>0</v>
      </c>
      <c r="S163" s="89">
        <f t="shared" si="24"/>
        <v>0</v>
      </c>
      <c r="T163" s="89">
        <f t="shared" si="24"/>
        <v>0</v>
      </c>
      <c r="U163" s="89">
        <f t="shared" si="24"/>
        <v>0</v>
      </c>
      <c r="V163" s="89">
        <f t="shared" si="24"/>
        <v>0</v>
      </c>
      <c r="W163" s="89">
        <f t="shared" si="24"/>
        <v>0</v>
      </c>
      <c r="X163" s="89">
        <f t="shared" si="24"/>
        <v>0</v>
      </c>
      <c r="Y163" s="89">
        <f t="shared" si="24"/>
        <v>0</v>
      </c>
    </row>
    <row r="164" spans="2:25">
      <c r="B164" s="132"/>
      <c r="C164" s="66" t="s">
        <v>133</v>
      </c>
      <c r="D164" s="159">
        <f>+Bases!F25</f>
        <v>0.31390000000000001</v>
      </c>
      <c r="F164" s="91">
        <f t="shared" ref="F164:Y164" si="25">(E163+F163)/2*$D$164</f>
        <v>0</v>
      </c>
      <c r="G164" s="91">
        <f t="shared" si="25"/>
        <v>0</v>
      </c>
      <c r="H164" s="91">
        <f t="shared" si="25"/>
        <v>0</v>
      </c>
      <c r="I164" s="91">
        <f t="shared" si="25"/>
        <v>0</v>
      </c>
      <c r="J164" s="89">
        <f t="shared" si="25"/>
        <v>0</v>
      </c>
      <c r="K164" s="89">
        <f t="shared" si="25"/>
        <v>0</v>
      </c>
      <c r="L164" s="89">
        <f t="shared" si="25"/>
        <v>0</v>
      </c>
      <c r="M164" s="89">
        <f t="shared" si="25"/>
        <v>0</v>
      </c>
      <c r="N164" s="89">
        <f t="shared" si="25"/>
        <v>0</v>
      </c>
      <c r="O164" s="89">
        <f t="shared" si="25"/>
        <v>0</v>
      </c>
      <c r="P164" s="89">
        <f t="shared" si="25"/>
        <v>0</v>
      </c>
      <c r="Q164" s="89">
        <f t="shared" si="25"/>
        <v>0</v>
      </c>
      <c r="R164" s="89">
        <f t="shared" si="25"/>
        <v>0</v>
      </c>
      <c r="S164" s="89">
        <f t="shared" si="25"/>
        <v>0</v>
      </c>
      <c r="T164" s="89">
        <f t="shared" si="25"/>
        <v>0</v>
      </c>
      <c r="U164" s="89">
        <f t="shared" si="25"/>
        <v>0</v>
      </c>
      <c r="V164" s="89">
        <f t="shared" si="25"/>
        <v>0</v>
      </c>
      <c r="W164" s="89">
        <f t="shared" si="25"/>
        <v>0</v>
      </c>
      <c r="X164" s="89">
        <f t="shared" si="25"/>
        <v>0</v>
      </c>
      <c r="Y164" s="89">
        <f t="shared" si="25"/>
        <v>0</v>
      </c>
    </row>
    <row r="165" spans="2:25">
      <c r="B165" s="97"/>
      <c r="C165" s="98"/>
      <c r="D165" s="99"/>
      <c r="E165" s="98"/>
      <c r="F165" s="97"/>
      <c r="G165" s="97"/>
      <c r="H165" s="97"/>
      <c r="I165" s="97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</row>
    <row r="167" spans="2:25">
      <c r="B167" s="75" t="s">
        <v>134</v>
      </c>
      <c r="C167" s="75"/>
      <c r="D167" s="75"/>
      <c r="E167" s="75"/>
      <c r="F167" s="75"/>
      <c r="G167" s="75"/>
      <c r="H167" s="75"/>
      <c r="I167" s="75"/>
      <c r="J167" s="75"/>
    </row>
    <row r="168" spans="2:25">
      <c r="B168" s="75"/>
      <c r="C168" s="75"/>
      <c r="D168" s="75"/>
      <c r="E168" s="75"/>
      <c r="F168" s="75"/>
      <c r="G168" s="75"/>
      <c r="H168" s="75"/>
      <c r="I168" s="75"/>
      <c r="J168" s="75"/>
    </row>
    <row r="169" spans="2:25">
      <c r="B169" s="160"/>
      <c r="C169" s="161"/>
      <c r="D169" s="162"/>
      <c r="E169" s="162"/>
      <c r="F169" s="162"/>
      <c r="G169" s="162"/>
      <c r="H169" s="163"/>
      <c r="I169" s="163"/>
      <c r="J169" s="163"/>
      <c r="K169" s="163"/>
      <c r="L169" s="163"/>
      <c r="M169" s="163"/>
      <c r="N169" s="163"/>
      <c r="O169" s="163"/>
      <c r="P169" s="163"/>
      <c r="Q169" s="163"/>
      <c r="R169" s="163"/>
      <c r="S169" s="163"/>
      <c r="T169" s="163"/>
      <c r="U169" s="163"/>
      <c r="V169" s="163"/>
      <c r="W169" s="163"/>
    </row>
    <row r="170" spans="2:25">
      <c r="B170" s="164"/>
      <c r="C170" s="165"/>
      <c r="D170" s="166" t="s">
        <v>41</v>
      </c>
      <c r="E170" s="166" t="s">
        <v>42</v>
      </c>
      <c r="F170" s="166" t="s">
        <v>43</v>
      </c>
      <c r="G170" s="166" t="s">
        <v>44</v>
      </c>
      <c r="H170" s="167" t="s">
        <v>45</v>
      </c>
      <c r="I170" s="167" t="s">
        <v>46</v>
      </c>
      <c r="J170" s="167" t="s">
        <v>47</v>
      </c>
      <c r="K170" s="167" t="s">
        <v>48</v>
      </c>
      <c r="L170" s="167" t="s">
        <v>49</v>
      </c>
      <c r="M170" s="167" t="s">
        <v>50</v>
      </c>
      <c r="N170" s="167" t="s">
        <v>51</v>
      </c>
      <c r="O170" s="167" t="s">
        <v>52</v>
      </c>
      <c r="P170" s="167" t="s">
        <v>53</v>
      </c>
      <c r="Q170" s="167" t="s">
        <v>54</v>
      </c>
      <c r="R170" s="167" t="s">
        <v>55</v>
      </c>
      <c r="S170" s="167" t="s">
        <v>56</v>
      </c>
      <c r="T170" s="167" t="s">
        <v>57</v>
      </c>
      <c r="U170" s="167" t="s">
        <v>58</v>
      </c>
      <c r="V170" s="167" t="s">
        <v>59</v>
      </c>
      <c r="W170" s="167" t="s">
        <v>60</v>
      </c>
    </row>
    <row r="171" spans="2:25">
      <c r="B171" s="168"/>
      <c r="C171" s="169"/>
      <c r="D171" s="170"/>
      <c r="E171" s="170"/>
      <c r="F171" s="170"/>
      <c r="G171" s="170"/>
      <c r="H171" s="171"/>
      <c r="I171" s="171"/>
      <c r="J171" s="171"/>
      <c r="K171" s="171"/>
      <c r="L171" s="171"/>
      <c r="M171" s="171"/>
      <c r="N171" s="171"/>
      <c r="O171" s="171"/>
      <c r="P171" s="171"/>
      <c r="Q171" s="171"/>
      <c r="R171" s="171"/>
      <c r="S171" s="171"/>
      <c r="T171" s="171"/>
      <c r="U171" s="171"/>
      <c r="V171" s="171"/>
      <c r="W171" s="171"/>
    </row>
    <row r="172" spans="2:25">
      <c r="B172" s="168"/>
      <c r="C172" s="169" t="s">
        <v>135</v>
      </c>
      <c r="D172" s="373">
        <f>+Bases!$G$40*(D64+D85-D62-D83)</f>
        <v>694067.23990200763</v>
      </c>
      <c r="E172" s="373">
        <f>+Bases!$G$40*(E64+E85-E62-E83)</f>
        <v>789792.99362929258</v>
      </c>
      <c r="F172" s="373">
        <f>+Bases!$G$40*(F64+F85-F62-F83)</f>
        <v>866205.4657629265</v>
      </c>
      <c r="G172" s="373">
        <f>+Bases!$G$40*(G64+G85-G62-G83)</f>
        <v>929639.42443167721</v>
      </c>
      <c r="H172" s="373">
        <f>+Bases!$G$40*(H64+H85-H62-H83)</f>
        <v>991984.76279176329</v>
      </c>
      <c r="I172" s="373">
        <f>+Bases!$G$40*(I64+I85-I62-I83)</f>
        <v>1056483.6120684836</v>
      </c>
      <c r="J172" s="373">
        <f>+Bases!$G$40*(J64+J85-J62-J83)</f>
        <v>1122999.8202843154</v>
      </c>
      <c r="K172" s="373">
        <f>+Bases!$G$40*(K64+K85-K62-K83)</f>
        <v>1193703.888969416</v>
      </c>
      <c r="L172" s="373">
        <f>+Bases!$G$40*(L64+L85-L62-L83)</f>
        <v>1268859.4858189304</v>
      </c>
      <c r="M172" s="373">
        <f>+Bases!$G$40*(M64+M85-M62-M83)</f>
        <v>1348746.8790460904</v>
      </c>
      <c r="N172" s="373">
        <f>+Bases!$G$40*(N64+N85-N62-N83)</f>
        <v>1433663.9825508324</v>
      </c>
      <c r="O172" s="373">
        <f>+Bases!$G$40*(O64+O85-O62-O83)</f>
        <v>1523927.4668922331</v>
      </c>
      <c r="P172" s="373">
        <f>+Bases!$G$40*(P64+P85-P62-P83)</f>
        <v>1619873.9402077682</v>
      </c>
      <c r="Q172" s="373">
        <f>+Bases!$G$40*(Q64+Q85-Q62-Q83)</f>
        <v>1721861.2034832495</v>
      </c>
      <c r="R172" s="373">
        <f>+Bases!$G$40*(R64+R85-R62-R83)</f>
        <v>1830269.5848545549</v>
      </c>
      <c r="S172" s="373">
        <f>+Bases!$G$40*(S64+S85-S62-S83)</f>
        <v>1945503.3579169977</v>
      </c>
      <c r="T172" s="373">
        <f>+Bases!$G$40*(T64+T85-T62-T83)</f>
        <v>2067992.2493314522</v>
      </c>
      <c r="U172" s="373">
        <f>+Bases!$G$40*(U64+U85-U62-U83)</f>
        <v>2198193.0413493607</v>
      </c>
      <c r="V172" s="373">
        <f>+Bases!$G$40*(V64+V85-V62-V83)</f>
        <v>2336591.2752327165</v>
      </c>
      <c r="W172" s="373">
        <f>+Bases!$G$40*(W64+W85-W62-W83)</f>
        <v>2483703.0619213688</v>
      </c>
    </row>
    <row r="173" spans="2:25">
      <c r="B173" s="172"/>
      <c r="C173" s="173"/>
      <c r="D173" s="174"/>
      <c r="E173" s="174"/>
      <c r="F173" s="174"/>
      <c r="G173" s="174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</row>
    <row r="175" spans="2:25">
      <c r="B175" s="75" t="s">
        <v>136</v>
      </c>
      <c r="C175" s="77"/>
      <c r="D175" s="77"/>
      <c r="E175" s="77"/>
      <c r="F175" s="77"/>
      <c r="G175" s="77"/>
      <c r="H175" s="77"/>
      <c r="I175" s="77"/>
      <c r="J175" s="77"/>
    </row>
    <row r="176" spans="2:25" ht="13.5" thickBot="1">
      <c r="B176" s="77"/>
      <c r="C176" s="77"/>
      <c r="D176" s="77"/>
      <c r="E176" s="77"/>
      <c r="F176" s="77"/>
      <c r="G176" s="77"/>
      <c r="H176" s="77"/>
      <c r="I176" s="77"/>
      <c r="J176" s="77"/>
    </row>
    <row r="177" spans="2:62" ht="13.5" thickBot="1">
      <c r="B177" s="176"/>
      <c r="C177" s="177"/>
      <c r="D177" s="178"/>
      <c r="E177" s="178"/>
      <c r="F177" s="179"/>
      <c r="G177" s="179"/>
      <c r="H177" s="179"/>
      <c r="I177" s="179"/>
      <c r="J177" s="180"/>
      <c r="K177" s="180"/>
      <c r="L177" s="180"/>
      <c r="M177" s="180"/>
      <c r="N177" s="179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</row>
    <row r="178" spans="2:62" ht="13.5" thickBot="1">
      <c r="B178" s="182"/>
      <c r="C178" s="183"/>
      <c r="D178" s="143"/>
      <c r="E178" s="143"/>
      <c r="F178" s="123" t="s">
        <v>41</v>
      </c>
      <c r="G178" s="123" t="s">
        <v>42</v>
      </c>
      <c r="H178" s="123" t="s">
        <v>43</v>
      </c>
      <c r="I178" s="123" t="s">
        <v>44</v>
      </c>
      <c r="J178" s="124" t="s">
        <v>45</v>
      </c>
      <c r="K178" s="124" t="s">
        <v>46</v>
      </c>
      <c r="L178" s="124" t="s">
        <v>47</v>
      </c>
      <c r="M178" s="124" t="s">
        <v>48</v>
      </c>
      <c r="N178" s="123" t="s">
        <v>49</v>
      </c>
      <c r="O178" s="184" t="s">
        <v>50</v>
      </c>
      <c r="P178" s="184" t="s">
        <v>51</v>
      </c>
      <c r="Q178" s="184" t="s">
        <v>52</v>
      </c>
      <c r="R178" s="184" t="s">
        <v>53</v>
      </c>
      <c r="S178" s="184" t="s">
        <v>54</v>
      </c>
      <c r="T178" s="184" t="s">
        <v>55</v>
      </c>
      <c r="U178" s="184" t="s">
        <v>56</v>
      </c>
      <c r="V178" s="184" t="s">
        <v>57</v>
      </c>
      <c r="W178" s="184" t="s">
        <v>58</v>
      </c>
      <c r="X178" s="184" t="s">
        <v>59</v>
      </c>
      <c r="Y178" s="184" t="s">
        <v>60</v>
      </c>
      <c r="AP178" s="185" t="s">
        <v>137</v>
      </c>
      <c r="AQ178" s="186"/>
      <c r="AR178" s="186"/>
      <c r="AS178" s="186"/>
      <c r="AT178" s="186"/>
      <c r="AU178" s="187"/>
    </row>
    <row r="179" spans="2:62" ht="13.5" thickBot="1">
      <c r="B179" s="182"/>
      <c r="C179" s="188"/>
      <c r="D179" s="189"/>
      <c r="E179" s="122"/>
      <c r="F179" s="121"/>
      <c r="G179" s="121"/>
      <c r="H179" s="121"/>
      <c r="I179" s="121"/>
      <c r="J179" s="125"/>
      <c r="K179" s="125"/>
      <c r="L179" s="125"/>
      <c r="M179" s="125"/>
      <c r="N179" s="121"/>
      <c r="O179" s="190"/>
      <c r="P179" s="190"/>
      <c r="Q179" s="190"/>
      <c r="R179" s="190"/>
      <c r="S179" s="190"/>
      <c r="T179" s="190"/>
      <c r="U179" s="190"/>
      <c r="V179" s="190"/>
      <c r="W179" s="190"/>
      <c r="X179" s="190"/>
      <c r="Y179" s="190"/>
      <c r="AP179" s="191"/>
      <c r="AQ179" s="192" t="s">
        <v>41</v>
      </c>
      <c r="AR179" s="192" t="s">
        <v>42</v>
      </c>
      <c r="AS179" s="192" t="s">
        <v>43</v>
      </c>
      <c r="AT179" s="193" t="s">
        <v>44</v>
      </c>
      <c r="AU179" s="194" t="s">
        <v>45</v>
      </c>
      <c r="AV179" s="194" t="s">
        <v>46</v>
      </c>
      <c r="AW179" s="194" t="s">
        <v>47</v>
      </c>
      <c r="AX179" s="194" t="s">
        <v>48</v>
      </c>
      <c r="AY179" s="194" t="s">
        <v>49</v>
      </c>
      <c r="AZ179" s="194" t="s">
        <v>50</v>
      </c>
      <c r="BA179" s="194" t="s">
        <v>51</v>
      </c>
      <c r="BB179" s="194" t="s">
        <v>52</v>
      </c>
      <c r="BC179" s="194" t="s">
        <v>53</v>
      </c>
      <c r="BD179" s="194" t="s">
        <v>54</v>
      </c>
      <c r="BE179" s="194" t="s">
        <v>55</v>
      </c>
      <c r="BF179" s="194" t="s">
        <v>56</v>
      </c>
      <c r="BG179" s="194" t="s">
        <v>57</v>
      </c>
      <c r="BH179" s="194" t="s">
        <v>58</v>
      </c>
      <c r="BI179" s="194" t="s">
        <v>59</v>
      </c>
      <c r="BJ179" s="194" t="s">
        <v>60</v>
      </c>
    </row>
    <row r="180" spans="2:62">
      <c r="B180" s="195"/>
      <c r="C180" s="196"/>
      <c r="D180" s="129"/>
      <c r="E180" s="129"/>
      <c r="F180" s="128"/>
      <c r="G180" s="128"/>
      <c r="H180" s="128"/>
      <c r="I180" s="128"/>
      <c r="J180" s="130"/>
      <c r="K180" s="130"/>
      <c r="L180" s="130"/>
      <c r="M180" s="130"/>
      <c r="N180" s="128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AP180" s="198" t="str">
        <f>+C181</f>
        <v>INGRESOS OPERACIONALES</v>
      </c>
      <c r="AQ180" s="199">
        <f t="shared" ref="AQ180:BB180" si="26">+F181</f>
        <v>8730953</v>
      </c>
      <c r="AR180" s="199">
        <f t="shared" si="26"/>
        <v>9935126.0377600007</v>
      </c>
      <c r="AS180" s="199">
        <f t="shared" si="26"/>
        <v>10896349.48191328</v>
      </c>
      <c r="AT180" s="199">
        <f t="shared" si="26"/>
        <v>11694310.947172754</v>
      </c>
      <c r="AU180" s="199">
        <f t="shared" si="26"/>
        <v>12478578.216533948</v>
      </c>
      <c r="AV180" s="199">
        <f t="shared" si="26"/>
        <v>13289935.372172985</v>
      </c>
      <c r="AW180" s="199">
        <f t="shared" si="26"/>
        <v>14126669.703204997</v>
      </c>
      <c r="AX180" s="199">
        <f t="shared" si="26"/>
        <v>15016084.827718783</v>
      </c>
      <c r="AY180" s="199">
        <f t="shared" si="26"/>
        <v>15961497.52847196</v>
      </c>
      <c r="AZ180" s="199">
        <f t="shared" si="26"/>
        <v>16966433.412864555</v>
      </c>
      <c r="BA180" s="199">
        <f t="shared" si="26"/>
        <v>18034640.060538508</v>
      </c>
      <c r="BB180" s="199">
        <f t="shared" si="26"/>
        <v>19170100.998750016</v>
      </c>
      <c r="BC180" s="199" t="str">
        <f t="shared" ref="BC180:BJ180" si="27">+AP181</f>
        <v>UTILIDAD NETA</v>
      </c>
      <c r="BD180" s="199">
        <f t="shared" si="27"/>
        <v>228894.97876434051</v>
      </c>
      <c r="BE180" s="199">
        <f t="shared" si="27"/>
        <v>264946.57423551858</v>
      </c>
      <c r="BF180" s="199">
        <f t="shared" si="27"/>
        <v>293724.53029280517</v>
      </c>
      <c r="BG180" s="199">
        <f t="shared" si="27"/>
        <v>317614.60509520723</v>
      </c>
      <c r="BH180" s="199">
        <f t="shared" si="27"/>
        <v>341094.69097131205</v>
      </c>
      <c r="BI180" s="199">
        <f t="shared" si="27"/>
        <v>397885.81777826755</v>
      </c>
      <c r="BJ180" s="199">
        <f t="shared" si="27"/>
        <v>422936.70886558737</v>
      </c>
    </row>
    <row r="181" spans="2:62" ht="13.5" thickBot="1">
      <c r="B181" s="65"/>
      <c r="C181" s="200" t="s">
        <v>138</v>
      </c>
      <c r="D181" s="79"/>
      <c r="E181" s="79"/>
      <c r="F181" s="367">
        <f t="shared" ref="F181:Y181" si="28">+D47</f>
        <v>8730953</v>
      </c>
      <c r="G181" s="367">
        <f t="shared" si="28"/>
        <v>9935126.0377600007</v>
      </c>
      <c r="H181" s="367">
        <f t="shared" si="28"/>
        <v>10896349.48191328</v>
      </c>
      <c r="I181" s="367">
        <f t="shared" si="28"/>
        <v>11694310.947172754</v>
      </c>
      <c r="J181" s="367">
        <f t="shared" si="28"/>
        <v>12478578.216533948</v>
      </c>
      <c r="K181" s="367">
        <f t="shared" si="28"/>
        <v>13289935.372172985</v>
      </c>
      <c r="L181" s="367">
        <f t="shared" si="28"/>
        <v>14126669.703204997</v>
      </c>
      <c r="M181" s="367">
        <f t="shared" si="28"/>
        <v>15016084.827718783</v>
      </c>
      <c r="N181" s="367">
        <f t="shared" si="28"/>
        <v>15961497.52847196</v>
      </c>
      <c r="O181" s="374">
        <f t="shared" si="28"/>
        <v>16966433.412864555</v>
      </c>
      <c r="P181" s="374">
        <f t="shared" si="28"/>
        <v>18034640.060538508</v>
      </c>
      <c r="Q181" s="374">
        <f t="shared" si="28"/>
        <v>19170100.998750016</v>
      </c>
      <c r="R181" s="374">
        <f t="shared" si="28"/>
        <v>20377050.557631321</v>
      </c>
      <c r="S181" s="374">
        <f t="shared" si="28"/>
        <v>21659989.660739791</v>
      </c>
      <c r="T181" s="374">
        <f t="shared" si="28"/>
        <v>23023702.609779969</v>
      </c>
      <c r="U181" s="374">
        <f t="shared" si="28"/>
        <v>24473274.926091716</v>
      </c>
      <c r="V181" s="374">
        <f t="shared" si="28"/>
        <v>26014112.315438453</v>
      </c>
      <c r="W181" s="374">
        <f t="shared" si="28"/>
        <v>27651960.826818459</v>
      </c>
      <c r="X181" s="374">
        <f t="shared" si="28"/>
        <v>29392928.280474953</v>
      </c>
      <c r="Y181" s="374">
        <f t="shared" si="28"/>
        <v>31243507.045013659</v>
      </c>
      <c r="AP181" s="201" t="str">
        <f>+C198</f>
        <v>UTILIDAD NETA</v>
      </c>
      <c r="AQ181" s="202">
        <f t="shared" ref="AQ181:BJ181" si="29">+F198</f>
        <v>228894.97876434051</v>
      </c>
      <c r="AR181" s="202">
        <f t="shared" si="29"/>
        <v>264946.57423551858</v>
      </c>
      <c r="AS181" s="202">
        <f t="shared" si="29"/>
        <v>293724.53029280517</v>
      </c>
      <c r="AT181" s="202">
        <f t="shared" si="29"/>
        <v>317614.60509520723</v>
      </c>
      <c r="AU181" s="202">
        <f t="shared" si="29"/>
        <v>341094.69097131205</v>
      </c>
      <c r="AV181" s="202">
        <f t="shared" si="29"/>
        <v>397885.81777826755</v>
      </c>
      <c r="AW181" s="202">
        <f t="shared" si="29"/>
        <v>422936.70886558737</v>
      </c>
      <c r="AX181" s="202">
        <f t="shared" si="29"/>
        <v>449564.80405576399</v>
      </c>
      <c r="AY181" s="202">
        <f t="shared" si="29"/>
        <v>477869.40411911497</v>
      </c>
      <c r="AZ181" s="202">
        <f t="shared" si="29"/>
        <v>507956.06180245458</v>
      </c>
      <c r="BA181" s="202">
        <f t="shared" si="29"/>
        <v>539936.97545353742</v>
      </c>
      <c r="BB181" s="202">
        <f t="shared" si="29"/>
        <v>573931.40742809209</v>
      </c>
      <c r="BC181" s="202">
        <f t="shared" si="29"/>
        <v>610066.12883976544</v>
      </c>
      <c r="BD181" s="202">
        <f t="shared" si="29"/>
        <v>648475.89231151703</v>
      </c>
      <c r="BE181" s="202">
        <f t="shared" si="29"/>
        <v>689303.93449145067</v>
      </c>
      <c r="BF181" s="202">
        <f t="shared" si="29"/>
        <v>732702.5102070322</v>
      </c>
      <c r="BG181" s="202">
        <f t="shared" si="29"/>
        <v>778833.46024966682</v>
      </c>
      <c r="BH181" s="202">
        <f t="shared" si="29"/>
        <v>827868.81490698573</v>
      </c>
      <c r="BI181" s="202">
        <f t="shared" si="29"/>
        <v>879991.43549353001</v>
      </c>
      <c r="BJ181" s="202">
        <f t="shared" si="29"/>
        <v>935395.69627220079</v>
      </c>
    </row>
    <row r="182" spans="2:62">
      <c r="B182" s="65"/>
      <c r="C182" s="203"/>
      <c r="F182" s="363"/>
      <c r="G182" s="363"/>
      <c r="H182" s="363"/>
      <c r="I182" s="363"/>
      <c r="J182" s="363"/>
      <c r="K182" s="363"/>
      <c r="L182" s="363"/>
      <c r="M182" s="363"/>
      <c r="N182" s="363"/>
      <c r="O182" s="375"/>
      <c r="P182" s="375"/>
      <c r="Q182" s="375"/>
      <c r="R182" s="375"/>
      <c r="S182" s="375"/>
      <c r="T182" s="375"/>
      <c r="U182" s="375"/>
      <c r="V182" s="375"/>
      <c r="W182" s="375"/>
      <c r="X182" s="375"/>
      <c r="Y182" s="375"/>
    </row>
    <row r="183" spans="2:62">
      <c r="B183" s="65"/>
      <c r="C183" s="203" t="s">
        <v>139</v>
      </c>
      <c r="F183" s="376">
        <f>+D64</f>
        <v>7421310.0499999998</v>
      </c>
      <c r="G183" s="376">
        <f t="shared" ref="G183:Y183" si="30">+E64</f>
        <v>8444857.132096</v>
      </c>
      <c r="H183" s="376">
        <f t="shared" si="30"/>
        <v>9261897.0596262868</v>
      </c>
      <c r="I183" s="376">
        <f t="shared" si="30"/>
        <v>9940164.3050968405</v>
      </c>
      <c r="J183" s="376">
        <f t="shared" si="30"/>
        <v>10606791.484053856</v>
      </c>
      <c r="K183" s="376">
        <f t="shared" si="30"/>
        <v>11296445.066347037</v>
      </c>
      <c r="L183" s="376">
        <f t="shared" si="30"/>
        <v>12007669.247724246</v>
      </c>
      <c r="M183" s="376">
        <f t="shared" si="30"/>
        <v>12763672.103560966</v>
      </c>
      <c r="N183" s="376">
        <f t="shared" si="30"/>
        <v>13567272.899201166</v>
      </c>
      <c r="O183" s="377">
        <f t="shared" si="30"/>
        <v>14421468.400934871</v>
      </c>
      <c r="P183" s="377">
        <f t="shared" si="30"/>
        <v>15329444.051457731</v>
      </c>
      <c r="Q183" s="377">
        <f t="shared" si="30"/>
        <v>16294585.848937513</v>
      </c>
      <c r="R183" s="377">
        <f t="shared" si="30"/>
        <v>17320492.973986622</v>
      </c>
      <c r="S183" s="377">
        <f t="shared" si="30"/>
        <v>18410991.211628821</v>
      </c>
      <c r="T183" s="377">
        <f t="shared" si="30"/>
        <v>19570147.218312971</v>
      </c>
      <c r="U183" s="377">
        <f t="shared" si="30"/>
        <v>20802283.687177956</v>
      </c>
      <c r="V183" s="377">
        <f t="shared" si="30"/>
        <v>22111995.468122683</v>
      </c>
      <c r="W183" s="377">
        <f t="shared" si="30"/>
        <v>23504166.702795688</v>
      </c>
      <c r="X183" s="377">
        <f t="shared" si="30"/>
        <v>24983989.038403708</v>
      </c>
      <c r="Y183" s="377">
        <f t="shared" si="30"/>
        <v>26556980.98826161</v>
      </c>
    </row>
    <row r="184" spans="2:62">
      <c r="B184" s="65"/>
      <c r="C184" s="203"/>
      <c r="F184" s="363"/>
      <c r="G184" s="363"/>
      <c r="H184" s="363"/>
      <c r="I184" s="363"/>
      <c r="J184" s="363"/>
      <c r="K184" s="363"/>
      <c r="L184" s="363"/>
      <c r="M184" s="363"/>
      <c r="N184" s="363"/>
      <c r="O184" s="375"/>
      <c r="P184" s="375"/>
      <c r="Q184" s="375"/>
      <c r="R184" s="375"/>
      <c r="S184" s="375"/>
      <c r="T184" s="375"/>
      <c r="U184" s="375"/>
      <c r="V184" s="375"/>
      <c r="W184" s="375"/>
      <c r="X184" s="375"/>
      <c r="Y184" s="375"/>
    </row>
    <row r="185" spans="2:62">
      <c r="B185" s="204"/>
      <c r="C185" s="200" t="s">
        <v>140</v>
      </c>
      <c r="D185" s="79"/>
      <c r="E185" s="79"/>
      <c r="F185" s="378">
        <f>+F181-F183</f>
        <v>1309642.9500000002</v>
      </c>
      <c r="G185" s="378">
        <f t="shared" ref="G185:Y185" si="31">+G181-G183</f>
        <v>1490268.9056640007</v>
      </c>
      <c r="H185" s="378">
        <f t="shared" si="31"/>
        <v>1634452.4222869929</v>
      </c>
      <c r="I185" s="378">
        <f t="shared" si="31"/>
        <v>1754146.642075913</v>
      </c>
      <c r="J185" s="378">
        <f t="shared" si="31"/>
        <v>1871786.732480092</v>
      </c>
      <c r="K185" s="378">
        <f t="shared" si="31"/>
        <v>1993490.3058259487</v>
      </c>
      <c r="L185" s="378">
        <f t="shared" si="31"/>
        <v>2119000.4554807507</v>
      </c>
      <c r="M185" s="378">
        <f t="shared" si="31"/>
        <v>2252412.7241578177</v>
      </c>
      <c r="N185" s="378">
        <f t="shared" si="31"/>
        <v>2394224.6292707939</v>
      </c>
      <c r="O185" s="379">
        <f t="shared" si="31"/>
        <v>2544965.0119296834</v>
      </c>
      <c r="P185" s="379">
        <f t="shared" si="31"/>
        <v>2705196.0090807769</v>
      </c>
      <c r="Q185" s="379">
        <f t="shared" si="31"/>
        <v>2875515.1498125028</v>
      </c>
      <c r="R185" s="379">
        <f t="shared" si="31"/>
        <v>3056557.5836446993</v>
      </c>
      <c r="S185" s="379">
        <f t="shared" si="31"/>
        <v>3248998.4491109699</v>
      </c>
      <c r="T185" s="379">
        <f t="shared" si="31"/>
        <v>3453555.3914669976</v>
      </c>
      <c r="U185" s="379">
        <f t="shared" si="31"/>
        <v>3670991.2389137596</v>
      </c>
      <c r="V185" s="379">
        <f t="shared" si="31"/>
        <v>3902116.8473157696</v>
      </c>
      <c r="W185" s="379">
        <f t="shared" si="31"/>
        <v>4147794.1240227707</v>
      </c>
      <c r="X185" s="379">
        <f t="shared" si="31"/>
        <v>4408939.2420712449</v>
      </c>
      <c r="Y185" s="379">
        <f t="shared" si="31"/>
        <v>4686526.0567520484</v>
      </c>
    </row>
    <row r="186" spans="2:62">
      <c r="B186" s="65"/>
      <c r="C186" s="203"/>
      <c r="F186" s="363"/>
      <c r="G186" s="363"/>
      <c r="H186" s="363"/>
      <c r="I186" s="363"/>
      <c r="J186" s="363"/>
      <c r="K186" s="363"/>
      <c r="L186" s="363"/>
      <c r="M186" s="363"/>
      <c r="N186" s="363"/>
      <c r="O186" s="375"/>
      <c r="P186" s="375"/>
      <c r="Q186" s="375"/>
      <c r="R186" s="375"/>
      <c r="S186" s="375"/>
      <c r="T186" s="375"/>
      <c r="U186" s="375"/>
      <c r="V186" s="375"/>
      <c r="W186" s="375"/>
      <c r="X186" s="375"/>
      <c r="Y186" s="375"/>
    </row>
    <row r="187" spans="2:62">
      <c r="B187" s="65"/>
      <c r="C187" s="203" t="s">
        <v>141</v>
      </c>
      <c r="F187" s="380">
        <f>+D85</f>
        <v>932496.8288240917</v>
      </c>
      <c r="G187" s="380">
        <f t="shared" ref="G187:Y187" si="32">+E85</f>
        <v>1057658.7914555105</v>
      </c>
      <c r="H187" s="380">
        <f t="shared" si="32"/>
        <v>1157568.5295288311</v>
      </c>
      <c r="I187" s="380">
        <f t="shared" si="32"/>
        <v>1240508.7880832865</v>
      </c>
      <c r="J187" s="380">
        <f t="shared" si="32"/>
        <v>1322025.6694473042</v>
      </c>
      <c r="K187" s="380">
        <f t="shared" si="32"/>
        <v>1381358.2784747679</v>
      </c>
      <c r="L187" s="380">
        <f t="shared" si="32"/>
        <v>1468328.5956875393</v>
      </c>
      <c r="M187" s="380">
        <f t="shared" si="32"/>
        <v>1560774.5640720269</v>
      </c>
      <c r="N187" s="380">
        <f t="shared" si="32"/>
        <v>1659040.9306260017</v>
      </c>
      <c r="O187" s="377">
        <f t="shared" si="32"/>
        <v>1763494.1476182148</v>
      </c>
      <c r="P187" s="377">
        <f t="shared" si="32"/>
        <v>1874523.7391522578</v>
      </c>
      <c r="Q187" s="377">
        <f t="shared" si="32"/>
        <v>1992543.7537692843</v>
      </c>
      <c r="R187" s="377">
        <f t="shared" si="32"/>
        <v>2117994.3085065987</v>
      </c>
      <c r="S187" s="377">
        <f t="shared" si="32"/>
        <v>2251343.2301701745</v>
      </c>
      <c r="T187" s="377">
        <f t="shared" si="32"/>
        <v>2393087.7999416888</v>
      </c>
      <c r="U187" s="377">
        <f t="shared" si="32"/>
        <v>2543756.6078260178</v>
      </c>
      <c r="V187" s="377">
        <f t="shared" si="32"/>
        <v>2703911.5238547437</v>
      </c>
      <c r="W187" s="377">
        <f t="shared" si="32"/>
        <v>2874149.7933966387</v>
      </c>
      <c r="X187" s="377">
        <f t="shared" si="32"/>
        <v>3055106.2643888909</v>
      </c>
      <c r="Y187" s="377">
        <f t="shared" si="32"/>
        <v>3247455.7547948165</v>
      </c>
    </row>
    <row r="188" spans="2:62">
      <c r="B188" s="65"/>
      <c r="C188" s="203" t="s">
        <v>142</v>
      </c>
      <c r="F188" s="376">
        <f t="shared" ref="F188:Y188" si="33">+D127</f>
        <v>25000</v>
      </c>
      <c r="G188" s="376">
        <f t="shared" si="33"/>
        <v>25000</v>
      </c>
      <c r="H188" s="376">
        <f t="shared" si="33"/>
        <v>25000</v>
      </c>
      <c r="I188" s="376">
        <f t="shared" si="33"/>
        <v>25000</v>
      </c>
      <c r="J188" s="376">
        <f t="shared" si="33"/>
        <v>25000</v>
      </c>
      <c r="K188" s="376">
        <f t="shared" si="33"/>
        <v>0</v>
      </c>
      <c r="L188" s="376">
        <f t="shared" si="33"/>
        <v>0</v>
      </c>
      <c r="M188" s="376">
        <f t="shared" si="33"/>
        <v>0</v>
      </c>
      <c r="N188" s="376">
        <f t="shared" si="33"/>
        <v>0</v>
      </c>
      <c r="O188" s="377">
        <f t="shared" si="33"/>
        <v>0</v>
      </c>
      <c r="P188" s="377">
        <f t="shared" si="33"/>
        <v>0</v>
      </c>
      <c r="Q188" s="377">
        <f t="shared" si="33"/>
        <v>0</v>
      </c>
      <c r="R188" s="377">
        <f t="shared" si="33"/>
        <v>0</v>
      </c>
      <c r="S188" s="377">
        <f t="shared" si="33"/>
        <v>0</v>
      </c>
      <c r="T188" s="377">
        <f t="shared" si="33"/>
        <v>0</v>
      </c>
      <c r="U188" s="377">
        <f t="shared" si="33"/>
        <v>0</v>
      </c>
      <c r="V188" s="377">
        <f t="shared" si="33"/>
        <v>0</v>
      </c>
      <c r="W188" s="377">
        <f t="shared" si="33"/>
        <v>0</v>
      </c>
      <c r="X188" s="377">
        <f t="shared" si="33"/>
        <v>0</v>
      </c>
      <c r="Y188" s="377">
        <f t="shared" si="33"/>
        <v>0</v>
      </c>
    </row>
    <row r="189" spans="2:62">
      <c r="B189" s="65"/>
      <c r="C189" s="203"/>
      <c r="F189" s="363"/>
      <c r="G189" s="363"/>
      <c r="H189" s="363"/>
      <c r="I189" s="363"/>
      <c r="J189" s="363"/>
      <c r="K189" s="363"/>
      <c r="L189" s="363"/>
      <c r="M189" s="363"/>
      <c r="N189" s="363"/>
      <c r="O189" s="375"/>
      <c r="P189" s="375"/>
      <c r="Q189" s="375"/>
      <c r="R189" s="375"/>
      <c r="S189" s="375"/>
      <c r="T189" s="375"/>
      <c r="U189" s="375"/>
      <c r="V189" s="375"/>
      <c r="W189" s="375"/>
      <c r="X189" s="375"/>
      <c r="Y189" s="375"/>
    </row>
    <row r="190" spans="2:62">
      <c r="B190" s="204"/>
      <c r="C190" s="200" t="s">
        <v>143</v>
      </c>
      <c r="D190" s="79"/>
      <c r="E190" s="79"/>
      <c r="F190" s="378">
        <f t="shared" ref="F190:Y190" si="34">F185-F187-F188</f>
        <v>352146.12117590848</v>
      </c>
      <c r="G190" s="378">
        <f t="shared" si="34"/>
        <v>407610.11420849012</v>
      </c>
      <c r="H190" s="378">
        <f t="shared" si="34"/>
        <v>451883.89275816176</v>
      </c>
      <c r="I190" s="378">
        <f t="shared" si="34"/>
        <v>488637.85399262654</v>
      </c>
      <c r="J190" s="378">
        <f t="shared" si="34"/>
        <v>524761.06303278776</v>
      </c>
      <c r="K190" s="378">
        <f t="shared" si="34"/>
        <v>612132.02735118079</v>
      </c>
      <c r="L190" s="378">
        <f t="shared" si="34"/>
        <v>650671.85979321133</v>
      </c>
      <c r="M190" s="378">
        <f t="shared" si="34"/>
        <v>691638.16008579079</v>
      </c>
      <c r="N190" s="378">
        <f t="shared" si="34"/>
        <v>735183.6986447922</v>
      </c>
      <c r="O190" s="379">
        <f t="shared" si="34"/>
        <v>781470.86431146855</v>
      </c>
      <c r="P190" s="379">
        <f t="shared" si="34"/>
        <v>830672.26992851915</v>
      </c>
      <c r="Q190" s="379">
        <f t="shared" si="34"/>
        <v>882971.39604321844</v>
      </c>
      <c r="R190" s="379">
        <f t="shared" si="34"/>
        <v>938563.27513810061</v>
      </c>
      <c r="S190" s="379">
        <f t="shared" si="34"/>
        <v>997655.2189407954</v>
      </c>
      <c r="T190" s="379">
        <f t="shared" si="34"/>
        <v>1060467.5915253088</v>
      </c>
      <c r="U190" s="379">
        <f t="shared" si="34"/>
        <v>1127234.6310877418</v>
      </c>
      <c r="V190" s="379">
        <f t="shared" si="34"/>
        <v>1198205.323461026</v>
      </c>
      <c r="W190" s="379">
        <f t="shared" si="34"/>
        <v>1273644.330626132</v>
      </c>
      <c r="X190" s="379">
        <f t="shared" si="34"/>
        <v>1353832.9776823539</v>
      </c>
      <c r="Y190" s="379">
        <f t="shared" si="34"/>
        <v>1439070.3019572319</v>
      </c>
    </row>
    <row r="191" spans="2:62">
      <c r="B191" s="65"/>
      <c r="C191" s="203"/>
      <c r="F191" s="363"/>
      <c r="G191" s="363"/>
      <c r="H191" s="363"/>
      <c r="I191" s="363"/>
      <c r="J191" s="363"/>
      <c r="K191" s="363"/>
      <c r="L191" s="363"/>
      <c r="M191" s="363"/>
      <c r="N191" s="363"/>
      <c r="O191" s="375"/>
      <c r="P191" s="375"/>
      <c r="Q191" s="375"/>
      <c r="R191" s="375"/>
      <c r="S191" s="375"/>
      <c r="T191" s="375"/>
      <c r="U191" s="375"/>
      <c r="V191" s="375"/>
      <c r="W191" s="375"/>
      <c r="X191" s="375"/>
      <c r="Y191" s="375"/>
    </row>
    <row r="192" spans="2:62">
      <c r="B192" s="65"/>
      <c r="C192" s="203" t="s">
        <v>144</v>
      </c>
      <c r="F192" s="363">
        <f>+F164+F284</f>
        <v>0</v>
      </c>
      <c r="G192" s="363">
        <f t="shared" ref="G192:Y192" si="35">+G164+G284</f>
        <v>0</v>
      </c>
      <c r="H192" s="363">
        <f t="shared" si="35"/>
        <v>0</v>
      </c>
      <c r="I192" s="363">
        <f t="shared" si="35"/>
        <v>0</v>
      </c>
      <c r="J192" s="363">
        <f t="shared" si="35"/>
        <v>0</v>
      </c>
      <c r="K192" s="363">
        <f t="shared" si="35"/>
        <v>0</v>
      </c>
      <c r="L192" s="363">
        <f t="shared" si="35"/>
        <v>0</v>
      </c>
      <c r="M192" s="363">
        <f t="shared" si="35"/>
        <v>0</v>
      </c>
      <c r="N192" s="363">
        <f t="shared" si="35"/>
        <v>0</v>
      </c>
      <c r="O192" s="375">
        <f t="shared" si="35"/>
        <v>0</v>
      </c>
      <c r="P192" s="375">
        <f t="shared" si="35"/>
        <v>0</v>
      </c>
      <c r="Q192" s="375">
        <f t="shared" si="35"/>
        <v>0</v>
      </c>
      <c r="R192" s="375">
        <f t="shared" si="35"/>
        <v>0</v>
      </c>
      <c r="S192" s="375">
        <f t="shared" si="35"/>
        <v>0</v>
      </c>
      <c r="T192" s="375">
        <f t="shared" si="35"/>
        <v>0</v>
      </c>
      <c r="U192" s="375">
        <f t="shared" si="35"/>
        <v>0</v>
      </c>
      <c r="V192" s="375">
        <f t="shared" si="35"/>
        <v>0</v>
      </c>
      <c r="W192" s="375">
        <f t="shared" si="35"/>
        <v>0</v>
      </c>
      <c r="X192" s="375">
        <f t="shared" si="35"/>
        <v>0</v>
      </c>
      <c r="Y192" s="375">
        <f t="shared" si="35"/>
        <v>0</v>
      </c>
    </row>
    <row r="193" spans="2:25">
      <c r="B193" s="65"/>
      <c r="C193" s="203"/>
      <c r="F193" s="363"/>
      <c r="G193" s="363"/>
      <c r="H193" s="363"/>
      <c r="I193" s="363"/>
      <c r="J193" s="363"/>
      <c r="K193" s="363"/>
      <c r="L193" s="363"/>
      <c r="M193" s="363"/>
      <c r="N193" s="363"/>
      <c r="O193" s="375"/>
      <c r="P193" s="375"/>
      <c r="Q193" s="375"/>
      <c r="R193" s="375"/>
      <c r="S193" s="375"/>
      <c r="T193" s="375"/>
      <c r="U193" s="375"/>
      <c r="V193" s="375"/>
      <c r="W193" s="375"/>
      <c r="X193" s="375"/>
      <c r="Y193" s="375"/>
    </row>
    <row r="194" spans="2:25">
      <c r="B194" s="204"/>
      <c r="C194" s="200" t="s">
        <v>145</v>
      </c>
      <c r="D194" s="79"/>
      <c r="E194" s="79"/>
      <c r="F194" s="378">
        <f t="shared" ref="F194:Y194" si="36">+F190-F192</f>
        <v>352146.12117590848</v>
      </c>
      <c r="G194" s="378">
        <f t="shared" si="36"/>
        <v>407610.11420849012</v>
      </c>
      <c r="H194" s="378">
        <f t="shared" si="36"/>
        <v>451883.89275816176</v>
      </c>
      <c r="I194" s="378">
        <f t="shared" si="36"/>
        <v>488637.85399262654</v>
      </c>
      <c r="J194" s="378">
        <f t="shared" si="36"/>
        <v>524761.06303278776</v>
      </c>
      <c r="K194" s="378">
        <f t="shared" si="36"/>
        <v>612132.02735118079</v>
      </c>
      <c r="L194" s="378">
        <f t="shared" si="36"/>
        <v>650671.85979321133</v>
      </c>
      <c r="M194" s="378">
        <f t="shared" si="36"/>
        <v>691638.16008579079</v>
      </c>
      <c r="N194" s="378">
        <f t="shared" si="36"/>
        <v>735183.6986447922</v>
      </c>
      <c r="O194" s="379">
        <f t="shared" si="36"/>
        <v>781470.86431146855</v>
      </c>
      <c r="P194" s="379">
        <f t="shared" si="36"/>
        <v>830672.26992851915</v>
      </c>
      <c r="Q194" s="379">
        <f t="shared" si="36"/>
        <v>882971.39604321844</v>
      </c>
      <c r="R194" s="379">
        <f t="shared" si="36"/>
        <v>938563.27513810061</v>
      </c>
      <c r="S194" s="379">
        <f t="shared" si="36"/>
        <v>997655.2189407954</v>
      </c>
      <c r="T194" s="379">
        <f t="shared" si="36"/>
        <v>1060467.5915253088</v>
      </c>
      <c r="U194" s="379">
        <f t="shared" si="36"/>
        <v>1127234.6310877418</v>
      </c>
      <c r="V194" s="379">
        <f t="shared" si="36"/>
        <v>1198205.323461026</v>
      </c>
      <c r="W194" s="379">
        <f t="shared" si="36"/>
        <v>1273644.330626132</v>
      </c>
      <c r="X194" s="379">
        <f t="shared" si="36"/>
        <v>1353832.9776823539</v>
      </c>
      <c r="Y194" s="379">
        <f t="shared" si="36"/>
        <v>1439070.3019572319</v>
      </c>
    </row>
    <row r="195" spans="2:25">
      <c r="B195" s="65"/>
      <c r="C195" s="203"/>
      <c r="F195" s="363"/>
      <c r="G195" s="363"/>
      <c r="H195" s="363"/>
      <c r="I195" s="363"/>
      <c r="J195" s="363"/>
      <c r="K195" s="363"/>
      <c r="L195" s="363"/>
      <c r="M195" s="363"/>
      <c r="N195" s="363"/>
      <c r="O195" s="375"/>
      <c r="P195" s="375"/>
      <c r="Q195" s="375"/>
      <c r="R195" s="375"/>
      <c r="S195" s="375"/>
      <c r="T195" s="375"/>
      <c r="U195" s="375"/>
      <c r="V195" s="375"/>
      <c r="W195" s="375"/>
      <c r="X195" s="375"/>
      <c r="Y195" s="375"/>
    </row>
    <row r="196" spans="2:25">
      <c r="B196" s="65"/>
      <c r="C196" s="203" t="s">
        <v>146</v>
      </c>
      <c r="D196" s="205">
        <v>0.35</v>
      </c>
      <c r="F196" s="363">
        <f t="shared" ref="F196:Y196" si="37">IF(F194&gt;0,F194*$D$196,0)</f>
        <v>123251.14241156795</v>
      </c>
      <c r="G196" s="363">
        <f t="shared" si="37"/>
        <v>142663.53997297154</v>
      </c>
      <c r="H196" s="363">
        <f t="shared" si="37"/>
        <v>158159.36246535659</v>
      </c>
      <c r="I196" s="363">
        <f t="shared" si="37"/>
        <v>171023.24889741928</v>
      </c>
      <c r="J196" s="363">
        <f t="shared" si="37"/>
        <v>183666.3720614757</v>
      </c>
      <c r="K196" s="363">
        <f t="shared" si="37"/>
        <v>214246.20957291327</v>
      </c>
      <c r="L196" s="363">
        <f t="shared" si="37"/>
        <v>227735.15092762397</v>
      </c>
      <c r="M196" s="363">
        <f t="shared" si="37"/>
        <v>242073.35603002677</v>
      </c>
      <c r="N196" s="363">
        <f t="shared" si="37"/>
        <v>257314.29452567725</v>
      </c>
      <c r="O196" s="375">
        <f t="shared" si="37"/>
        <v>273514.80250901397</v>
      </c>
      <c r="P196" s="375">
        <f t="shared" si="37"/>
        <v>290735.29447498167</v>
      </c>
      <c r="Q196" s="375">
        <f t="shared" si="37"/>
        <v>309039.98861512641</v>
      </c>
      <c r="R196" s="375">
        <f t="shared" si="37"/>
        <v>328497.14629833517</v>
      </c>
      <c r="S196" s="375">
        <f t="shared" si="37"/>
        <v>349179.32662927837</v>
      </c>
      <c r="T196" s="375">
        <f t="shared" si="37"/>
        <v>371163.65703385806</v>
      </c>
      <c r="U196" s="375">
        <f t="shared" si="37"/>
        <v>394532.12088070961</v>
      </c>
      <c r="V196" s="375">
        <f t="shared" si="37"/>
        <v>419371.86321135907</v>
      </c>
      <c r="W196" s="375">
        <f t="shared" si="37"/>
        <v>445775.51571914618</v>
      </c>
      <c r="X196" s="375">
        <f t="shared" si="37"/>
        <v>473841.54218882386</v>
      </c>
      <c r="Y196" s="375">
        <f t="shared" si="37"/>
        <v>503674.60568503116</v>
      </c>
    </row>
    <row r="197" spans="2:25">
      <c r="B197" s="65"/>
      <c r="C197" s="203"/>
      <c r="F197" s="363"/>
      <c r="G197" s="363"/>
      <c r="H197" s="363"/>
      <c r="I197" s="363"/>
      <c r="J197" s="363"/>
      <c r="K197" s="363"/>
      <c r="L197" s="363"/>
      <c r="M197" s="363"/>
      <c r="N197" s="363"/>
      <c r="O197" s="375"/>
      <c r="P197" s="375"/>
      <c r="Q197" s="375"/>
      <c r="R197" s="375"/>
      <c r="S197" s="375"/>
      <c r="T197" s="375"/>
      <c r="U197" s="375"/>
      <c r="V197" s="375"/>
      <c r="W197" s="375"/>
      <c r="X197" s="375"/>
      <c r="Y197" s="375"/>
    </row>
    <row r="198" spans="2:25">
      <c r="B198" s="204"/>
      <c r="C198" s="200" t="s">
        <v>147</v>
      </c>
      <c r="D198" s="79"/>
      <c r="E198" s="79"/>
      <c r="F198" s="378">
        <f t="shared" ref="F198:Y198" si="38">+F194-F196</f>
        <v>228894.97876434051</v>
      </c>
      <c r="G198" s="378">
        <f t="shared" si="38"/>
        <v>264946.57423551858</v>
      </c>
      <c r="H198" s="378">
        <f t="shared" si="38"/>
        <v>293724.53029280517</v>
      </c>
      <c r="I198" s="378">
        <f t="shared" si="38"/>
        <v>317614.60509520723</v>
      </c>
      <c r="J198" s="378">
        <f t="shared" si="38"/>
        <v>341094.69097131205</v>
      </c>
      <c r="K198" s="378">
        <f t="shared" si="38"/>
        <v>397885.81777826755</v>
      </c>
      <c r="L198" s="378">
        <f t="shared" si="38"/>
        <v>422936.70886558737</v>
      </c>
      <c r="M198" s="378">
        <f t="shared" si="38"/>
        <v>449564.80405576399</v>
      </c>
      <c r="N198" s="378">
        <f t="shared" si="38"/>
        <v>477869.40411911497</v>
      </c>
      <c r="O198" s="379">
        <f t="shared" si="38"/>
        <v>507956.06180245458</v>
      </c>
      <c r="P198" s="379">
        <f t="shared" si="38"/>
        <v>539936.97545353742</v>
      </c>
      <c r="Q198" s="379">
        <f t="shared" si="38"/>
        <v>573931.40742809209</v>
      </c>
      <c r="R198" s="379">
        <f t="shared" si="38"/>
        <v>610066.12883976544</v>
      </c>
      <c r="S198" s="379">
        <f t="shared" si="38"/>
        <v>648475.89231151703</v>
      </c>
      <c r="T198" s="379">
        <f t="shared" si="38"/>
        <v>689303.93449145067</v>
      </c>
      <c r="U198" s="379">
        <f t="shared" si="38"/>
        <v>732702.5102070322</v>
      </c>
      <c r="V198" s="379">
        <f t="shared" si="38"/>
        <v>778833.46024966682</v>
      </c>
      <c r="W198" s="379">
        <f t="shared" si="38"/>
        <v>827868.81490698573</v>
      </c>
      <c r="X198" s="379">
        <f t="shared" si="38"/>
        <v>879991.43549353001</v>
      </c>
      <c r="Y198" s="379">
        <f t="shared" si="38"/>
        <v>935395.69627220079</v>
      </c>
    </row>
    <row r="199" spans="2:25" ht="13.5" thickBot="1">
      <c r="B199" s="202"/>
      <c r="C199" s="206"/>
      <c r="D199" s="207"/>
      <c r="E199" s="207"/>
      <c r="F199" s="208"/>
      <c r="G199" s="208"/>
      <c r="H199" s="208"/>
      <c r="I199" s="208"/>
      <c r="J199" s="209"/>
      <c r="K199" s="209"/>
      <c r="L199" s="209"/>
      <c r="M199" s="209"/>
      <c r="N199" s="208"/>
      <c r="O199" s="210"/>
      <c r="P199" s="210"/>
      <c r="Q199" s="210"/>
      <c r="R199" s="210"/>
      <c r="S199" s="210"/>
      <c r="T199" s="210"/>
      <c r="U199" s="210"/>
      <c r="V199" s="210"/>
      <c r="W199" s="210"/>
      <c r="X199" s="210"/>
      <c r="Y199" s="210"/>
    </row>
    <row r="202" spans="2:25">
      <c r="B202" s="75" t="s">
        <v>148</v>
      </c>
      <c r="C202" s="77"/>
      <c r="D202" s="77"/>
      <c r="E202" s="77"/>
      <c r="F202" s="77"/>
      <c r="G202" s="77"/>
      <c r="H202" s="77"/>
      <c r="I202" s="77"/>
      <c r="J202" s="77"/>
    </row>
    <row r="203" spans="2:25">
      <c r="B203" s="77"/>
      <c r="C203" s="77"/>
      <c r="D203" s="77"/>
      <c r="E203" s="77"/>
      <c r="F203" s="77"/>
      <c r="G203" s="77"/>
      <c r="H203" s="77"/>
      <c r="I203" s="77"/>
      <c r="J203" s="77"/>
    </row>
    <row r="204" spans="2:25">
      <c r="B204" s="119"/>
      <c r="C204" s="211"/>
      <c r="D204" s="81"/>
      <c r="E204" s="81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  <c r="X204" s="120"/>
      <c r="Y204" s="120"/>
    </row>
    <row r="205" spans="2:25">
      <c r="B205" s="121"/>
      <c r="C205" s="183"/>
      <c r="D205" s="143"/>
      <c r="E205" s="143"/>
      <c r="F205" s="124" t="str">
        <f t="shared" ref="F205:Y205" si="39">+F178</f>
        <v>Año 1</v>
      </c>
      <c r="G205" s="124" t="str">
        <f t="shared" si="39"/>
        <v>Año 2</v>
      </c>
      <c r="H205" s="124" t="str">
        <f t="shared" si="39"/>
        <v>Año 3</v>
      </c>
      <c r="I205" s="124" t="str">
        <f t="shared" si="39"/>
        <v>Año 4</v>
      </c>
      <c r="J205" s="124" t="str">
        <f t="shared" si="39"/>
        <v>Año 5</v>
      </c>
      <c r="K205" s="124" t="str">
        <f t="shared" si="39"/>
        <v>Año 6</v>
      </c>
      <c r="L205" s="124" t="str">
        <f t="shared" si="39"/>
        <v>Año 7</v>
      </c>
      <c r="M205" s="124" t="str">
        <f t="shared" si="39"/>
        <v>Año 8</v>
      </c>
      <c r="N205" s="124" t="str">
        <f t="shared" si="39"/>
        <v>Año 9</v>
      </c>
      <c r="O205" s="124" t="str">
        <f t="shared" si="39"/>
        <v>Año 10</v>
      </c>
      <c r="P205" s="124" t="str">
        <f t="shared" si="39"/>
        <v>Año 11</v>
      </c>
      <c r="Q205" s="124" t="str">
        <f t="shared" si="39"/>
        <v>Año 12</v>
      </c>
      <c r="R205" s="124" t="str">
        <f t="shared" si="39"/>
        <v>Año 13</v>
      </c>
      <c r="S205" s="124" t="str">
        <f t="shared" si="39"/>
        <v>Año 14</v>
      </c>
      <c r="T205" s="124" t="str">
        <f t="shared" si="39"/>
        <v>Año 15</v>
      </c>
      <c r="U205" s="124" t="str">
        <f t="shared" si="39"/>
        <v>Año 16</v>
      </c>
      <c r="V205" s="124" t="str">
        <f t="shared" si="39"/>
        <v>Año 17</v>
      </c>
      <c r="W205" s="124" t="str">
        <f t="shared" si="39"/>
        <v>Año 18</v>
      </c>
      <c r="X205" s="124" t="str">
        <f t="shared" si="39"/>
        <v>Año 19</v>
      </c>
      <c r="Y205" s="124" t="str">
        <f t="shared" si="39"/>
        <v>Año 20</v>
      </c>
    </row>
    <row r="206" spans="2:25">
      <c r="B206" s="121"/>
      <c r="C206" s="188"/>
      <c r="D206" s="189"/>
      <c r="E206" s="122"/>
      <c r="F206" s="125"/>
      <c r="G206" s="125"/>
      <c r="H206" s="125"/>
      <c r="I206" s="125"/>
      <c r="J206" s="125"/>
      <c r="K206" s="125"/>
      <c r="L206" s="125"/>
      <c r="M206" s="125"/>
      <c r="N206" s="125"/>
      <c r="O206" s="125"/>
      <c r="P206" s="125"/>
      <c r="Q206" s="125"/>
      <c r="R206" s="125"/>
      <c r="S206" s="125"/>
      <c r="T206" s="125"/>
      <c r="U206" s="125"/>
      <c r="V206" s="125"/>
      <c r="W206" s="125"/>
      <c r="X206" s="125"/>
      <c r="Y206" s="125"/>
    </row>
    <row r="207" spans="2:25">
      <c r="B207" s="128"/>
      <c r="C207" s="196"/>
      <c r="D207" s="129"/>
      <c r="E207" s="129"/>
      <c r="F207" s="130"/>
      <c r="G207" s="130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0"/>
      <c r="S207" s="130"/>
      <c r="T207" s="130"/>
      <c r="U207" s="130"/>
      <c r="V207" s="130"/>
      <c r="W207" s="130"/>
      <c r="X207" s="130"/>
      <c r="Y207" s="130"/>
    </row>
    <row r="208" spans="2:25">
      <c r="B208" s="132"/>
      <c r="C208" s="200" t="str">
        <f>+C181</f>
        <v>INGRESOS OPERACIONALES</v>
      </c>
      <c r="D208" s="79"/>
      <c r="E208" s="79"/>
      <c r="F208" s="212">
        <f t="shared" ref="F208:Y208" si="40">+F181/F181</f>
        <v>1</v>
      </c>
      <c r="G208" s="212">
        <f t="shared" si="40"/>
        <v>1</v>
      </c>
      <c r="H208" s="212">
        <f t="shared" si="40"/>
        <v>1</v>
      </c>
      <c r="I208" s="212">
        <f t="shared" si="40"/>
        <v>1</v>
      </c>
      <c r="J208" s="212">
        <f t="shared" si="40"/>
        <v>1</v>
      </c>
      <c r="K208" s="212">
        <f t="shared" si="40"/>
        <v>1</v>
      </c>
      <c r="L208" s="212">
        <f t="shared" si="40"/>
        <v>1</v>
      </c>
      <c r="M208" s="212">
        <f t="shared" si="40"/>
        <v>1</v>
      </c>
      <c r="N208" s="212">
        <f t="shared" si="40"/>
        <v>1</v>
      </c>
      <c r="O208" s="212">
        <f t="shared" si="40"/>
        <v>1</v>
      </c>
      <c r="P208" s="212">
        <f t="shared" si="40"/>
        <v>1</v>
      </c>
      <c r="Q208" s="212">
        <f t="shared" si="40"/>
        <v>1</v>
      </c>
      <c r="R208" s="212">
        <f t="shared" si="40"/>
        <v>1</v>
      </c>
      <c r="S208" s="212">
        <f t="shared" si="40"/>
        <v>1</v>
      </c>
      <c r="T208" s="212">
        <f t="shared" si="40"/>
        <v>1</v>
      </c>
      <c r="U208" s="212">
        <f t="shared" si="40"/>
        <v>1</v>
      </c>
      <c r="V208" s="212">
        <f t="shared" si="40"/>
        <v>1</v>
      </c>
      <c r="W208" s="212">
        <f t="shared" si="40"/>
        <v>1</v>
      </c>
      <c r="X208" s="212">
        <f t="shared" si="40"/>
        <v>1</v>
      </c>
      <c r="Y208" s="212">
        <f t="shared" si="40"/>
        <v>1</v>
      </c>
    </row>
    <row r="209" spans="2:25">
      <c r="B209" s="132"/>
      <c r="C209" s="200"/>
      <c r="F209" s="213"/>
      <c r="G209" s="213"/>
      <c r="H209" s="213"/>
      <c r="I209" s="213"/>
      <c r="J209" s="213"/>
      <c r="K209" s="213"/>
      <c r="L209" s="213"/>
      <c r="M209" s="213"/>
      <c r="N209" s="213"/>
      <c r="O209" s="213"/>
      <c r="P209" s="213"/>
      <c r="Q209" s="213"/>
      <c r="R209" s="213"/>
      <c r="S209" s="213"/>
      <c r="T209" s="213"/>
      <c r="U209" s="213"/>
      <c r="V209" s="213"/>
      <c r="W209" s="213"/>
      <c r="X209" s="213"/>
      <c r="Y209" s="213"/>
    </row>
    <row r="210" spans="2:25">
      <c r="B210" s="132"/>
      <c r="C210" s="203" t="str">
        <f>+C183</f>
        <v>(-) Costos Operacionales</v>
      </c>
      <c r="F210" s="214">
        <f>+F183/F181</f>
        <v>0.85</v>
      </c>
      <c r="G210" s="214">
        <f>+G183/$G$181</f>
        <v>0.85</v>
      </c>
      <c r="H210" s="214">
        <f>+H183/$H$181</f>
        <v>0.84999999999999987</v>
      </c>
      <c r="I210" s="214">
        <f>+I183/$I$181</f>
        <v>0.85</v>
      </c>
      <c r="J210" s="214">
        <f>+J183/$J$181</f>
        <v>0.85</v>
      </c>
      <c r="K210" s="214">
        <f>+K183/$K$181</f>
        <v>0.85</v>
      </c>
      <c r="L210" s="214">
        <f>+L183/$L$181</f>
        <v>0.84999999999999987</v>
      </c>
      <c r="M210" s="214">
        <f>+M183/$M$181</f>
        <v>0.85</v>
      </c>
      <c r="N210" s="214">
        <f>+N183/$N$181</f>
        <v>0.85</v>
      </c>
      <c r="O210" s="214">
        <f>+O183/$O$181</f>
        <v>0.85</v>
      </c>
      <c r="P210" s="214">
        <f t="shared" ref="P210:Y210" si="41">+P183/$O$181</f>
        <v>0.90351599999999999</v>
      </c>
      <c r="Q210" s="214">
        <f t="shared" si="41"/>
        <v>0.96040136736000026</v>
      </c>
      <c r="R210" s="214">
        <f t="shared" si="41"/>
        <v>1.0208682374489859</v>
      </c>
      <c r="S210" s="214">
        <f t="shared" si="41"/>
        <v>1.0851421016787741</v>
      </c>
      <c r="T210" s="214">
        <f t="shared" si="41"/>
        <v>1.1534626484004697</v>
      </c>
      <c r="U210" s="214">
        <f t="shared" si="41"/>
        <v>1.2260846567437633</v>
      </c>
      <c r="V210" s="214">
        <f t="shared" si="41"/>
        <v>1.3032789467323509</v>
      </c>
      <c r="W210" s="214">
        <f t="shared" si="41"/>
        <v>1.3853333892186197</v>
      </c>
      <c r="X210" s="214">
        <f t="shared" si="41"/>
        <v>1.4725539794038243</v>
      </c>
      <c r="Y210" s="214">
        <f t="shared" si="41"/>
        <v>1.5652659779470894</v>
      </c>
    </row>
    <row r="211" spans="2:25">
      <c r="B211" s="132"/>
      <c r="C211" s="200"/>
      <c r="F211" s="214"/>
      <c r="G211" s="214"/>
      <c r="H211" s="214"/>
      <c r="I211" s="214"/>
      <c r="J211" s="214"/>
      <c r="K211" s="214"/>
      <c r="L211" s="214"/>
      <c r="M211" s="214"/>
      <c r="N211" s="214"/>
      <c r="O211" s="214"/>
      <c r="P211" s="214"/>
      <c r="Q211" s="214"/>
      <c r="R211" s="214"/>
      <c r="S211" s="214"/>
      <c r="T211" s="214"/>
      <c r="U211" s="214"/>
      <c r="V211" s="214"/>
      <c r="W211" s="214"/>
      <c r="X211" s="214"/>
      <c r="Y211" s="214"/>
    </row>
    <row r="212" spans="2:25" s="79" customFormat="1">
      <c r="B212" s="88"/>
      <c r="C212" s="200" t="str">
        <f>+C185</f>
        <v>UTILIDAD BRUTA</v>
      </c>
      <c r="F212" s="212">
        <f>+F185/$F$181</f>
        <v>0.15000000000000002</v>
      </c>
      <c r="G212" s="212">
        <f>+G185/$G$181</f>
        <v>0.15000000000000005</v>
      </c>
      <c r="H212" s="212">
        <f>+H185/$H$181</f>
        <v>0.15000000000000008</v>
      </c>
      <c r="I212" s="212">
        <f>+I185/$I$181</f>
        <v>0.15</v>
      </c>
      <c r="J212" s="212">
        <f>+J185/$J$181</f>
        <v>0.15</v>
      </c>
      <c r="K212" s="212">
        <f>+K185/$K$181</f>
        <v>0.15000000000000008</v>
      </c>
      <c r="L212" s="212">
        <f>+L185/$L$181</f>
        <v>0.15000000000000008</v>
      </c>
      <c r="M212" s="212">
        <f>+M185/$M$181</f>
        <v>0.15000000000000002</v>
      </c>
      <c r="N212" s="212">
        <f>+N185/$N$181</f>
        <v>0.15</v>
      </c>
      <c r="O212" s="212">
        <f>+O185/$O$181</f>
        <v>0.15000000000000002</v>
      </c>
      <c r="P212" s="212">
        <f t="shared" ref="P212:Y212" si="42">+P185/$O$181</f>
        <v>0.15944400000000006</v>
      </c>
      <c r="Q212" s="212">
        <f t="shared" si="42"/>
        <v>0.16948259424000006</v>
      </c>
      <c r="R212" s="212">
        <f t="shared" si="42"/>
        <v>0.18015321837335055</v>
      </c>
      <c r="S212" s="212">
        <f t="shared" si="42"/>
        <v>0.19149566500213672</v>
      </c>
      <c r="T212" s="212">
        <f t="shared" si="42"/>
        <v>0.2035522320706713</v>
      </c>
      <c r="U212" s="212">
        <f t="shared" si="42"/>
        <v>0.21636788060184076</v>
      </c>
      <c r="V212" s="212">
        <f t="shared" si="42"/>
        <v>0.22999040236453264</v>
      </c>
      <c r="W212" s="212">
        <f t="shared" si="42"/>
        <v>0.24447059809740362</v>
      </c>
      <c r="X212" s="212">
        <f t="shared" si="42"/>
        <v>0.2598624669536162</v>
      </c>
      <c r="Y212" s="212">
        <f t="shared" si="42"/>
        <v>0.27622340787301575</v>
      </c>
    </row>
    <row r="213" spans="2:25">
      <c r="B213" s="132"/>
      <c r="C213" s="200"/>
      <c r="F213" s="214"/>
      <c r="G213" s="214"/>
      <c r="H213" s="214"/>
      <c r="I213" s="214"/>
      <c r="J213" s="214"/>
      <c r="K213" s="214"/>
      <c r="L213" s="214"/>
      <c r="M213" s="214"/>
      <c r="N213" s="214"/>
      <c r="O213" s="214"/>
      <c r="P213" s="214"/>
      <c r="Q213" s="214"/>
      <c r="R213" s="214"/>
      <c r="S213" s="214"/>
      <c r="T213" s="214"/>
      <c r="U213" s="214"/>
      <c r="V213" s="214"/>
      <c r="W213" s="214"/>
      <c r="X213" s="214"/>
      <c r="Y213" s="214"/>
    </row>
    <row r="214" spans="2:25">
      <c r="B214" s="132"/>
      <c r="C214" s="203" t="str">
        <f>+C187</f>
        <v>(-) Gastos Operacionales</v>
      </c>
      <c r="F214" s="214">
        <f>+F187/$F$181</f>
        <v>0.10680355613231358</v>
      </c>
      <c r="G214" s="214">
        <f>+G187/$G$181</f>
        <v>0.10645650467198028</v>
      </c>
      <c r="H214" s="214">
        <f>+H187/$H$181</f>
        <v>0.10623452665961801</v>
      </c>
      <c r="I214" s="214">
        <f>+I187/$I$181</f>
        <v>0.10607797190335486</v>
      </c>
      <c r="J214" s="214">
        <f>+J187/$J$181</f>
        <v>0.10594361364787841</v>
      </c>
      <c r="K214" s="214">
        <f>+K187/$K$181</f>
        <v>0.1039401802786124</v>
      </c>
      <c r="L214" s="214">
        <f>+L187/$L$181</f>
        <v>0.1039401802786124</v>
      </c>
      <c r="M214" s="214">
        <f>+M187/$M$181</f>
        <v>0.1039401802786124</v>
      </c>
      <c r="N214" s="214">
        <f>+N187/$N$181</f>
        <v>0.10394018027861239</v>
      </c>
      <c r="O214" s="214">
        <f>+O187/$O$181</f>
        <v>0.1039401802786124</v>
      </c>
      <c r="P214" s="214">
        <f t="shared" ref="P214:Y215" si="43">+P187/$O$181</f>
        <v>0.11048425402895384</v>
      </c>
      <c r="Q214" s="214">
        <f t="shared" si="43"/>
        <v>0.1174403426626168</v>
      </c>
      <c r="R214" s="214">
        <f t="shared" si="43"/>
        <v>0.12483438663665516</v>
      </c>
      <c r="S214" s="214">
        <f t="shared" si="43"/>
        <v>0.132693959619299</v>
      </c>
      <c r="T214" s="214">
        <f t="shared" si="43"/>
        <v>0.14104837131693007</v>
      </c>
      <c r="U214" s="214">
        <f t="shared" si="43"/>
        <v>0.14992877677504401</v>
      </c>
      <c r="V214" s="214">
        <f t="shared" si="43"/>
        <v>0.15936829256080076</v>
      </c>
      <c r="W214" s="214">
        <f t="shared" si="43"/>
        <v>0.16940212026042881</v>
      </c>
      <c r="X214" s="214">
        <f t="shared" si="43"/>
        <v>0.1800676777520254</v>
      </c>
      <c r="Y214" s="214">
        <f t="shared" si="43"/>
        <v>0.19140473874329297</v>
      </c>
    </row>
    <row r="215" spans="2:25" hidden="1">
      <c r="B215" s="132"/>
      <c r="C215" s="203" t="str">
        <f>+C188</f>
        <v>(-)Amortización de Diferidos</v>
      </c>
      <c r="F215" s="214">
        <f>+F188/$F$181</f>
        <v>2.863375853701194E-3</v>
      </c>
      <c r="G215" s="214">
        <f>+G188/$G$181</f>
        <v>2.5163243933678937E-3</v>
      </c>
      <c r="H215" s="214">
        <f>+H188/$H$181</f>
        <v>2.2943463810056021E-3</v>
      </c>
      <c r="I215" s="214">
        <f>+I188/$I$181</f>
        <v>2.1377916247424618E-3</v>
      </c>
      <c r="J215" s="214">
        <f>+J188/$J$181</f>
        <v>2.0034333692660064E-3</v>
      </c>
      <c r="K215" s="214">
        <f>+K188/$K$181</f>
        <v>0</v>
      </c>
      <c r="L215" s="214">
        <f>+L188/$L$181</f>
        <v>0</v>
      </c>
      <c r="M215" s="214">
        <f>+M188/$M$181</f>
        <v>0</v>
      </c>
      <c r="N215" s="214">
        <f>+N188/$N$181</f>
        <v>0</v>
      </c>
      <c r="O215" s="214">
        <f>+O188/$O$181</f>
        <v>0</v>
      </c>
      <c r="P215" s="214">
        <f t="shared" si="43"/>
        <v>0</v>
      </c>
      <c r="Q215" s="214">
        <f t="shared" si="43"/>
        <v>0</v>
      </c>
      <c r="R215" s="214">
        <f t="shared" si="43"/>
        <v>0</v>
      </c>
      <c r="S215" s="214">
        <f t="shared" si="43"/>
        <v>0</v>
      </c>
      <c r="T215" s="214">
        <f t="shared" si="43"/>
        <v>0</v>
      </c>
      <c r="U215" s="214">
        <f t="shared" si="43"/>
        <v>0</v>
      </c>
      <c r="V215" s="214">
        <f t="shared" si="43"/>
        <v>0</v>
      </c>
      <c r="W215" s="214">
        <f t="shared" si="43"/>
        <v>0</v>
      </c>
      <c r="X215" s="214">
        <f t="shared" si="43"/>
        <v>0</v>
      </c>
      <c r="Y215" s="214">
        <f t="shared" si="43"/>
        <v>0</v>
      </c>
    </row>
    <row r="216" spans="2:25">
      <c r="B216" s="132"/>
      <c r="C216" s="200"/>
      <c r="F216" s="214"/>
      <c r="G216" s="214"/>
      <c r="H216" s="214"/>
      <c r="I216" s="214"/>
      <c r="J216" s="214"/>
      <c r="K216" s="214"/>
      <c r="L216" s="214"/>
      <c r="M216" s="214"/>
      <c r="N216" s="214"/>
      <c r="O216" s="214"/>
      <c r="P216" s="214"/>
      <c r="Q216" s="214"/>
      <c r="R216" s="214"/>
      <c r="S216" s="214"/>
      <c r="T216" s="214"/>
      <c r="U216" s="214"/>
      <c r="V216" s="214"/>
      <c r="W216" s="214"/>
      <c r="X216" s="214"/>
      <c r="Y216" s="214"/>
    </row>
    <row r="217" spans="2:25" s="79" customFormat="1">
      <c r="B217" s="88"/>
      <c r="C217" s="200" t="str">
        <f>+C190</f>
        <v>UTILIDAD OPERACIONAL</v>
      </c>
      <c r="F217" s="212">
        <f>+F190/$F$181</f>
        <v>4.0333068013985243E-2</v>
      </c>
      <c r="G217" s="212">
        <f>+G190/$G$181</f>
        <v>4.1027170934651871E-2</v>
      </c>
      <c r="H217" s="212">
        <f>+H190/$H$181</f>
        <v>4.1471126959376478E-2</v>
      </c>
      <c r="I217" s="212">
        <f>+I190/$I$181</f>
        <v>4.1784236471902679E-2</v>
      </c>
      <c r="J217" s="212">
        <f>+J190/$J$181</f>
        <v>4.2052952982855565E-2</v>
      </c>
      <c r="K217" s="212">
        <f>+K190/$K$181</f>
        <v>4.6059819721387667E-2</v>
      </c>
      <c r="L217" s="212">
        <f>+L190/$L$181</f>
        <v>4.6059819721387681E-2</v>
      </c>
      <c r="M217" s="212">
        <f>+M190/$M$181</f>
        <v>4.6059819721387604E-2</v>
      </c>
      <c r="N217" s="212">
        <f>+N190/$N$181</f>
        <v>4.6059819721387597E-2</v>
      </c>
      <c r="O217" s="212">
        <f>+O190/$O$181</f>
        <v>4.6059819721387611E-2</v>
      </c>
      <c r="P217" s="212">
        <f t="shared" ref="P217:Y217" si="44">+P190/$O$181</f>
        <v>4.8959745971046208E-2</v>
      </c>
      <c r="Q217" s="212">
        <f t="shared" si="44"/>
        <v>5.2042251577383264E-2</v>
      </c>
      <c r="R217" s="212">
        <f t="shared" si="44"/>
        <v>5.5318831736695377E-2</v>
      </c>
      <c r="S217" s="212">
        <f t="shared" si="44"/>
        <v>5.8801705382837716E-2</v>
      </c>
      <c r="T217" s="212">
        <f t="shared" si="44"/>
        <v>6.2503860753741231E-2</v>
      </c>
      <c r="U217" s="212">
        <f t="shared" si="44"/>
        <v>6.6439103826796755E-2</v>
      </c>
      <c r="V217" s="212">
        <f t="shared" si="44"/>
        <v>7.0622109803731875E-2</v>
      </c>
      <c r="W217" s="212">
        <f t="shared" si="44"/>
        <v>7.5068477836974831E-2</v>
      </c>
      <c r="X217" s="212">
        <f t="shared" si="44"/>
        <v>7.9794789201590804E-2</v>
      </c>
      <c r="Y217" s="212">
        <f t="shared" si="44"/>
        <v>8.4818669129722787E-2</v>
      </c>
    </row>
    <row r="218" spans="2:25">
      <c r="B218" s="132"/>
      <c r="C218" s="200"/>
      <c r="F218" s="214"/>
      <c r="G218" s="214"/>
      <c r="H218" s="214"/>
      <c r="I218" s="214"/>
      <c r="J218" s="214"/>
      <c r="K218" s="214"/>
      <c r="L218" s="214"/>
      <c r="M218" s="214"/>
      <c r="N218" s="214"/>
      <c r="O218" s="214"/>
      <c r="P218" s="214"/>
      <c r="Q218" s="214"/>
      <c r="R218" s="214"/>
      <c r="S218" s="214"/>
      <c r="T218" s="214"/>
      <c r="U218" s="214"/>
      <c r="V218" s="214"/>
      <c r="W218" s="214"/>
      <c r="X218" s="214"/>
      <c r="Y218" s="214"/>
    </row>
    <row r="219" spans="2:25">
      <c r="B219" s="132"/>
      <c r="C219" s="203" t="str">
        <f>+C192</f>
        <v>(-) Gastos Financieros</v>
      </c>
      <c r="F219" s="214">
        <f>+F192/$F$181</f>
        <v>0</v>
      </c>
      <c r="G219" s="214">
        <f>+G192/$G$181</f>
        <v>0</v>
      </c>
      <c r="H219" s="214">
        <f>+H192/$H$181</f>
        <v>0</v>
      </c>
      <c r="I219" s="214">
        <f>+I192/$I$181</f>
        <v>0</v>
      </c>
      <c r="J219" s="214">
        <f>+J192/$J$181</f>
        <v>0</v>
      </c>
      <c r="K219" s="214">
        <f>+K192/$K$181</f>
        <v>0</v>
      </c>
      <c r="L219" s="214">
        <f>+L192/$L$181</f>
        <v>0</v>
      </c>
      <c r="M219" s="214">
        <f>+M192/$M$181</f>
        <v>0</v>
      </c>
      <c r="N219" s="214">
        <f>+N192/$N$181</f>
        <v>0</v>
      </c>
      <c r="O219" s="214">
        <f>+O192/$O$181</f>
        <v>0</v>
      </c>
      <c r="P219" s="214">
        <f t="shared" ref="P219:Y219" si="45">+P192/$O$181</f>
        <v>0</v>
      </c>
      <c r="Q219" s="214">
        <f t="shared" si="45"/>
        <v>0</v>
      </c>
      <c r="R219" s="214">
        <f t="shared" si="45"/>
        <v>0</v>
      </c>
      <c r="S219" s="214">
        <f t="shared" si="45"/>
        <v>0</v>
      </c>
      <c r="T219" s="214">
        <f t="shared" si="45"/>
        <v>0</v>
      </c>
      <c r="U219" s="214">
        <f t="shared" si="45"/>
        <v>0</v>
      </c>
      <c r="V219" s="214">
        <f t="shared" si="45"/>
        <v>0</v>
      </c>
      <c r="W219" s="214">
        <f t="shared" si="45"/>
        <v>0</v>
      </c>
      <c r="X219" s="214">
        <f t="shared" si="45"/>
        <v>0</v>
      </c>
      <c r="Y219" s="214">
        <f t="shared" si="45"/>
        <v>0</v>
      </c>
    </row>
    <row r="220" spans="2:25">
      <c r="B220" s="132"/>
      <c r="C220" s="200"/>
      <c r="F220" s="214"/>
      <c r="G220" s="214"/>
      <c r="H220" s="214"/>
      <c r="I220" s="214"/>
      <c r="J220" s="214"/>
      <c r="K220" s="214"/>
      <c r="L220" s="214"/>
      <c r="M220" s="214"/>
      <c r="N220" s="214"/>
      <c r="O220" s="214"/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</row>
    <row r="221" spans="2:25" s="79" customFormat="1">
      <c r="B221" s="88"/>
      <c r="C221" s="200" t="str">
        <f>+C194</f>
        <v>UTILIDAD ANTES DE IMPTOS</v>
      </c>
      <c r="F221" s="212">
        <f>+F194/$F$181</f>
        <v>4.0333068013985243E-2</v>
      </c>
      <c r="G221" s="212">
        <f>+G194/$G$181</f>
        <v>4.1027170934651871E-2</v>
      </c>
      <c r="H221" s="212">
        <f>+H194/$H$181</f>
        <v>4.1471126959376478E-2</v>
      </c>
      <c r="I221" s="212">
        <f>+I194/$I$181</f>
        <v>4.1784236471902679E-2</v>
      </c>
      <c r="J221" s="212">
        <f>+J194/$J$181</f>
        <v>4.2052952982855565E-2</v>
      </c>
      <c r="K221" s="212">
        <f>+K194/$K$181</f>
        <v>4.6059819721387667E-2</v>
      </c>
      <c r="L221" s="212">
        <f>+L194/$L$181</f>
        <v>4.6059819721387681E-2</v>
      </c>
      <c r="M221" s="212">
        <f>+M194/$M$181</f>
        <v>4.6059819721387604E-2</v>
      </c>
      <c r="N221" s="212">
        <f>+N194/$N$181</f>
        <v>4.6059819721387597E-2</v>
      </c>
      <c r="O221" s="212">
        <f>+O194/$O$181</f>
        <v>4.6059819721387611E-2</v>
      </c>
      <c r="P221" s="212">
        <f t="shared" ref="P221:Y221" si="46">+P194/$O$181</f>
        <v>4.8959745971046208E-2</v>
      </c>
      <c r="Q221" s="212">
        <f t="shared" si="46"/>
        <v>5.2042251577383264E-2</v>
      </c>
      <c r="R221" s="212">
        <f t="shared" si="46"/>
        <v>5.5318831736695377E-2</v>
      </c>
      <c r="S221" s="212">
        <f t="shared" si="46"/>
        <v>5.8801705382837716E-2</v>
      </c>
      <c r="T221" s="212">
        <f t="shared" si="46"/>
        <v>6.2503860753741231E-2</v>
      </c>
      <c r="U221" s="212">
        <f t="shared" si="46"/>
        <v>6.6439103826796755E-2</v>
      </c>
      <c r="V221" s="212">
        <f t="shared" si="46"/>
        <v>7.0622109803731875E-2</v>
      </c>
      <c r="W221" s="212">
        <f t="shared" si="46"/>
        <v>7.5068477836974831E-2</v>
      </c>
      <c r="X221" s="212">
        <f t="shared" si="46"/>
        <v>7.9794789201590804E-2</v>
      </c>
      <c r="Y221" s="212">
        <f t="shared" si="46"/>
        <v>8.4818669129722787E-2</v>
      </c>
    </row>
    <row r="222" spans="2:25">
      <c r="B222" s="132"/>
      <c r="C222" s="200"/>
      <c r="F222" s="214"/>
      <c r="G222" s="214"/>
      <c r="H222" s="214"/>
      <c r="I222" s="214"/>
      <c r="J222" s="214"/>
      <c r="K222" s="214"/>
      <c r="L222" s="214"/>
      <c r="M222" s="214"/>
      <c r="N222" s="214"/>
      <c r="O222" s="214"/>
      <c r="P222" s="214"/>
      <c r="Q222" s="214"/>
      <c r="R222" s="214"/>
      <c r="S222" s="214"/>
      <c r="T222" s="214"/>
      <c r="U222" s="214"/>
      <c r="V222" s="214"/>
      <c r="W222" s="214"/>
      <c r="X222" s="214"/>
      <c r="Y222" s="214"/>
    </row>
    <row r="223" spans="2:25">
      <c r="B223" s="132"/>
      <c r="C223" s="203" t="str">
        <f>+C196</f>
        <v>(-) Provisión para Impuestos</v>
      </c>
      <c r="D223" s="215">
        <v>0.35</v>
      </c>
      <c r="F223" s="214">
        <f>+F196/$F$181</f>
        <v>1.4116573804894833E-2</v>
      </c>
      <c r="G223" s="214">
        <f>+G196/$G$181</f>
        <v>1.4359509827128155E-2</v>
      </c>
      <c r="H223" s="214">
        <f>+H196/$H$181</f>
        <v>1.4514894435781765E-2</v>
      </c>
      <c r="I223" s="214">
        <f>+I196/$I$181</f>
        <v>1.4624482765165937E-2</v>
      </c>
      <c r="J223" s="214">
        <f>+J196/$J$181</f>
        <v>1.4718533543999447E-2</v>
      </c>
      <c r="K223" s="214">
        <f>+K196/$K$181</f>
        <v>1.6120936902485682E-2</v>
      </c>
      <c r="L223" s="214">
        <f>+L196/$L$181</f>
        <v>1.6120936902485686E-2</v>
      </c>
      <c r="M223" s="214">
        <f>+M196/$M$181</f>
        <v>1.6120936902485661E-2</v>
      </c>
      <c r="N223" s="214">
        <f>+N196/$N$181</f>
        <v>1.6120936902485658E-2</v>
      </c>
      <c r="O223" s="214">
        <f>+O196/$O$181</f>
        <v>1.6120936902485661E-2</v>
      </c>
      <c r="P223" s="214">
        <f t="shared" ref="P223:Y223" si="47">+P196/$O$181</f>
        <v>1.713591108986617E-2</v>
      </c>
      <c r="Q223" s="214">
        <f t="shared" si="47"/>
        <v>1.8214788052084138E-2</v>
      </c>
      <c r="R223" s="214">
        <f t="shared" si="47"/>
        <v>1.9361591107843381E-2</v>
      </c>
      <c r="S223" s="214">
        <f t="shared" si="47"/>
        <v>2.0580596883993201E-2</v>
      </c>
      <c r="T223" s="214">
        <f t="shared" si="47"/>
        <v>2.1876351263809431E-2</v>
      </c>
      <c r="U223" s="214">
        <f t="shared" si="47"/>
        <v>2.3253686339378864E-2</v>
      </c>
      <c r="V223" s="214">
        <f t="shared" si="47"/>
        <v>2.4717738431306157E-2</v>
      </c>
      <c r="W223" s="214">
        <f t="shared" si="47"/>
        <v>2.6273967242941187E-2</v>
      </c>
      <c r="X223" s="214">
        <f t="shared" si="47"/>
        <v>2.792817622055678E-2</v>
      </c>
      <c r="Y223" s="214">
        <f t="shared" si="47"/>
        <v>2.9686534195402972E-2</v>
      </c>
    </row>
    <row r="224" spans="2:25">
      <c r="B224" s="132"/>
      <c r="C224" s="200"/>
      <c r="F224" s="214"/>
      <c r="G224" s="214"/>
      <c r="H224" s="214"/>
      <c r="I224" s="214"/>
      <c r="J224" s="214"/>
      <c r="K224" s="214"/>
      <c r="L224" s="214"/>
      <c r="M224" s="214"/>
      <c r="N224" s="214"/>
      <c r="O224" s="214"/>
      <c r="P224" s="214"/>
      <c r="Q224" s="214"/>
      <c r="R224" s="214"/>
      <c r="S224" s="214"/>
      <c r="T224" s="214"/>
      <c r="U224" s="214"/>
      <c r="V224" s="214"/>
      <c r="W224" s="214"/>
      <c r="X224" s="214"/>
      <c r="Y224" s="214"/>
    </row>
    <row r="225" spans="2:25" s="79" customFormat="1">
      <c r="B225" s="88"/>
      <c r="C225" s="200" t="str">
        <f>+C198</f>
        <v>UTILIDAD NETA</v>
      </c>
      <c r="F225" s="212">
        <f>+F198/$F$181</f>
        <v>2.6216494209090408E-2</v>
      </c>
      <c r="G225" s="212">
        <f>+G198/$G$181</f>
        <v>2.6667661107523718E-2</v>
      </c>
      <c r="H225" s="212">
        <f>+H198/$H$181</f>
        <v>2.6956232523594713E-2</v>
      </c>
      <c r="I225" s="212">
        <f>+I198/$I$181</f>
        <v>2.715975370673674E-2</v>
      </c>
      <c r="J225" s="212">
        <f>+J198/$J$181</f>
        <v>2.7334419438856117E-2</v>
      </c>
      <c r="K225" s="212">
        <f>+K198/$K$181</f>
        <v>2.9938882818901984E-2</v>
      </c>
      <c r="L225" s="212">
        <f>+L198/$L$181</f>
        <v>2.9938882818901991E-2</v>
      </c>
      <c r="M225" s="212">
        <f>+M198/$M$181</f>
        <v>2.9938882818901939E-2</v>
      </c>
      <c r="N225" s="212">
        <f>+N198/$N$181</f>
        <v>2.9938882818901943E-2</v>
      </c>
      <c r="O225" s="212">
        <f>+O198/$O$181</f>
        <v>2.993888281890195E-2</v>
      </c>
      <c r="P225" s="212">
        <f t="shared" ref="P225:Y225" si="48">+P198/$O$181</f>
        <v>3.1823834881180034E-2</v>
      </c>
      <c r="Q225" s="212">
        <f t="shared" si="48"/>
        <v>3.3827463525299126E-2</v>
      </c>
      <c r="R225" s="212">
        <f t="shared" si="48"/>
        <v>3.5957240628852E-2</v>
      </c>
      <c r="S225" s="212">
        <f t="shared" si="48"/>
        <v>3.8221108498844518E-2</v>
      </c>
      <c r="T225" s="212">
        <f t="shared" si="48"/>
        <v>4.0627509489931803E-2</v>
      </c>
      <c r="U225" s="212">
        <f t="shared" si="48"/>
        <v>4.3185417487417894E-2</v>
      </c>
      <c r="V225" s="212">
        <f t="shared" si="48"/>
        <v>4.5904371372425715E-2</v>
      </c>
      <c r="W225" s="212">
        <f t="shared" si="48"/>
        <v>4.8794510594033634E-2</v>
      </c>
      <c r="X225" s="212">
        <f t="shared" si="48"/>
        <v>5.1866612981034017E-2</v>
      </c>
      <c r="Y225" s="212">
        <f t="shared" si="48"/>
        <v>5.5132134934319808E-2</v>
      </c>
    </row>
    <row r="226" spans="2:25">
      <c r="B226" s="97"/>
      <c r="C226" s="216"/>
      <c r="D226" s="98"/>
      <c r="E226" s="98"/>
      <c r="F226" s="217"/>
      <c r="G226" s="217"/>
      <c r="H226" s="217"/>
      <c r="I226" s="217"/>
      <c r="J226" s="217"/>
      <c r="K226" s="217"/>
      <c r="L226" s="217"/>
      <c r="M226" s="217"/>
      <c r="N226" s="217"/>
      <c r="O226" s="217"/>
      <c r="P226" s="217"/>
      <c r="Q226" s="217"/>
      <c r="R226" s="217"/>
      <c r="S226" s="217"/>
      <c r="T226" s="217"/>
      <c r="U226" s="217"/>
      <c r="V226" s="217"/>
      <c r="W226" s="217"/>
      <c r="X226" s="217"/>
      <c r="Y226" s="217"/>
    </row>
    <row r="229" spans="2:25">
      <c r="B229" s="75" t="s">
        <v>149</v>
      </c>
      <c r="C229" s="77"/>
      <c r="D229" s="77"/>
      <c r="E229" s="77"/>
      <c r="F229" s="77"/>
      <c r="G229" s="77"/>
      <c r="H229" s="77"/>
      <c r="I229" s="77"/>
      <c r="J229" s="77"/>
    </row>
    <row r="230" spans="2:25">
      <c r="B230" s="77"/>
      <c r="C230" s="77"/>
      <c r="D230" s="77"/>
      <c r="E230" s="77"/>
      <c r="F230" s="77"/>
      <c r="G230" s="77"/>
      <c r="H230" s="77"/>
      <c r="I230" s="77"/>
      <c r="J230" s="77"/>
    </row>
    <row r="231" spans="2:25">
      <c r="B231" s="119"/>
      <c r="C231" s="81"/>
      <c r="D231" s="81"/>
      <c r="E231" s="119"/>
      <c r="F231" s="119"/>
      <c r="G231" s="119"/>
      <c r="H231" s="119"/>
      <c r="I231" s="119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120"/>
      <c r="X231" s="120"/>
      <c r="Y231" s="120"/>
    </row>
    <row r="232" spans="2:25">
      <c r="B232" s="121"/>
      <c r="C232" s="143"/>
      <c r="D232" s="143"/>
      <c r="E232" s="123" t="s">
        <v>124</v>
      </c>
      <c r="F232" s="123" t="s">
        <v>41</v>
      </c>
      <c r="G232" s="123" t="s">
        <v>42</v>
      </c>
      <c r="H232" s="123" t="s">
        <v>43</v>
      </c>
      <c r="I232" s="123" t="s">
        <v>44</v>
      </c>
      <c r="J232" s="124" t="s">
        <v>45</v>
      </c>
      <c r="K232" s="124" t="s">
        <v>46</v>
      </c>
      <c r="L232" s="124" t="s">
        <v>47</v>
      </c>
      <c r="M232" s="124" t="s">
        <v>48</v>
      </c>
      <c r="N232" s="124" t="s">
        <v>49</v>
      </c>
      <c r="O232" s="124" t="s">
        <v>50</v>
      </c>
      <c r="P232" s="124" t="s">
        <v>51</v>
      </c>
      <c r="Q232" s="124" t="s">
        <v>52</v>
      </c>
      <c r="R232" s="124" t="s">
        <v>53</v>
      </c>
      <c r="S232" s="124" t="s">
        <v>54</v>
      </c>
      <c r="T232" s="124" t="s">
        <v>55</v>
      </c>
      <c r="U232" s="124" t="s">
        <v>56</v>
      </c>
      <c r="V232" s="124" t="s">
        <v>57</v>
      </c>
      <c r="W232" s="124" t="s">
        <v>58</v>
      </c>
      <c r="X232" s="124" t="s">
        <v>59</v>
      </c>
      <c r="Y232" s="124" t="s">
        <v>60</v>
      </c>
    </row>
    <row r="233" spans="2:25">
      <c r="B233" s="121"/>
      <c r="C233" s="122"/>
      <c r="D233" s="189"/>
      <c r="E233" s="121"/>
      <c r="F233" s="121"/>
      <c r="G233" s="121"/>
      <c r="H233" s="121"/>
      <c r="I233" s="121"/>
      <c r="J233" s="125"/>
      <c r="K233" s="125"/>
      <c r="L233" s="125"/>
      <c r="M233" s="125"/>
      <c r="N233" s="125"/>
      <c r="O233" s="125"/>
      <c r="P233" s="125"/>
      <c r="Q233" s="125"/>
      <c r="R233" s="125"/>
      <c r="S233" s="125"/>
      <c r="T233" s="125"/>
      <c r="U233" s="125"/>
      <c r="V233" s="125"/>
      <c r="W233" s="125"/>
      <c r="X233" s="125"/>
      <c r="Y233" s="125"/>
    </row>
    <row r="234" spans="2:25">
      <c r="B234" s="128"/>
      <c r="C234" s="129"/>
      <c r="D234" s="129"/>
      <c r="E234" s="128"/>
      <c r="F234" s="88"/>
      <c r="G234" s="128"/>
      <c r="H234" s="128"/>
      <c r="I234" s="128"/>
      <c r="J234" s="130"/>
      <c r="K234" s="130"/>
      <c r="L234" s="130"/>
      <c r="M234" s="130"/>
      <c r="N234" s="130"/>
      <c r="O234" s="130"/>
      <c r="P234" s="130"/>
      <c r="Q234" s="130"/>
      <c r="R234" s="130"/>
      <c r="S234" s="130"/>
      <c r="T234" s="130"/>
      <c r="U234" s="130"/>
      <c r="V234" s="130"/>
      <c r="W234" s="130"/>
      <c r="X234" s="130"/>
      <c r="Y234" s="130"/>
    </row>
    <row r="235" spans="2:25">
      <c r="B235" s="90" t="s">
        <v>150</v>
      </c>
      <c r="E235" s="91"/>
      <c r="F235" s="91"/>
      <c r="G235" s="91"/>
      <c r="H235" s="91"/>
      <c r="I235" s="91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</row>
    <row r="236" spans="2:25">
      <c r="B236" s="91"/>
      <c r="C236" s="66" t="s">
        <v>151</v>
      </c>
      <c r="E236" s="363"/>
      <c r="F236" s="363">
        <f t="shared" ref="F236:Y236" si="49">+F190</f>
        <v>352146.12117590848</v>
      </c>
      <c r="G236" s="363">
        <f t="shared" si="49"/>
        <v>407610.11420849012</v>
      </c>
      <c r="H236" s="363">
        <f t="shared" si="49"/>
        <v>451883.89275816176</v>
      </c>
      <c r="I236" s="363">
        <f t="shared" si="49"/>
        <v>488637.85399262654</v>
      </c>
      <c r="J236" s="358">
        <f t="shared" si="49"/>
        <v>524761.06303278776</v>
      </c>
      <c r="K236" s="358">
        <f t="shared" si="49"/>
        <v>612132.02735118079</v>
      </c>
      <c r="L236" s="358">
        <f t="shared" si="49"/>
        <v>650671.85979321133</v>
      </c>
      <c r="M236" s="358">
        <f t="shared" si="49"/>
        <v>691638.16008579079</v>
      </c>
      <c r="N236" s="358">
        <f t="shared" si="49"/>
        <v>735183.6986447922</v>
      </c>
      <c r="O236" s="358">
        <f t="shared" si="49"/>
        <v>781470.86431146855</v>
      </c>
      <c r="P236" s="358">
        <f t="shared" si="49"/>
        <v>830672.26992851915</v>
      </c>
      <c r="Q236" s="358">
        <f t="shared" si="49"/>
        <v>882971.39604321844</v>
      </c>
      <c r="R236" s="358">
        <f t="shared" si="49"/>
        <v>938563.27513810061</v>
      </c>
      <c r="S236" s="358">
        <f t="shared" si="49"/>
        <v>997655.2189407954</v>
      </c>
      <c r="T236" s="358">
        <f t="shared" si="49"/>
        <v>1060467.5915253088</v>
      </c>
      <c r="U236" s="358">
        <f t="shared" si="49"/>
        <v>1127234.6310877418</v>
      </c>
      <c r="V236" s="358">
        <f t="shared" si="49"/>
        <v>1198205.323461026</v>
      </c>
      <c r="W236" s="358">
        <f t="shared" si="49"/>
        <v>1273644.330626132</v>
      </c>
      <c r="X236" s="358">
        <f t="shared" si="49"/>
        <v>1353832.9776823539</v>
      </c>
      <c r="Y236" s="358">
        <f t="shared" si="49"/>
        <v>1439070.3019572319</v>
      </c>
    </row>
    <row r="237" spans="2:25">
      <c r="B237" s="91"/>
      <c r="C237" s="66" t="s">
        <v>152</v>
      </c>
      <c r="E237" s="363"/>
      <c r="F237" s="363">
        <f t="shared" ref="F237:Y237" si="50">+D114</f>
        <v>105000</v>
      </c>
      <c r="G237" s="363">
        <f t="shared" si="50"/>
        <v>105000</v>
      </c>
      <c r="H237" s="363">
        <f t="shared" si="50"/>
        <v>105000</v>
      </c>
      <c r="I237" s="363">
        <f t="shared" si="50"/>
        <v>105000</v>
      </c>
      <c r="J237" s="358">
        <f t="shared" si="50"/>
        <v>105000</v>
      </c>
      <c r="K237" s="358">
        <f t="shared" si="50"/>
        <v>30000</v>
      </c>
      <c r="L237" s="358">
        <f t="shared" si="50"/>
        <v>30000</v>
      </c>
      <c r="M237" s="358">
        <f t="shared" si="50"/>
        <v>30000</v>
      </c>
      <c r="N237" s="358">
        <f t="shared" si="50"/>
        <v>30000</v>
      </c>
      <c r="O237" s="358">
        <f t="shared" si="50"/>
        <v>30000</v>
      </c>
      <c r="P237" s="358">
        <f t="shared" si="50"/>
        <v>0</v>
      </c>
      <c r="Q237" s="358">
        <f t="shared" si="50"/>
        <v>0</v>
      </c>
      <c r="R237" s="358">
        <f t="shared" si="50"/>
        <v>0</v>
      </c>
      <c r="S237" s="358">
        <f t="shared" si="50"/>
        <v>0</v>
      </c>
      <c r="T237" s="358">
        <f t="shared" si="50"/>
        <v>0</v>
      </c>
      <c r="U237" s="358">
        <f t="shared" si="50"/>
        <v>0</v>
      </c>
      <c r="V237" s="358">
        <f t="shared" si="50"/>
        <v>0</v>
      </c>
      <c r="W237" s="358">
        <f t="shared" si="50"/>
        <v>0</v>
      </c>
      <c r="X237" s="358">
        <f t="shared" si="50"/>
        <v>0</v>
      </c>
      <c r="Y237" s="358">
        <f t="shared" si="50"/>
        <v>0</v>
      </c>
    </row>
    <row r="238" spans="2:25">
      <c r="B238" s="91"/>
      <c r="C238" s="66" t="s">
        <v>153</v>
      </c>
      <c r="E238" s="363"/>
      <c r="F238" s="363">
        <f t="shared" ref="F238:Y238" si="51">+D127</f>
        <v>25000</v>
      </c>
      <c r="G238" s="363">
        <f t="shared" si="51"/>
        <v>25000</v>
      </c>
      <c r="H238" s="363">
        <f t="shared" si="51"/>
        <v>25000</v>
      </c>
      <c r="I238" s="363">
        <f t="shared" si="51"/>
        <v>25000</v>
      </c>
      <c r="J238" s="358">
        <f t="shared" si="51"/>
        <v>25000</v>
      </c>
      <c r="K238" s="358">
        <f t="shared" si="51"/>
        <v>0</v>
      </c>
      <c r="L238" s="358">
        <f t="shared" si="51"/>
        <v>0</v>
      </c>
      <c r="M238" s="358">
        <f t="shared" si="51"/>
        <v>0</v>
      </c>
      <c r="N238" s="358">
        <f t="shared" si="51"/>
        <v>0</v>
      </c>
      <c r="O238" s="358">
        <f t="shared" si="51"/>
        <v>0</v>
      </c>
      <c r="P238" s="358">
        <f t="shared" si="51"/>
        <v>0</v>
      </c>
      <c r="Q238" s="358">
        <f t="shared" si="51"/>
        <v>0</v>
      </c>
      <c r="R238" s="358">
        <f t="shared" si="51"/>
        <v>0</v>
      </c>
      <c r="S238" s="358">
        <f t="shared" si="51"/>
        <v>0</v>
      </c>
      <c r="T238" s="358">
        <f t="shared" si="51"/>
        <v>0</v>
      </c>
      <c r="U238" s="358">
        <f t="shared" si="51"/>
        <v>0</v>
      </c>
      <c r="V238" s="358">
        <f t="shared" si="51"/>
        <v>0</v>
      </c>
      <c r="W238" s="358">
        <f t="shared" si="51"/>
        <v>0</v>
      </c>
      <c r="X238" s="358">
        <f t="shared" si="51"/>
        <v>0</v>
      </c>
      <c r="Y238" s="358">
        <f t="shared" si="51"/>
        <v>0</v>
      </c>
    </row>
    <row r="239" spans="2:25">
      <c r="B239" s="88"/>
      <c r="C239" s="79" t="s">
        <v>93</v>
      </c>
      <c r="D239" s="79"/>
      <c r="E239" s="367">
        <f t="shared" ref="E239:Y239" si="52">SUM(E236:E238)</f>
        <v>0</v>
      </c>
      <c r="F239" s="367">
        <f t="shared" si="52"/>
        <v>482146.12117590848</v>
      </c>
      <c r="G239" s="367">
        <f t="shared" si="52"/>
        <v>537610.11420849012</v>
      </c>
      <c r="H239" s="367">
        <f t="shared" si="52"/>
        <v>581883.89275816176</v>
      </c>
      <c r="I239" s="367">
        <f t="shared" si="52"/>
        <v>618637.85399262654</v>
      </c>
      <c r="J239" s="368">
        <f t="shared" si="52"/>
        <v>654761.06303278776</v>
      </c>
      <c r="K239" s="368">
        <f t="shared" si="52"/>
        <v>642132.02735118079</v>
      </c>
      <c r="L239" s="368">
        <f t="shared" si="52"/>
        <v>680671.85979321133</v>
      </c>
      <c r="M239" s="368">
        <f t="shared" si="52"/>
        <v>721638.16008579079</v>
      </c>
      <c r="N239" s="368">
        <f t="shared" si="52"/>
        <v>765183.6986447922</v>
      </c>
      <c r="O239" s="368">
        <f t="shared" si="52"/>
        <v>811470.86431146855</v>
      </c>
      <c r="P239" s="368">
        <f t="shared" si="52"/>
        <v>830672.26992851915</v>
      </c>
      <c r="Q239" s="368">
        <f t="shared" si="52"/>
        <v>882971.39604321844</v>
      </c>
      <c r="R239" s="368">
        <f t="shared" si="52"/>
        <v>938563.27513810061</v>
      </c>
      <c r="S239" s="368">
        <f t="shared" si="52"/>
        <v>997655.2189407954</v>
      </c>
      <c r="T239" s="368">
        <f t="shared" si="52"/>
        <v>1060467.5915253088</v>
      </c>
      <c r="U239" s="368">
        <f t="shared" si="52"/>
        <v>1127234.6310877418</v>
      </c>
      <c r="V239" s="368">
        <f t="shared" si="52"/>
        <v>1198205.323461026</v>
      </c>
      <c r="W239" s="368">
        <f t="shared" si="52"/>
        <v>1273644.330626132</v>
      </c>
      <c r="X239" s="368">
        <f t="shared" si="52"/>
        <v>1353832.9776823539</v>
      </c>
      <c r="Y239" s="368">
        <f t="shared" si="52"/>
        <v>1439070.3019572319</v>
      </c>
    </row>
    <row r="240" spans="2:25">
      <c r="B240" s="91"/>
      <c r="E240" s="363"/>
      <c r="F240" s="363"/>
      <c r="G240" s="363"/>
      <c r="H240" s="363"/>
      <c r="I240" s="363"/>
      <c r="J240" s="358"/>
      <c r="K240" s="358"/>
      <c r="L240" s="358"/>
      <c r="M240" s="358"/>
      <c r="N240" s="358"/>
      <c r="O240" s="358"/>
      <c r="P240" s="358"/>
      <c r="Q240" s="358"/>
      <c r="R240" s="358"/>
      <c r="S240" s="358"/>
      <c r="T240" s="358"/>
      <c r="U240" s="358"/>
      <c r="V240" s="358"/>
      <c r="W240" s="358"/>
      <c r="X240" s="358"/>
      <c r="Y240" s="358"/>
    </row>
    <row r="241" spans="2:25">
      <c r="B241" s="91"/>
      <c r="C241" s="461" t="s">
        <v>154</v>
      </c>
      <c r="D241" s="461"/>
      <c r="E241" s="462">
        <f>+D34</f>
        <v>1891369.125</v>
      </c>
      <c r="F241" s="363"/>
      <c r="G241" s="363"/>
      <c r="H241" s="363"/>
      <c r="I241" s="363"/>
      <c r="J241" s="358"/>
      <c r="K241" s="358"/>
      <c r="L241" s="358"/>
      <c r="M241" s="358"/>
      <c r="N241" s="358"/>
      <c r="O241" s="358"/>
      <c r="P241" s="358"/>
      <c r="Q241" s="358"/>
      <c r="R241" s="358"/>
      <c r="S241" s="358"/>
      <c r="T241" s="358"/>
      <c r="U241" s="358"/>
      <c r="V241" s="358"/>
      <c r="W241" s="358"/>
      <c r="X241" s="358"/>
      <c r="Y241" s="358"/>
    </row>
    <row r="242" spans="2:25">
      <c r="B242" s="91"/>
      <c r="E242" s="363"/>
      <c r="F242" s="363"/>
      <c r="G242" s="363"/>
      <c r="H242" s="363"/>
      <c r="I242" s="363"/>
      <c r="J242" s="358"/>
      <c r="K242" s="358"/>
      <c r="L242" s="358"/>
      <c r="M242" s="358"/>
      <c r="N242" s="358"/>
      <c r="O242" s="358"/>
      <c r="P242" s="358"/>
      <c r="Q242" s="358"/>
      <c r="R242" s="358"/>
      <c r="S242" s="358"/>
      <c r="T242" s="358"/>
      <c r="U242" s="358"/>
      <c r="V242" s="358"/>
      <c r="W242" s="358"/>
      <c r="X242" s="358"/>
      <c r="Y242" s="358"/>
    </row>
    <row r="243" spans="2:25">
      <c r="B243" s="91"/>
      <c r="C243" s="218" t="s">
        <v>155</v>
      </c>
      <c r="E243" s="363"/>
      <c r="F243" s="363"/>
      <c r="G243" s="363"/>
      <c r="H243" s="363"/>
      <c r="I243" s="363"/>
      <c r="J243" s="358"/>
      <c r="K243" s="358"/>
      <c r="L243" s="358"/>
      <c r="M243" s="358"/>
      <c r="N243" s="358"/>
      <c r="O243" s="358"/>
      <c r="P243" s="358"/>
      <c r="Q243" s="358"/>
      <c r="R243" s="358"/>
      <c r="S243" s="358"/>
      <c r="T243" s="358"/>
      <c r="U243" s="358"/>
      <c r="V243" s="358"/>
      <c r="W243" s="358"/>
      <c r="X243" s="358"/>
      <c r="Y243" s="358"/>
    </row>
    <row r="244" spans="2:25">
      <c r="B244" s="91"/>
      <c r="C244" s="66" t="s">
        <v>156</v>
      </c>
      <c r="E244" s="363"/>
      <c r="F244" s="363">
        <f>+D146</f>
        <v>693789.61300604686</v>
      </c>
      <c r="G244" s="363">
        <f t="shared" ref="G244:Y244" si="53">+E146-D146</f>
        <v>95687.463425794034</v>
      </c>
      <c r="H244" s="363">
        <f t="shared" si="53"/>
        <v>76381.907144780504</v>
      </c>
      <c r="I244" s="363">
        <f t="shared" si="53"/>
        <v>63408.585085283266</v>
      </c>
      <c r="J244" s="358">
        <f t="shared" si="53"/>
        <v>62320.400224742014</v>
      </c>
      <c r="K244" s="358">
        <f t="shared" si="53"/>
        <v>64473.049737009685</v>
      </c>
      <c r="L244" s="358">
        <f t="shared" si="53"/>
        <v>66489.601732545299</v>
      </c>
      <c r="M244" s="358">
        <f t="shared" si="53"/>
        <v>70675.78705762676</v>
      </c>
      <c r="N244" s="358">
        <f t="shared" si="53"/>
        <v>75125.534610774601</v>
      </c>
      <c r="O244" s="358">
        <f t="shared" si="53"/>
        <v>79855.438269869192</v>
      </c>
      <c r="P244" s="358">
        <f t="shared" si="53"/>
        <v>84883.136663339799</v>
      </c>
      <c r="Q244" s="358">
        <f t="shared" si="53"/>
        <v>90227.378947664285</v>
      </c>
      <c r="R244" s="358">
        <f t="shared" si="53"/>
        <v>95908.09472620883</v>
      </c>
      <c r="S244" s="358">
        <f t="shared" si="53"/>
        <v>101946.46837017126</v>
      </c>
      <c r="T244" s="358">
        <f t="shared" si="53"/>
        <v>108365.01801875676</v>
      </c>
      <c r="U244" s="358">
        <f t="shared" si="53"/>
        <v>115187.67955321772</v>
      </c>
      <c r="V244" s="358">
        <f t="shared" si="53"/>
        <v>122439.89585788874</v>
      </c>
      <c r="W244" s="358">
        <f t="shared" si="53"/>
        <v>130148.71170110139</v>
      </c>
      <c r="X244" s="358">
        <f t="shared" si="53"/>
        <v>138342.8745898027</v>
      </c>
      <c r="Y244" s="358">
        <f t="shared" si="53"/>
        <v>147052.94197397679</v>
      </c>
    </row>
    <row r="245" spans="2:25">
      <c r="B245" s="91"/>
      <c r="C245" s="66" t="s">
        <v>157</v>
      </c>
      <c r="E245" s="363">
        <f>+D36</f>
        <v>0</v>
      </c>
      <c r="F245" s="363"/>
      <c r="G245" s="363"/>
      <c r="H245" s="363"/>
      <c r="I245" s="363"/>
      <c r="J245" s="358"/>
      <c r="K245" s="358"/>
      <c r="L245" s="358"/>
      <c r="M245" s="358"/>
      <c r="N245" s="358"/>
      <c r="O245" s="358"/>
      <c r="P245" s="358"/>
      <c r="Q245" s="358"/>
      <c r="R245" s="358"/>
      <c r="S245" s="358"/>
      <c r="T245" s="358"/>
      <c r="U245" s="358"/>
      <c r="V245" s="358"/>
      <c r="W245" s="358"/>
      <c r="X245" s="358"/>
      <c r="Y245" s="358"/>
    </row>
    <row r="246" spans="2:25">
      <c r="B246" s="88"/>
      <c r="C246" s="79" t="s">
        <v>158</v>
      </c>
      <c r="D246" s="79"/>
      <c r="E246" s="367">
        <f t="shared" ref="E246:Y246" si="54">SUM(E244:E245)</f>
        <v>0</v>
      </c>
      <c r="F246" s="367">
        <f t="shared" si="54"/>
        <v>693789.61300604686</v>
      </c>
      <c r="G246" s="367">
        <f t="shared" si="54"/>
        <v>95687.463425794034</v>
      </c>
      <c r="H246" s="367">
        <f t="shared" si="54"/>
        <v>76381.907144780504</v>
      </c>
      <c r="I246" s="367">
        <f t="shared" si="54"/>
        <v>63408.585085283266</v>
      </c>
      <c r="J246" s="368">
        <f t="shared" si="54"/>
        <v>62320.400224742014</v>
      </c>
      <c r="K246" s="368">
        <f t="shared" si="54"/>
        <v>64473.049737009685</v>
      </c>
      <c r="L246" s="368">
        <f t="shared" si="54"/>
        <v>66489.601732545299</v>
      </c>
      <c r="M246" s="368">
        <f t="shared" si="54"/>
        <v>70675.78705762676</v>
      </c>
      <c r="N246" s="368">
        <f t="shared" si="54"/>
        <v>75125.534610774601</v>
      </c>
      <c r="O246" s="368">
        <f t="shared" si="54"/>
        <v>79855.438269869192</v>
      </c>
      <c r="P246" s="368">
        <f t="shared" si="54"/>
        <v>84883.136663339799</v>
      </c>
      <c r="Q246" s="368">
        <f t="shared" si="54"/>
        <v>90227.378947664285</v>
      </c>
      <c r="R246" s="368">
        <f t="shared" si="54"/>
        <v>95908.09472620883</v>
      </c>
      <c r="S246" s="368">
        <f t="shared" si="54"/>
        <v>101946.46837017126</v>
      </c>
      <c r="T246" s="368">
        <f t="shared" si="54"/>
        <v>108365.01801875676</v>
      </c>
      <c r="U246" s="368">
        <f t="shared" si="54"/>
        <v>115187.67955321772</v>
      </c>
      <c r="V246" s="368">
        <f t="shared" si="54"/>
        <v>122439.89585788874</v>
      </c>
      <c r="W246" s="368">
        <f t="shared" si="54"/>
        <v>130148.71170110139</v>
      </c>
      <c r="X246" s="368">
        <f t="shared" si="54"/>
        <v>138342.8745898027</v>
      </c>
      <c r="Y246" s="368">
        <f t="shared" si="54"/>
        <v>147052.94197397679</v>
      </c>
    </row>
    <row r="247" spans="2:25">
      <c r="B247" s="88"/>
      <c r="C247" s="79"/>
      <c r="D247" s="79"/>
      <c r="E247" s="367"/>
      <c r="F247" s="367"/>
      <c r="G247" s="367"/>
      <c r="H247" s="367"/>
      <c r="I247" s="367"/>
      <c r="J247" s="368"/>
      <c r="K247" s="368"/>
      <c r="L247" s="368"/>
      <c r="M247" s="368"/>
      <c r="N247" s="368"/>
      <c r="O247" s="368"/>
      <c r="P247" s="368"/>
      <c r="Q247" s="368"/>
      <c r="R247" s="368"/>
      <c r="S247" s="368"/>
      <c r="T247" s="368"/>
      <c r="U247" s="368"/>
      <c r="V247" s="368"/>
      <c r="W247" s="368"/>
      <c r="X247" s="368"/>
      <c r="Y247" s="368"/>
    </row>
    <row r="248" spans="2:25">
      <c r="B248" s="88"/>
      <c r="C248" s="79" t="s">
        <v>159</v>
      </c>
      <c r="D248" s="79"/>
      <c r="E248" s="367">
        <f t="shared" ref="E248:Y248" si="55">+E239+E241+E246</f>
        <v>1891369.125</v>
      </c>
      <c r="F248" s="367">
        <f t="shared" si="55"/>
        <v>1175935.7341819555</v>
      </c>
      <c r="G248" s="367">
        <f t="shared" si="55"/>
        <v>633297.57763428416</v>
      </c>
      <c r="H248" s="367">
        <f t="shared" si="55"/>
        <v>658265.79990294226</v>
      </c>
      <c r="I248" s="367">
        <f t="shared" si="55"/>
        <v>682046.4390779098</v>
      </c>
      <c r="J248" s="368">
        <f t="shared" si="55"/>
        <v>717081.46325752977</v>
      </c>
      <c r="K248" s="368">
        <f t="shared" si="55"/>
        <v>706605.07708819048</v>
      </c>
      <c r="L248" s="368">
        <f t="shared" si="55"/>
        <v>747161.46152575663</v>
      </c>
      <c r="M248" s="368">
        <f t="shared" si="55"/>
        <v>792313.94714341755</v>
      </c>
      <c r="N248" s="368">
        <f t="shared" si="55"/>
        <v>840309.2332555668</v>
      </c>
      <c r="O248" s="368">
        <f t="shared" si="55"/>
        <v>891326.30258133775</v>
      </c>
      <c r="P248" s="368">
        <f t="shared" si="55"/>
        <v>915555.40659185895</v>
      </c>
      <c r="Q248" s="368">
        <f t="shared" si="55"/>
        <v>973198.77499088272</v>
      </c>
      <c r="R248" s="368">
        <f t="shared" si="55"/>
        <v>1034471.3698643094</v>
      </c>
      <c r="S248" s="368">
        <f t="shared" si="55"/>
        <v>1099601.6873109667</v>
      </c>
      <c r="T248" s="368">
        <f t="shared" si="55"/>
        <v>1168832.6095440655</v>
      </c>
      <c r="U248" s="368">
        <f t="shared" si="55"/>
        <v>1242422.3106409595</v>
      </c>
      <c r="V248" s="368">
        <f t="shared" si="55"/>
        <v>1320645.2193189147</v>
      </c>
      <c r="W248" s="368">
        <f t="shared" si="55"/>
        <v>1403793.0423272334</v>
      </c>
      <c r="X248" s="368">
        <f t="shared" si="55"/>
        <v>1492175.8522721566</v>
      </c>
      <c r="Y248" s="368">
        <f t="shared" si="55"/>
        <v>1586123.2439312087</v>
      </c>
    </row>
    <row r="249" spans="2:25">
      <c r="B249" s="88"/>
      <c r="C249" s="79"/>
      <c r="D249" s="79"/>
      <c r="E249" s="367"/>
      <c r="F249" s="367"/>
      <c r="G249" s="367"/>
      <c r="H249" s="367"/>
      <c r="I249" s="367"/>
      <c r="J249" s="368"/>
      <c r="K249" s="368"/>
      <c r="L249" s="368"/>
      <c r="M249" s="368"/>
      <c r="N249" s="368"/>
      <c r="O249" s="368"/>
      <c r="P249" s="368"/>
      <c r="Q249" s="368"/>
      <c r="R249" s="368"/>
      <c r="S249" s="368"/>
      <c r="T249" s="368"/>
      <c r="U249" s="368"/>
      <c r="V249" s="368"/>
      <c r="W249" s="368"/>
      <c r="X249" s="368"/>
      <c r="Y249" s="368"/>
    </row>
    <row r="250" spans="2:25">
      <c r="B250" s="88"/>
      <c r="C250" s="66" t="s">
        <v>160</v>
      </c>
      <c r="D250" s="79"/>
      <c r="E250" s="363"/>
      <c r="F250" s="363">
        <f t="shared" ref="F250:Y250" si="56">IF((F248-F282+E292)&lt;D172,D172-(F248-F282+E292),0)</f>
        <v>0</v>
      </c>
      <c r="G250" s="363">
        <f t="shared" si="56"/>
        <v>0</v>
      </c>
      <c r="H250" s="363">
        <f t="shared" si="56"/>
        <v>0</v>
      </c>
      <c r="I250" s="363">
        <f t="shared" si="56"/>
        <v>0</v>
      </c>
      <c r="J250" s="358">
        <f t="shared" si="56"/>
        <v>0</v>
      </c>
      <c r="K250" s="358">
        <f t="shared" si="56"/>
        <v>0</v>
      </c>
      <c r="L250" s="358">
        <f t="shared" si="56"/>
        <v>0</v>
      </c>
      <c r="M250" s="358">
        <f t="shared" si="56"/>
        <v>0</v>
      </c>
      <c r="N250" s="358">
        <f t="shared" si="56"/>
        <v>0</v>
      </c>
      <c r="O250" s="358">
        <f t="shared" si="56"/>
        <v>0</v>
      </c>
      <c r="P250" s="358">
        <f t="shared" si="56"/>
        <v>0</v>
      </c>
      <c r="Q250" s="358">
        <f t="shared" si="56"/>
        <v>0</v>
      </c>
      <c r="R250" s="358">
        <f t="shared" si="56"/>
        <v>0</v>
      </c>
      <c r="S250" s="358">
        <f t="shared" si="56"/>
        <v>0</v>
      </c>
      <c r="T250" s="358">
        <f t="shared" si="56"/>
        <v>0</v>
      </c>
      <c r="U250" s="358">
        <f t="shared" si="56"/>
        <v>0</v>
      </c>
      <c r="V250" s="358">
        <f t="shared" si="56"/>
        <v>0</v>
      </c>
      <c r="W250" s="358">
        <f t="shared" si="56"/>
        <v>0</v>
      </c>
      <c r="X250" s="358">
        <f t="shared" si="56"/>
        <v>0</v>
      </c>
      <c r="Y250" s="358">
        <f t="shared" si="56"/>
        <v>0</v>
      </c>
    </row>
    <row r="251" spans="2:25">
      <c r="B251" s="91"/>
      <c r="E251" s="363"/>
      <c r="F251" s="363"/>
      <c r="G251" s="363"/>
      <c r="H251" s="363"/>
      <c r="I251" s="363"/>
      <c r="J251" s="358"/>
      <c r="K251" s="358"/>
      <c r="L251" s="358"/>
      <c r="M251" s="358"/>
      <c r="N251" s="358"/>
      <c r="O251" s="358"/>
      <c r="P251" s="358"/>
      <c r="Q251" s="358"/>
      <c r="R251" s="358"/>
      <c r="S251" s="358"/>
      <c r="T251" s="358"/>
      <c r="U251" s="358"/>
      <c r="V251" s="358"/>
      <c r="W251" s="358"/>
      <c r="X251" s="358"/>
      <c r="Y251" s="358"/>
    </row>
    <row r="252" spans="2:25">
      <c r="B252" s="219" t="s">
        <v>161</v>
      </c>
      <c r="C252" s="220"/>
      <c r="D252" s="220"/>
      <c r="E252" s="381">
        <f t="shared" ref="E252:Y252" si="57">+E248+E250</f>
        <v>1891369.125</v>
      </c>
      <c r="F252" s="381">
        <f t="shared" si="57"/>
        <v>1175935.7341819555</v>
      </c>
      <c r="G252" s="381">
        <f t="shared" si="57"/>
        <v>633297.57763428416</v>
      </c>
      <c r="H252" s="381">
        <f t="shared" si="57"/>
        <v>658265.79990294226</v>
      </c>
      <c r="I252" s="381">
        <f t="shared" si="57"/>
        <v>682046.4390779098</v>
      </c>
      <c r="J252" s="382">
        <f t="shared" si="57"/>
        <v>717081.46325752977</v>
      </c>
      <c r="K252" s="382">
        <f t="shared" si="57"/>
        <v>706605.07708819048</v>
      </c>
      <c r="L252" s="382">
        <f t="shared" si="57"/>
        <v>747161.46152575663</v>
      </c>
      <c r="M252" s="382">
        <f t="shared" si="57"/>
        <v>792313.94714341755</v>
      </c>
      <c r="N252" s="382">
        <f t="shared" si="57"/>
        <v>840309.2332555668</v>
      </c>
      <c r="O252" s="382">
        <f t="shared" si="57"/>
        <v>891326.30258133775</v>
      </c>
      <c r="P252" s="382">
        <f t="shared" si="57"/>
        <v>915555.40659185895</v>
      </c>
      <c r="Q252" s="382">
        <f t="shared" si="57"/>
        <v>973198.77499088272</v>
      </c>
      <c r="R252" s="382">
        <f t="shared" si="57"/>
        <v>1034471.3698643094</v>
      </c>
      <c r="S252" s="382">
        <f t="shared" si="57"/>
        <v>1099601.6873109667</v>
      </c>
      <c r="T252" s="382">
        <f t="shared" si="57"/>
        <v>1168832.6095440655</v>
      </c>
      <c r="U252" s="382">
        <f t="shared" si="57"/>
        <v>1242422.3106409595</v>
      </c>
      <c r="V252" s="382">
        <f t="shared" si="57"/>
        <v>1320645.2193189147</v>
      </c>
      <c r="W252" s="382">
        <f t="shared" si="57"/>
        <v>1403793.0423272334</v>
      </c>
      <c r="X252" s="382">
        <f t="shared" si="57"/>
        <v>1492175.8522721566</v>
      </c>
      <c r="Y252" s="382">
        <f t="shared" si="57"/>
        <v>1586123.2439312087</v>
      </c>
    </row>
    <row r="253" spans="2:25">
      <c r="B253" s="90" t="s">
        <v>162</v>
      </c>
      <c r="E253" s="363"/>
      <c r="F253" s="363"/>
      <c r="G253" s="363"/>
      <c r="H253" s="363"/>
      <c r="I253" s="363"/>
      <c r="J253" s="358"/>
      <c r="K253" s="358"/>
      <c r="L253" s="358"/>
      <c r="M253" s="358"/>
      <c r="N253" s="358"/>
      <c r="O253" s="358"/>
      <c r="P253" s="358"/>
      <c r="Q253" s="358"/>
      <c r="R253" s="358"/>
      <c r="S253" s="358"/>
      <c r="T253" s="358"/>
      <c r="U253" s="358"/>
      <c r="V253" s="358"/>
      <c r="W253" s="358"/>
      <c r="X253" s="358"/>
      <c r="Y253" s="358"/>
    </row>
    <row r="254" spans="2:25">
      <c r="B254" s="91"/>
      <c r="C254" s="221" t="s">
        <v>163</v>
      </c>
      <c r="E254" s="363"/>
      <c r="F254" s="363"/>
      <c r="G254" s="363"/>
      <c r="H254" s="363"/>
      <c r="I254" s="363"/>
      <c r="J254" s="358"/>
      <c r="K254" s="358"/>
      <c r="L254" s="358"/>
      <c r="M254" s="358"/>
      <c r="N254" s="358"/>
      <c r="O254" s="358"/>
      <c r="P254" s="358"/>
      <c r="Q254" s="358"/>
      <c r="R254" s="358"/>
      <c r="S254" s="358"/>
      <c r="T254" s="358"/>
      <c r="U254" s="358"/>
      <c r="V254" s="358"/>
      <c r="W254" s="358"/>
      <c r="X254" s="358"/>
      <c r="Y254" s="358"/>
    </row>
    <row r="255" spans="2:25">
      <c r="B255" s="91"/>
      <c r="C255" s="218" t="s">
        <v>164</v>
      </c>
      <c r="E255" s="363"/>
      <c r="F255" s="363"/>
      <c r="G255" s="363"/>
      <c r="H255" s="363"/>
      <c r="I255" s="363"/>
      <c r="J255" s="358"/>
      <c r="K255" s="358"/>
      <c r="L255" s="358"/>
      <c r="M255" s="358"/>
      <c r="N255" s="358"/>
      <c r="O255" s="358"/>
      <c r="P255" s="358"/>
      <c r="Q255" s="358"/>
      <c r="R255" s="358"/>
      <c r="S255" s="358"/>
      <c r="T255" s="358"/>
      <c r="U255" s="358"/>
      <c r="V255" s="358"/>
      <c r="W255" s="358"/>
      <c r="X255" s="358"/>
      <c r="Y255" s="358"/>
    </row>
    <row r="256" spans="2:25">
      <c r="B256" s="91"/>
      <c r="C256" s="66" t="s">
        <v>5</v>
      </c>
      <c r="E256" s="363">
        <f>+D8</f>
        <v>0</v>
      </c>
      <c r="F256" s="363"/>
      <c r="G256" s="363"/>
      <c r="H256" s="363"/>
      <c r="I256" s="363"/>
      <c r="J256" s="358"/>
      <c r="K256" s="358"/>
      <c r="L256" s="358"/>
      <c r="M256" s="358"/>
      <c r="N256" s="358"/>
      <c r="O256" s="358"/>
      <c r="P256" s="358"/>
      <c r="Q256" s="358"/>
      <c r="R256" s="358"/>
      <c r="S256" s="358"/>
      <c r="T256" s="358"/>
      <c r="U256" s="358"/>
      <c r="V256" s="358"/>
      <c r="W256" s="358"/>
      <c r="X256" s="358"/>
      <c r="Y256" s="358"/>
    </row>
    <row r="257" spans="2:25">
      <c r="B257" s="91"/>
      <c r="C257" s="66" t="s">
        <v>6</v>
      </c>
      <c r="E257" s="363">
        <f>+D9</f>
        <v>0</v>
      </c>
      <c r="F257" s="363"/>
      <c r="G257" s="363"/>
      <c r="H257" s="363"/>
      <c r="I257" s="363"/>
      <c r="J257" s="358"/>
      <c r="K257" s="358"/>
      <c r="L257" s="358"/>
      <c r="M257" s="358"/>
      <c r="N257" s="358"/>
      <c r="O257" s="358"/>
      <c r="P257" s="358"/>
      <c r="Q257" s="358"/>
      <c r="R257" s="358"/>
      <c r="S257" s="358"/>
      <c r="T257" s="358"/>
      <c r="U257" s="358"/>
      <c r="V257" s="358"/>
      <c r="W257" s="358"/>
      <c r="X257" s="358"/>
      <c r="Y257" s="358"/>
    </row>
    <row r="258" spans="2:25">
      <c r="B258" s="91"/>
      <c r="C258" s="66" t="s">
        <v>7</v>
      </c>
      <c r="E258" s="363">
        <f>+D10</f>
        <v>150000</v>
      </c>
      <c r="F258" s="363"/>
      <c r="G258" s="363"/>
      <c r="H258" s="363"/>
      <c r="I258" s="363"/>
      <c r="J258" s="358"/>
      <c r="K258" s="358"/>
      <c r="L258" s="358"/>
      <c r="M258" s="358"/>
      <c r="N258" s="358"/>
      <c r="O258" s="358"/>
      <c r="P258" s="358"/>
      <c r="Q258" s="358"/>
      <c r="R258" s="358"/>
      <c r="S258" s="358"/>
      <c r="T258" s="358"/>
      <c r="U258" s="358"/>
      <c r="V258" s="358"/>
      <c r="W258" s="358"/>
      <c r="X258" s="358"/>
      <c r="Y258" s="358"/>
    </row>
    <row r="259" spans="2:25">
      <c r="B259" s="91"/>
      <c r="C259" s="66" t="s">
        <v>8</v>
      </c>
      <c r="E259" s="363">
        <f>+D11</f>
        <v>150000</v>
      </c>
      <c r="F259" s="363"/>
      <c r="G259" s="363"/>
      <c r="H259" s="363"/>
      <c r="I259" s="363"/>
      <c r="J259" s="358"/>
      <c r="K259" s="358"/>
      <c r="L259" s="358"/>
      <c r="M259" s="358"/>
      <c r="N259" s="358"/>
      <c r="O259" s="358"/>
      <c r="P259" s="358"/>
      <c r="Q259" s="358"/>
      <c r="R259" s="358"/>
      <c r="S259" s="358"/>
      <c r="T259" s="358"/>
      <c r="U259" s="358"/>
      <c r="V259" s="358"/>
      <c r="W259" s="358"/>
      <c r="X259" s="358"/>
      <c r="Y259" s="358"/>
    </row>
    <row r="260" spans="2:25">
      <c r="B260" s="91"/>
      <c r="C260" s="66" t="s">
        <v>9</v>
      </c>
      <c r="E260" s="363">
        <f>+D12</f>
        <v>375000</v>
      </c>
      <c r="F260" s="363"/>
      <c r="G260" s="363"/>
      <c r="H260" s="363"/>
      <c r="I260" s="363"/>
      <c r="J260" s="358"/>
      <c r="K260" s="358"/>
      <c r="L260" s="358"/>
      <c r="M260" s="358"/>
      <c r="N260" s="358"/>
      <c r="O260" s="358"/>
      <c r="P260" s="358"/>
      <c r="Q260" s="358"/>
      <c r="R260" s="358"/>
      <c r="S260" s="358"/>
      <c r="T260" s="358"/>
      <c r="U260" s="358"/>
      <c r="V260" s="358"/>
      <c r="W260" s="358"/>
      <c r="X260" s="358"/>
      <c r="Y260" s="358"/>
    </row>
    <row r="261" spans="2:25">
      <c r="B261" s="91"/>
      <c r="C261" s="79" t="s">
        <v>165</v>
      </c>
      <c r="D261" s="79"/>
      <c r="E261" s="367">
        <f t="shared" ref="E261:Y261" si="58">SUM(E256:E260)</f>
        <v>675000</v>
      </c>
      <c r="F261" s="367">
        <f t="shared" si="58"/>
        <v>0</v>
      </c>
      <c r="G261" s="367">
        <f t="shared" si="58"/>
        <v>0</v>
      </c>
      <c r="H261" s="367">
        <f t="shared" si="58"/>
        <v>0</v>
      </c>
      <c r="I261" s="367">
        <f t="shared" si="58"/>
        <v>0</v>
      </c>
      <c r="J261" s="368">
        <f t="shared" si="58"/>
        <v>0</v>
      </c>
      <c r="K261" s="368">
        <f t="shared" si="58"/>
        <v>0</v>
      </c>
      <c r="L261" s="368">
        <f t="shared" si="58"/>
        <v>0</v>
      </c>
      <c r="M261" s="368">
        <f t="shared" si="58"/>
        <v>0</v>
      </c>
      <c r="N261" s="368">
        <f t="shared" si="58"/>
        <v>0</v>
      </c>
      <c r="O261" s="368">
        <f t="shared" si="58"/>
        <v>0</v>
      </c>
      <c r="P261" s="368">
        <f t="shared" si="58"/>
        <v>0</v>
      </c>
      <c r="Q261" s="368">
        <f t="shared" si="58"/>
        <v>0</v>
      </c>
      <c r="R261" s="368">
        <f t="shared" si="58"/>
        <v>0</v>
      </c>
      <c r="S261" s="368">
        <f t="shared" si="58"/>
        <v>0</v>
      </c>
      <c r="T261" s="368">
        <f t="shared" si="58"/>
        <v>0</v>
      </c>
      <c r="U261" s="368">
        <f t="shared" si="58"/>
        <v>0</v>
      </c>
      <c r="V261" s="368">
        <f t="shared" si="58"/>
        <v>0</v>
      </c>
      <c r="W261" s="368">
        <f t="shared" si="58"/>
        <v>0</v>
      </c>
      <c r="X261" s="368">
        <f t="shared" si="58"/>
        <v>0</v>
      </c>
      <c r="Y261" s="368">
        <f t="shared" si="58"/>
        <v>0</v>
      </c>
    </row>
    <row r="262" spans="2:25">
      <c r="B262" s="91"/>
      <c r="E262" s="363"/>
      <c r="F262" s="363"/>
      <c r="G262" s="363"/>
      <c r="H262" s="363"/>
      <c r="I262" s="363"/>
      <c r="J262" s="358"/>
      <c r="K262" s="358"/>
      <c r="L262" s="358"/>
      <c r="M262" s="358"/>
      <c r="N262" s="358"/>
      <c r="O262" s="358"/>
      <c r="P262" s="358"/>
      <c r="Q262" s="358"/>
      <c r="R262" s="358"/>
      <c r="S262" s="358"/>
      <c r="T262" s="358"/>
      <c r="U262" s="358"/>
      <c r="V262" s="358"/>
      <c r="W262" s="358"/>
      <c r="X262" s="358"/>
      <c r="Y262" s="358"/>
    </row>
    <row r="263" spans="2:25">
      <c r="B263" s="91"/>
      <c r="C263" s="218" t="s">
        <v>166</v>
      </c>
      <c r="E263" s="363"/>
      <c r="F263" s="363"/>
      <c r="G263" s="363"/>
      <c r="H263" s="363"/>
      <c r="I263" s="363"/>
      <c r="J263" s="358"/>
      <c r="K263" s="358"/>
      <c r="L263" s="358"/>
      <c r="M263" s="358"/>
      <c r="N263" s="358"/>
      <c r="O263" s="358"/>
      <c r="P263" s="358"/>
      <c r="Q263" s="358"/>
      <c r="R263" s="358"/>
      <c r="S263" s="358"/>
      <c r="T263" s="358"/>
      <c r="U263" s="358"/>
      <c r="V263" s="358"/>
      <c r="W263" s="358"/>
      <c r="X263" s="358"/>
      <c r="Y263" s="358"/>
    </row>
    <row r="264" spans="2:25">
      <c r="B264" s="91"/>
      <c r="C264" s="66" t="str">
        <f>+C139</f>
        <v>Cuentas por Cobrar</v>
      </c>
      <c r="D264" s="91"/>
      <c r="E264" s="363"/>
      <c r="F264" s="363">
        <f>+D139</f>
        <v>1091369.125</v>
      </c>
      <c r="G264" s="363">
        <f t="shared" ref="G264:Y265" si="59">+E139-D139</f>
        <v>150521.62972000008</v>
      </c>
      <c r="H264" s="363">
        <f t="shared" si="59"/>
        <v>120152.93051915988</v>
      </c>
      <c r="I264" s="363">
        <f t="shared" si="59"/>
        <v>99745.183157434221</v>
      </c>
      <c r="J264" s="358">
        <f t="shared" si="59"/>
        <v>98033.408670149278</v>
      </c>
      <c r="K264" s="358">
        <f t="shared" si="59"/>
        <v>101419.64445487969</v>
      </c>
      <c r="L264" s="358">
        <f t="shared" si="59"/>
        <v>104591.79137900146</v>
      </c>
      <c r="M264" s="358">
        <f t="shared" si="59"/>
        <v>111176.89056422329</v>
      </c>
      <c r="N264" s="358">
        <f t="shared" si="59"/>
        <v>118176.58759414707</v>
      </c>
      <c r="O264" s="358">
        <f t="shared" si="59"/>
        <v>125616.98554907436</v>
      </c>
      <c r="P264" s="358">
        <f t="shared" si="59"/>
        <v>133525.83095924417</v>
      </c>
      <c r="Q264" s="358">
        <f t="shared" si="59"/>
        <v>141932.61727643851</v>
      </c>
      <c r="R264" s="358">
        <f t="shared" si="59"/>
        <v>150868.69486016314</v>
      </c>
      <c r="S264" s="358">
        <f t="shared" si="59"/>
        <v>160367.38788855867</v>
      </c>
      <c r="T264" s="358">
        <f t="shared" si="59"/>
        <v>170464.11863002228</v>
      </c>
      <c r="U264" s="358">
        <f t="shared" si="59"/>
        <v>181196.53953896835</v>
      </c>
      <c r="V264" s="358">
        <f t="shared" si="59"/>
        <v>192604.67366834218</v>
      </c>
      <c r="W264" s="358">
        <f t="shared" si="59"/>
        <v>204731.0639225007</v>
      </c>
      <c r="X264" s="358">
        <f t="shared" si="59"/>
        <v>217620.93170706183</v>
      </c>
      <c r="Y264" s="358">
        <f t="shared" si="59"/>
        <v>231322.34556733817</v>
      </c>
    </row>
    <row r="265" spans="2:25">
      <c r="B265" s="91"/>
      <c r="C265" s="66" t="str">
        <f>+C140</f>
        <v>Inventarios</v>
      </c>
      <c r="E265" s="363"/>
      <c r="F265" s="363">
        <f>+D140</f>
        <v>0</v>
      </c>
      <c r="G265" s="363">
        <f t="shared" si="59"/>
        <v>0</v>
      </c>
      <c r="H265" s="363">
        <f t="shared" si="59"/>
        <v>0</v>
      </c>
      <c r="I265" s="363">
        <f t="shared" si="59"/>
        <v>0</v>
      </c>
      <c r="J265" s="358">
        <f t="shared" si="59"/>
        <v>0</v>
      </c>
      <c r="K265" s="358">
        <f t="shared" si="59"/>
        <v>0</v>
      </c>
      <c r="L265" s="358">
        <f t="shared" si="59"/>
        <v>0</v>
      </c>
      <c r="M265" s="358">
        <f t="shared" si="59"/>
        <v>0</v>
      </c>
      <c r="N265" s="358">
        <f t="shared" si="59"/>
        <v>0</v>
      </c>
      <c r="O265" s="358">
        <f t="shared" si="59"/>
        <v>0</v>
      </c>
      <c r="P265" s="358">
        <f t="shared" si="59"/>
        <v>0</v>
      </c>
      <c r="Q265" s="358">
        <f t="shared" si="59"/>
        <v>0</v>
      </c>
      <c r="R265" s="358">
        <f t="shared" si="59"/>
        <v>0</v>
      </c>
      <c r="S265" s="358">
        <f t="shared" si="59"/>
        <v>0</v>
      </c>
      <c r="T265" s="358">
        <f t="shared" si="59"/>
        <v>0</v>
      </c>
      <c r="U265" s="358">
        <f t="shared" si="59"/>
        <v>0</v>
      </c>
      <c r="V265" s="358">
        <f t="shared" si="59"/>
        <v>0</v>
      </c>
      <c r="W265" s="358">
        <f t="shared" si="59"/>
        <v>0</v>
      </c>
      <c r="X265" s="358">
        <f t="shared" si="59"/>
        <v>0</v>
      </c>
      <c r="Y265" s="358">
        <f t="shared" si="59"/>
        <v>0</v>
      </c>
    </row>
    <row r="266" spans="2:25">
      <c r="B266" s="91"/>
      <c r="E266" s="363"/>
      <c r="F266" s="363"/>
      <c r="G266" s="363"/>
      <c r="H266" s="363"/>
      <c r="I266" s="363"/>
      <c r="J266" s="358"/>
      <c r="K266" s="358"/>
      <c r="L266" s="358"/>
      <c r="M266" s="358"/>
      <c r="N266" s="358"/>
      <c r="O266" s="358"/>
      <c r="P266" s="358"/>
      <c r="Q266" s="358"/>
      <c r="R266" s="358"/>
      <c r="S266" s="358"/>
      <c r="T266" s="358"/>
      <c r="U266" s="358"/>
      <c r="V266" s="358"/>
      <c r="W266" s="358"/>
      <c r="X266" s="358"/>
      <c r="Y266" s="358"/>
    </row>
    <row r="267" spans="2:25">
      <c r="B267" s="91"/>
      <c r="C267" s="79" t="s">
        <v>167</v>
      </c>
      <c r="D267" s="79"/>
      <c r="E267" s="367">
        <f t="shared" ref="E267:Y267" si="60">SUM(E264:E266)</f>
        <v>0</v>
      </c>
      <c r="F267" s="367">
        <f>SUM(F264:F266)</f>
        <v>1091369.125</v>
      </c>
      <c r="G267" s="367">
        <f t="shared" si="60"/>
        <v>150521.62972000008</v>
      </c>
      <c r="H267" s="367">
        <f t="shared" si="60"/>
        <v>120152.93051915988</v>
      </c>
      <c r="I267" s="367">
        <f t="shared" si="60"/>
        <v>99745.183157434221</v>
      </c>
      <c r="J267" s="368">
        <f t="shared" si="60"/>
        <v>98033.408670149278</v>
      </c>
      <c r="K267" s="368">
        <f t="shared" si="60"/>
        <v>101419.64445487969</v>
      </c>
      <c r="L267" s="368">
        <f t="shared" si="60"/>
        <v>104591.79137900146</v>
      </c>
      <c r="M267" s="368">
        <f t="shared" si="60"/>
        <v>111176.89056422329</v>
      </c>
      <c r="N267" s="368">
        <f t="shared" si="60"/>
        <v>118176.58759414707</v>
      </c>
      <c r="O267" s="368">
        <f t="shared" si="60"/>
        <v>125616.98554907436</v>
      </c>
      <c r="P267" s="368">
        <f t="shared" si="60"/>
        <v>133525.83095924417</v>
      </c>
      <c r="Q267" s="368">
        <f t="shared" si="60"/>
        <v>141932.61727643851</v>
      </c>
      <c r="R267" s="368">
        <f t="shared" si="60"/>
        <v>150868.69486016314</v>
      </c>
      <c r="S267" s="368">
        <f t="shared" si="60"/>
        <v>160367.38788855867</v>
      </c>
      <c r="T267" s="368">
        <f t="shared" si="60"/>
        <v>170464.11863002228</v>
      </c>
      <c r="U267" s="368">
        <f t="shared" si="60"/>
        <v>181196.53953896835</v>
      </c>
      <c r="V267" s="368">
        <f t="shared" si="60"/>
        <v>192604.67366834218</v>
      </c>
      <c r="W267" s="368">
        <f t="shared" si="60"/>
        <v>204731.0639225007</v>
      </c>
      <c r="X267" s="368">
        <f t="shared" si="60"/>
        <v>217620.93170706183</v>
      </c>
      <c r="Y267" s="368">
        <f t="shared" si="60"/>
        <v>231322.34556733817</v>
      </c>
    </row>
    <row r="268" spans="2:25">
      <c r="B268" s="91"/>
      <c r="E268" s="363"/>
      <c r="F268" s="363"/>
      <c r="G268" s="363"/>
      <c r="H268" s="363"/>
      <c r="I268" s="363"/>
      <c r="J268" s="358"/>
      <c r="K268" s="358"/>
      <c r="L268" s="358"/>
      <c r="M268" s="358"/>
      <c r="N268" s="358"/>
      <c r="O268" s="358"/>
      <c r="P268" s="358"/>
      <c r="Q268" s="358"/>
      <c r="R268" s="358"/>
      <c r="S268" s="358"/>
      <c r="T268" s="358"/>
      <c r="U268" s="358"/>
      <c r="V268" s="358"/>
      <c r="W268" s="358"/>
      <c r="X268" s="358"/>
      <c r="Y268" s="358"/>
    </row>
    <row r="269" spans="2:25">
      <c r="B269" s="91"/>
      <c r="C269" s="66" t="s">
        <v>120</v>
      </c>
      <c r="E269" s="363">
        <f>+D19</f>
        <v>125000</v>
      </c>
      <c r="F269" s="363"/>
      <c r="G269" s="363"/>
      <c r="H269" s="363"/>
      <c r="I269" s="363"/>
      <c r="J269" s="358"/>
      <c r="K269" s="358"/>
      <c r="L269" s="358"/>
      <c r="M269" s="358"/>
      <c r="N269" s="358"/>
      <c r="O269" s="358"/>
      <c r="P269" s="358"/>
      <c r="Q269" s="358"/>
      <c r="R269" s="358"/>
      <c r="S269" s="358"/>
      <c r="T269" s="358"/>
      <c r="U269" s="358"/>
      <c r="V269" s="358"/>
      <c r="W269" s="358"/>
      <c r="X269" s="358"/>
      <c r="Y269" s="358"/>
    </row>
    <row r="270" spans="2:25">
      <c r="B270" s="91"/>
      <c r="E270" s="363"/>
      <c r="F270" s="363"/>
      <c r="G270" s="363"/>
      <c r="H270" s="363"/>
      <c r="I270" s="363"/>
      <c r="J270" s="358"/>
      <c r="K270" s="358"/>
      <c r="L270" s="358"/>
      <c r="M270" s="358"/>
      <c r="N270" s="358"/>
      <c r="O270" s="358"/>
      <c r="P270" s="358"/>
      <c r="Q270" s="358"/>
      <c r="R270" s="358"/>
      <c r="S270" s="358"/>
      <c r="T270" s="358"/>
      <c r="U270" s="358"/>
      <c r="V270" s="358"/>
      <c r="W270" s="358"/>
      <c r="X270" s="358"/>
      <c r="Y270" s="358"/>
    </row>
    <row r="271" spans="2:25">
      <c r="B271" s="91"/>
      <c r="C271" s="218" t="s">
        <v>168</v>
      </c>
      <c r="E271" s="363"/>
      <c r="F271" s="363"/>
      <c r="G271" s="363"/>
      <c r="H271" s="363"/>
      <c r="I271" s="363"/>
      <c r="J271" s="358"/>
      <c r="K271" s="358"/>
      <c r="L271" s="358"/>
      <c r="M271" s="358"/>
      <c r="N271" s="358"/>
      <c r="O271" s="358"/>
      <c r="P271" s="358"/>
      <c r="Q271" s="358"/>
      <c r="R271" s="358"/>
      <c r="S271" s="358"/>
      <c r="T271" s="358"/>
      <c r="U271" s="358"/>
      <c r="V271" s="358"/>
      <c r="W271" s="358"/>
      <c r="X271" s="358"/>
      <c r="Y271" s="358"/>
    </row>
    <row r="272" spans="2:25">
      <c r="B272" s="91"/>
      <c r="C272" s="66" t="s">
        <v>169</v>
      </c>
      <c r="E272" s="363"/>
      <c r="F272" s="363">
        <f t="shared" ref="F272:Y272" si="61">+F162</f>
        <v>0</v>
      </c>
      <c r="G272" s="363">
        <f t="shared" si="61"/>
        <v>0</v>
      </c>
      <c r="H272" s="363">
        <f t="shared" si="61"/>
        <v>0</v>
      </c>
      <c r="I272" s="363">
        <f t="shared" si="61"/>
        <v>0</v>
      </c>
      <c r="J272" s="358">
        <f t="shared" si="61"/>
        <v>0</v>
      </c>
      <c r="K272" s="358">
        <f t="shared" si="61"/>
        <v>0</v>
      </c>
      <c r="L272" s="358">
        <f t="shared" si="61"/>
        <v>0</v>
      </c>
      <c r="M272" s="358">
        <f t="shared" si="61"/>
        <v>0</v>
      </c>
      <c r="N272" s="358">
        <f t="shared" si="61"/>
        <v>0</v>
      </c>
      <c r="O272" s="358">
        <f t="shared" si="61"/>
        <v>0</v>
      </c>
      <c r="P272" s="358">
        <f t="shared" si="61"/>
        <v>0</v>
      </c>
      <c r="Q272" s="358">
        <f t="shared" si="61"/>
        <v>0</v>
      </c>
      <c r="R272" s="358">
        <f t="shared" si="61"/>
        <v>0</v>
      </c>
      <c r="S272" s="358">
        <f t="shared" si="61"/>
        <v>0</v>
      </c>
      <c r="T272" s="358">
        <f t="shared" si="61"/>
        <v>0</v>
      </c>
      <c r="U272" s="358">
        <f t="shared" si="61"/>
        <v>0</v>
      </c>
      <c r="V272" s="358">
        <f t="shared" si="61"/>
        <v>0</v>
      </c>
      <c r="W272" s="358">
        <f t="shared" si="61"/>
        <v>0</v>
      </c>
      <c r="X272" s="358">
        <f t="shared" si="61"/>
        <v>0</v>
      </c>
      <c r="Y272" s="358">
        <f t="shared" si="61"/>
        <v>0</v>
      </c>
    </row>
    <row r="273" spans="2:25">
      <c r="B273" s="91"/>
      <c r="C273" s="66" t="s">
        <v>170</v>
      </c>
      <c r="E273" s="363"/>
      <c r="F273" s="363"/>
      <c r="G273" s="363">
        <f t="shared" ref="G273:Y273" si="62">+F196</f>
        <v>123251.14241156795</v>
      </c>
      <c r="H273" s="363">
        <f t="shared" si="62"/>
        <v>142663.53997297154</v>
      </c>
      <c r="I273" s="363">
        <f t="shared" si="62"/>
        <v>158159.36246535659</v>
      </c>
      <c r="J273" s="358">
        <f t="shared" si="62"/>
        <v>171023.24889741928</v>
      </c>
      <c r="K273" s="358">
        <f t="shared" si="62"/>
        <v>183666.3720614757</v>
      </c>
      <c r="L273" s="358">
        <f t="shared" si="62"/>
        <v>214246.20957291327</v>
      </c>
      <c r="M273" s="358">
        <f t="shared" si="62"/>
        <v>227735.15092762397</v>
      </c>
      <c r="N273" s="358">
        <f t="shared" si="62"/>
        <v>242073.35603002677</v>
      </c>
      <c r="O273" s="358">
        <f t="shared" si="62"/>
        <v>257314.29452567725</v>
      </c>
      <c r="P273" s="358">
        <f t="shared" si="62"/>
        <v>273514.80250901397</v>
      </c>
      <c r="Q273" s="358">
        <f t="shared" si="62"/>
        <v>290735.29447498167</v>
      </c>
      <c r="R273" s="358">
        <f t="shared" si="62"/>
        <v>309039.98861512641</v>
      </c>
      <c r="S273" s="358">
        <f t="shared" si="62"/>
        <v>328497.14629833517</v>
      </c>
      <c r="T273" s="358">
        <f t="shared" si="62"/>
        <v>349179.32662927837</v>
      </c>
      <c r="U273" s="358">
        <f t="shared" si="62"/>
        <v>371163.65703385806</v>
      </c>
      <c r="V273" s="358">
        <f t="shared" si="62"/>
        <v>394532.12088070961</v>
      </c>
      <c r="W273" s="358">
        <f t="shared" si="62"/>
        <v>419371.86321135907</v>
      </c>
      <c r="X273" s="358">
        <f t="shared" si="62"/>
        <v>445775.51571914618</v>
      </c>
      <c r="Y273" s="358">
        <f t="shared" si="62"/>
        <v>473841.54218882386</v>
      </c>
    </row>
    <row r="274" spans="2:25">
      <c r="B274" s="91"/>
      <c r="C274" s="66" t="s">
        <v>171</v>
      </c>
      <c r="E274" s="363"/>
      <c r="F274" s="363">
        <f t="shared" ref="F274:Y274" si="63">+E250</f>
        <v>0</v>
      </c>
      <c r="G274" s="363">
        <f t="shared" si="63"/>
        <v>0</v>
      </c>
      <c r="H274" s="363">
        <f t="shared" si="63"/>
        <v>0</v>
      </c>
      <c r="I274" s="363">
        <f t="shared" si="63"/>
        <v>0</v>
      </c>
      <c r="J274" s="358">
        <f t="shared" si="63"/>
        <v>0</v>
      </c>
      <c r="K274" s="358">
        <f t="shared" si="63"/>
        <v>0</v>
      </c>
      <c r="L274" s="358">
        <f t="shared" si="63"/>
        <v>0</v>
      </c>
      <c r="M274" s="358">
        <f t="shared" si="63"/>
        <v>0</v>
      </c>
      <c r="N274" s="358">
        <f t="shared" si="63"/>
        <v>0</v>
      </c>
      <c r="O274" s="358">
        <f t="shared" si="63"/>
        <v>0</v>
      </c>
      <c r="P274" s="358">
        <f t="shared" si="63"/>
        <v>0</v>
      </c>
      <c r="Q274" s="358">
        <f t="shared" si="63"/>
        <v>0</v>
      </c>
      <c r="R274" s="358">
        <f t="shared" si="63"/>
        <v>0</v>
      </c>
      <c r="S274" s="358">
        <f t="shared" si="63"/>
        <v>0</v>
      </c>
      <c r="T274" s="358">
        <f t="shared" si="63"/>
        <v>0</v>
      </c>
      <c r="U274" s="358">
        <f t="shared" si="63"/>
        <v>0</v>
      </c>
      <c r="V274" s="358">
        <f t="shared" si="63"/>
        <v>0</v>
      </c>
      <c r="W274" s="358">
        <f t="shared" si="63"/>
        <v>0</v>
      </c>
      <c r="X274" s="358">
        <f t="shared" si="63"/>
        <v>0</v>
      </c>
      <c r="Y274" s="358">
        <f t="shared" si="63"/>
        <v>0</v>
      </c>
    </row>
    <row r="275" spans="2:25">
      <c r="B275" s="91"/>
      <c r="E275" s="363"/>
      <c r="F275" s="363"/>
      <c r="G275" s="363"/>
      <c r="H275" s="363"/>
      <c r="I275" s="363"/>
      <c r="J275" s="358"/>
      <c r="K275" s="358"/>
      <c r="L275" s="358"/>
      <c r="M275" s="358"/>
      <c r="N275" s="358"/>
      <c r="O275" s="358"/>
      <c r="P275" s="358"/>
      <c r="Q275" s="358"/>
      <c r="R275" s="358"/>
      <c r="S275" s="358"/>
      <c r="T275" s="358"/>
      <c r="U275" s="358"/>
      <c r="V275" s="358"/>
      <c r="W275" s="358"/>
      <c r="X275" s="358"/>
      <c r="Y275" s="358"/>
    </row>
    <row r="276" spans="2:25">
      <c r="B276" s="91"/>
      <c r="C276" s="79" t="s">
        <v>172</v>
      </c>
      <c r="D276" s="79"/>
      <c r="E276" s="367">
        <f t="shared" ref="E276:Y276" si="64">SUM(E272:E274)</f>
        <v>0</v>
      </c>
      <c r="F276" s="367">
        <f t="shared" si="64"/>
        <v>0</v>
      </c>
      <c r="G276" s="367">
        <f t="shared" si="64"/>
        <v>123251.14241156795</v>
      </c>
      <c r="H276" s="367">
        <f t="shared" si="64"/>
        <v>142663.53997297154</v>
      </c>
      <c r="I276" s="367">
        <f t="shared" si="64"/>
        <v>158159.36246535659</v>
      </c>
      <c r="J276" s="368">
        <f t="shared" si="64"/>
        <v>171023.24889741928</v>
      </c>
      <c r="K276" s="368">
        <f t="shared" si="64"/>
        <v>183666.3720614757</v>
      </c>
      <c r="L276" s="368">
        <f t="shared" si="64"/>
        <v>214246.20957291327</v>
      </c>
      <c r="M276" s="368">
        <f t="shared" si="64"/>
        <v>227735.15092762397</v>
      </c>
      <c r="N276" s="368">
        <f t="shared" si="64"/>
        <v>242073.35603002677</v>
      </c>
      <c r="O276" s="368">
        <f t="shared" si="64"/>
        <v>257314.29452567725</v>
      </c>
      <c r="P276" s="368">
        <f t="shared" si="64"/>
        <v>273514.80250901397</v>
      </c>
      <c r="Q276" s="368">
        <f t="shared" si="64"/>
        <v>290735.29447498167</v>
      </c>
      <c r="R276" s="368">
        <f t="shared" si="64"/>
        <v>309039.98861512641</v>
      </c>
      <c r="S276" s="368">
        <f t="shared" si="64"/>
        <v>328497.14629833517</v>
      </c>
      <c r="T276" s="368">
        <f t="shared" si="64"/>
        <v>349179.32662927837</v>
      </c>
      <c r="U276" s="368">
        <f t="shared" si="64"/>
        <v>371163.65703385806</v>
      </c>
      <c r="V276" s="368">
        <f t="shared" si="64"/>
        <v>394532.12088070961</v>
      </c>
      <c r="W276" s="368">
        <f t="shared" si="64"/>
        <v>419371.86321135907</v>
      </c>
      <c r="X276" s="368">
        <f t="shared" si="64"/>
        <v>445775.51571914618</v>
      </c>
      <c r="Y276" s="368">
        <f t="shared" si="64"/>
        <v>473841.54218882386</v>
      </c>
    </row>
    <row r="277" spans="2:25">
      <c r="B277" s="91"/>
      <c r="E277" s="363"/>
      <c r="F277" s="363"/>
      <c r="G277" s="363"/>
      <c r="H277" s="363"/>
      <c r="I277" s="363"/>
      <c r="J277" s="358"/>
      <c r="K277" s="358"/>
      <c r="L277" s="358"/>
      <c r="M277" s="358"/>
      <c r="N277" s="358"/>
      <c r="O277" s="358"/>
      <c r="P277" s="358"/>
      <c r="Q277" s="358"/>
      <c r="R277" s="358"/>
      <c r="S277" s="358"/>
      <c r="T277" s="358"/>
      <c r="U277" s="358"/>
      <c r="V277" s="358"/>
      <c r="W277" s="358"/>
      <c r="X277" s="358"/>
      <c r="Y277" s="358"/>
    </row>
    <row r="278" spans="2:25">
      <c r="B278" s="91"/>
      <c r="C278" s="66" t="s">
        <v>173</v>
      </c>
      <c r="E278" s="363">
        <v>0</v>
      </c>
      <c r="F278" s="363">
        <f t="shared" ref="F278:Y278" si="65">+F192</f>
        <v>0</v>
      </c>
      <c r="G278" s="363">
        <f t="shared" si="65"/>
        <v>0</v>
      </c>
      <c r="H278" s="363">
        <f t="shared" si="65"/>
        <v>0</v>
      </c>
      <c r="I278" s="363">
        <f t="shared" si="65"/>
        <v>0</v>
      </c>
      <c r="J278" s="358">
        <f t="shared" si="65"/>
        <v>0</v>
      </c>
      <c r="K278" s="358">
        <f t="shared" si="65"/>
        <v>0</v>
      </c>
      <c r="L278" s="358">
        <f t="shared" si="65"/>
        <v>0</v>
      </c>
      <c r="M278" s="358">
        <f t="shared" si="65"/>
        <v>0</v>
      </c>
      <c r="N278" s="358">
        <f t="shared" si="65"/>
        <v>0</v>
      </c>
      <c r="O278" s="358">
        <f t="shared" si="65"/>
        <v>0</v>
      </c>
      <c r="P278" s="358">
        <f t="shared" si="65"/>
        <v>0</v>
      </c>
      <c r="Q278" s="358">
        <f t="shared" si="65"/>
        <v>0</v>
      </c>
      <c r="R278" s="358">
        <f t="shared" si="65"/>
        <v>0</v>
      </c>
      <c r="S278" s="358">
        <f t="shared" si="65"/>
        <v>0</v>
      </c>
      <c r="T278" s="358">
        <f t="shared" si="65"/>
        <v>0</v>
      </c>
      <c r="U278" s="358">
        <f t="shared" si="65"/>
        <v>0</v>
      </c>
      <c r="V278" s="358">
        <f t="shared" si="65"/>
        <v>0</v>
      </c>
      <c r="W278" s="358">
        <f t="shared" si="65"/>
        <v>0</v>
      </c>
      <c r="X278" s="358">
        <f t="shared" si="65"/>
        <v>0</v>
      </c>
      <c r="Y278" s="358">
        <f t="shared" si="65"/>
        <v>0</v>
      </c>
    </row>
    <row r="279" spans="2:25">
      <c r="B279" s="91"/>
      <c r="E279" s="363"/>
      <c r="F279" s="363"/>
      <c r="G279" s="363"/>
      <c r="H279" s="363"/>
      <c r="I279" s="363"/>
      <c r="J279" s="358"/>
      <c r="K279" s="358"/>
      <c r="L279" s="358"/>
      <c r="M279" s="358"/>
      <c r="N279" s="358"/>
      <c r="O279" s="358"/>
      <c r="P279" s="358"/>
      <c r="Q279" s="358"/>
      <c r="R279" s="358"/>
      <c r="S279" s="358"/>
      <c r="T279" s="358"/>
      <c r="U279" s="358"/>
      <c r="V279" s="358"/>
      <c r="W279" s="358"/>
      <c r="X279" s="358"/>
      <c r="Y279" s="358"/>
    </row>
    <row r="280" spans="2:25">
      <c r="B280" s="91"/>
      <c r="C280" s="66" t="s">
        <v>174</v>
      </c>
      <c r="D280" s="222"/>
      <c r="E280" s="363">
        <v>0</v>
      </c>
      <c r="F280" s="363">
        <v>0</v>
      </c>
      <c r="G280" s="363">
        <f>IF(F198&gt;0,F198*Bases!$G$116,0)</f>
        <v>22889.497876434052</v>
      </c>
      <c r="H280" s="363">
        <f>IF(G198&gt;0,G198*Bases!$G$116,0)</f>
        <v>26494.65742355186</v>
      </c>
      <c r="I280" s="363">
        <f>IF(H198&gt;0,H198*Bases!$G$116,0)</f>
        <v>29372.453029280518</v>
      </c>
      <c r="J280" s="358">
        <f>IF(I198&gt;0,I198*Bases!$G$116,0)</f>
        <v>31761.460509520723</v>
      </c>
      <c r="K280" s="358">
        <f>IF(J198&gt;0,J198*Bases!$G$116,0)</f>
        <v>34109.469097131208</v>
      </c>
      <c r="L280" s="358">
        <f>IF(K198&gt;0,K198*Bases!$G$116,0)</f>
        <v>39788.581777826759</v>
      </c>
      <c r="M280" s="358">
        <f>IF(L198&gt;0,L198*Bases!$G$116,0)</f>
        <v>42293.670886558742</v>
      </c>
      <c r="N280" s="358">
        <f>IF(M198&gt;0,M198*Bases!$G$116,0)</f>
        <v>44956.480405576403</v>
      </c>
      <c r="O280" s="358">
        <f>IF(N198&gt;0,N198*Bases!$G$116,0)</f>
        <v>47786.940411911499</v>
      </c>
      <c r="P280" s="358">
        <f>IF(O198&gt;0,O198*Bases!$G$116,0)</f>
        <v>50795.606180245464</v>
      </c>
      <c r="Q280" s="358">
        <f>IF(P198&gt;0,P198*Bases!$G$116,0)</f>
        <v>53993.697545353745</v>
      </c>
      <c r="R280" s="358">
        <f>IF(Q198&gt;0,Q198*Bases!$G$116,0)</f>
        <v>57393.140742809213</v>
      </c>
      <c r="S280" s="358">
        <f>IF(R198&gt;0,R198*Bases!$G$116,0)</f>
        <v>61006.612883976544</v>
      </c>
      <c r="T280" s="358">
        <f>IF(S198&gt;0,S198*Bases!$G$116,0)</f>
        <v>64847.589231151709</v>
      </c>
      <c r="U280" s="358">
        <f>IF(T198&gt;0,T198*Bases!$G$116,0)</f>
        <v>68930.393449145064</v>
      </c>
      <c r="V280" s="358">
        <f>IF(U198&gt;0,U198*Bases!$G$116,0)</f>
        <v>73270.251020703217</v>
      </c>
      <c r="W280" s="358">
        <f>IF(V198&gt;0,V198*Bases!$G$116,0)</f>
        <v>77883.346024966682</v>
      </c>
      <c r="X280" s="358">
        <f>IF(W198&gt;0,W198*Bases!$G$116,0)</f>
        <v>82786.881490698579</v>
      </c>
      <c r="Y280" s="358">
        <f>IF(X198&gt;0,X198*Bases!$G$116,0)</f>
        <v>87999.143549353001</v>
      </c>
    </row>
    <row r="281" spans="2:25">
      <c r="B281" s="91"/>
      <c r="D281" s="222"/>
      <c r="E281" s="363"/>
      <c r="F281" s="363"/>
      <c r="G281" s="363"/>
      <c r="H281" s="363"/>
      <c r="I281" s="363"/>
      <c r="J281" s="358"/>
      <c r="K281" s="358"/>
      <c r="L281" s="358"/>
      <c r="M281" s="358"/>
      <c r="N281" s="358"/>
      <c r="O281" s="358"/>
      <c r="P281" s="358"/>
      <c r="Q281" s="358"/>
      <c r="R281" s="358"/>
      <c r="S281" s="358"/>
      <c r="T281" s="358"/>
      <c r="U281" s="358"/>
      <c r="V281" s="358"/>
      <c r="W281" s="358"/>
      <c r="X281" s="358"/>
      <c r="Y281" s="358"/>
    </row>
    <row r="282" spans="2:25">
      <c r="B282" s="91"/>
      <c r="C282" s="79" t="s">
        <v>175</v>
      </c>
      <c r="D282" s="223"/>
      <c r="E282" s="367">
        <f t="shared" ref="E282:Y282" si="66">+E261+E267+E269+E276+E278+E280</f>
        <v>800000</v>
      </c>
      <c r="F282" s="367">
        <f t="shared" si="66"/>
        <v>1091369.125</v>
      </c>
      <c r="G282" s="367">
        <f t="shared" si="66"/>
        <v>296662.27000800212</v>
      </c>
      <c r="H282" s="367">
        <f t="shared" si="66"/>
        <v>289311.12791568326</v>
      </c>
      <c r="I282" s="367">
        <f t="shared" si="66"/>
        <v>287276.99865207134</v>
      </c>
      <c r="J282" s="368">
        <f t="shared" si="66"/>
        <v>300818.11807708931</v>
      </c>
      <c r="K282" s="368">
        <f t="shared" si="66"/>
        <v>319195.48561348661</v>
      </c>
      <c r="L282" s="368">
        <f t="shared" si="66"/>
        <v>358626.58272974147</v>
      </c>
      <c r="M282" s="368">
        <f t="shared" si="66"/>
        <v>381205.71237840597</v>
      </c>
      <c r="N282" s="368">
        <f t="shared" si="66"/>
        <v>405206.42402975028</v>
      </c>
      <c r="O282" s="368">
        <f t="shared" si="66"/>
        <v>430718.22048666311</v>
      </c>
      <c r="P282" s="368">
        <f t="shared" si="66"/>
        <v>457836.2396485036</v>
      </c>
      <c r="Q282" s="368">
        <f t="shared" si="66"/>
        <v>486661.60929677391</v>
      </c>
      <c r="R282" s="368">
        <f t="shared" si="66"/>
        <v>517301.82421809877</v>
      </c>
      <c r="S282" s="368">
        <f t="shared" si="66"/>
        <v>549871.14707087039</v>
      </c>
      <c r="T282" s="368">
        <f t="shared" si="66"/>
        <v>584491.03449045238</v>
      </c>
      <c r="U282" s="368">
        <f t="shared" si="66"/>
        <v>621290.5900219715</v>
      </c>
      <c r="V282" s="368">
        <f t="shared" si="66"/>
        <v>660407.04556975502</v>
      </c>
      <c r="W282" s="368">
        <f t="shared" si="66"/>
        <v>701986.27315882652</v>
      </c>
      <c r="X282" s="368">
        <f t="shared" si="66"/>
        <v>746183.32891690661</v>
      </c>
      <c r="Y282" s="368">
        <f t="shared" si="66"/>
        <v>793163.03130551509</v>
      </c>
    </row>
    <row r="283" spans="2:25">
      <c r="B283" s="91"/>
      <c r="D283" s="222"/>
      <c r="E283" s="363"/>
      <c r="F283" s="363"/>
      <c r="G283" s="363"/>
      <c r="H283" s="363"/>
      <c r="I283" s="363"/>
      <c r="J283" s="358"/>
      <c r="K283" s="358"/>
      <c r="L283" s="358"/>
      <c r="M283" s="358"/>
      <c r="N283" s="358"/>
      <c r="O283" s="358"/>
      <c r="P283" s="358"/>
      <c r="Q283" s="358"/>
      <c r="R283" s="358"/>
      <c r="S283" s="358"/>
      <c r="T283" s="358"/>
      <c r="U283" s="358"/>
      <c r="V283" s="358"/>
      <c r="W283" s="358"/>
      <c r="X283" s="358"/>
      <c r="Y283" s="358"/>
    </row>
    <row r="284" spans="2:25">
      <c r="B284" s="91"/>
      <c r="C284" s="66" t="s">
        <v>176</v>
      </c>
      <c r="D284" s="222"/>
      <c r="E284" s="363"/>
      <c r="F284" s="363">
        <f>E381*Bases!$F$33</f>
        <v>0</v>
      </c>
      <c r="G284" s="363">
        <f>F381*Bases!$F$33</f>
        <v>0</v>
      </c>
      <c r="H284" s="363">
        <f>G381*Bases!$F$33</f>
        <v>0</v>
      </c>
      <c r="I284" s="363">
        <f>H381*Bases!$F$33</f>
        <v>0</v>
      </c>
      <c r="J284" s="358">
        <f>I381*Bases!$F$33</f>
        <v>0</v>
      </c>
      <c r="K284" s="358">
        <f>J381*Bases!$F$33</f>
        <v>0</v>
      </c>
      <c r="L284" s="358">
        <f>K381*Bases!$F$33</f>
        <v>0</v>
      </c>
      <c r="M284" s="358">
        <f>L381*Bases!$F$33</f>
        <v>0</v>
      </c>
      <c r="N284" s="358">
        <f>M381*Bases!$F$33</f>
        <v>0</v>
      </c>
      <c r="O284" s="358">
        <f>N381*Bases!$F$33</f>
        <v>0</v>
      </c>
      <c r="P284" s="358">
        <f>O381*Bases!$F$33</f>
        <v>0</v>
      </c>
      <c r="Q284" s="358">
        <f>P381*Bases!$F$33</f>
        <v>0</v>
      </c>
      <c r="R284" s="358">
        <f>Q381*Bases!$F$33</f>
        <v>0</v>
      </c>
      <c r="S284" s="358">
        <f>R381*Bases!$F$33</f>
        <v>0</v>
      </c>
      <c r="T284" s="358">
        <f>S381*Bases!$F$33</f>
        <v>0</v>
      </c>
      <c r="U284" s="358">
        <f>T381*Bases!$F$33</f>
        <v>0</v>
      </c>
      <c r="V284" s="358">
        <f>U381*Bases!$F$33</f>
        <v>0</v>
      </c>
      <c r="W284" s="358">
        <f>V381*Bases!$F$33</f>
        <v>0</v>
      </c>
      <c r="X284" s="358">
        <f>W381*Bases!$F$33</f>
        <v>0</v>
      </c>
      <c r="Y284" s="358">
        <f>X381*Bases!$F$33</f>
        <v>0</v>
      </c>
    </row>
    <row r="285" spans="2:25">
      <c r="B285" s="91"/>
      <c r="D285" s="222"/>
      <c r="E285" s="363"/>
      <c r="F285" s="363"/>
      <c r="G285" s="363"/>
      <c r="H285" s="363"/>
      <c r="I285" s="363"/>
      <c r="J285" s="358"/>
      <c r="K285" s="358"/>
      <c r="L285" s="358"/>
      <c r="M285" s="358"/>
      <c r="N285" s="358"/>
      <c r="O285" s="358"/>
      <c r="P285" s="358"/>
      <c r="Q285" s="358"/>
      <c r="R285" s="358"/>
      <c r="S285" s="358"/>
      <c r="T285" s="358"/>
      <c r="U285" s="358"/>
      <c r="V285" s="358"/>
      <c r="W285" s="358"/>
      <c r="X285" s="358"/>
      <c r="Y285" s="358"/>
    </row>
    <row r="286" spans="2:25">
      <c r="B286" s="224" t="s">
        <v>177</v>
      </c>
      <c r="C286" s="225"/>
      <c r="D286" s="225"/>
      <c r="E286" s="383">
        <f t="shared" ref="E286:Y286" si="67">+E282+E284</f>
        <v>800000</v>
      </c>
      <c r="F286" s="383">
        <f t="shared" si="67"/>
        <v>1091369.125</v>
      </c>
      <c r="G286" s="383">
        <f t="shared" si="67"/>
        <v>296662.27000800212</v>
      </c>
      <c r="H286" s="383">
        <f t="shared" si="67"/>
        <v>289311.12791568326</v>
      </c>
      <c r="I286" s="383">
        <f t="shared" si="67"/>
        <v>287276.99865207134</v>
      </c>
      <c r="J286" s="368">
        <f t="shared" si="67"/>
        <v>300818.11807708931</v>
      </c>
      <c r="K286" s="368">
        <f t="shared" si="67"/>
        <v>319195.48561348661</v>
      </c>
      <c r="L286" s="368">
        <f t="shared" si="67"/>
        <v>358626.58272974147</v>
      </c>
      <c r="M286" s="368">
        <f t="shared" si="67"/>
        <v>381205.71237840597</v>
      </c>
      <c r="N286" s="368">
        <f t="shared" si="67"/>
        <v>405206.42402975028</v>
      </c>
      <c r="O286" s="368">
        <f t="shared" si="67"/>
        <v>430718.22048666311</v>
      </c>
      <c r="P286" s="368">
        <f t="shared" si="67"/>
        <v>457836.2396485036</v>
      </c>
      <c r="Q286" s="368">
        <f t="shared" si="67"/>
        <v>486661.60929677391</v>
      </c>
      <c r="R286" s="368">
        <f t="shared" si="67"/>
        <v>517301.82421809877</v>
      </c>
      <c r="S286" s="368">
        <f t="shared" si="67"/>
        <v>549871.14707087039</v>
      </c>
      <c r="T286" s="368">
        <f t="shared" si="67"/>
        <v>584491.03449045238</v>
      </c>
      <c r="U286" s="368">
        <f t="shared" si="67"/>
        <v>621290.5900219715</v>
      </c>
      <c r="V286" s="368">
        <f t="shared" si="67"/>
        <v>660407.04556975502</v>
      </c>
      <c r="W286" s="368">
        <f t="shared" si="67"/>
        <v>701986.27315882652</v>
      </c>
      <c r="X286" s="368">
        <f t="shared" si="67"/>
        <v>746183.32891690661</v>
      </c>
      <c r="Y286" s="368">
        <f t="shared" si="67"/>
        <v>793163.03130551509</v>
      </c>
    </row>
    <row r="287" spans="2:25">
      <c r="B287" s="91"/>
      <c r="E287" s="363"/>
      <c r="F287" s="363"/>
      <c r="G287" s="363"/>
      <c r="H287" s="363"/>
      <c r="I287" s="363"/>
      <c r="J287" s="358"/>
      <c r="K287" s="358"/>
      <c r="L287" s="358"/>
      <c r="M287" s="358"/>
      <c r="N287" s="358"/>
      <c r="O287" s="358"/>
      <c r="P287" s="358"/>
      <c r="Q287" s="358"/>
      <c r="R287" s="358"/>
      <c r="S287" s="358"/>
      <c r="T287" s="358"/>
      <c r="U287" s="358"/>
      <c r="V287" s="358"/>
      <c r="W287" s="358"/>
      <c r="X287" s="358"/>
      <c r="Y287" s="358"/>
    </row>
    <row r="288" spans="2:25">
      <c r="B288" s="88" t="s">
        <v>178</v>
      </c>
      <c r="C288" s="79"/>
      <c r="D288" s="79"/>
      <c r="E288" s="367">
        <f t="shared" ref="E288:Y288" si="68">+E252-E282</f>
        <v>1091369.125</v>
      </c>
      <c r="F288" s="367">
        <f t="shared" si="68"/>
        <v>84566.609181955457</v>
      </c>
      <c r="G288" s="367">
        <f t="shared" si="68"/>
        <v>336635.30762628204</v>
      </c>
      <c r="H288" s="367">
        <f t="shared" si="68"/>
        <v>368954.671987259</v>
      </c>
      <c r="I288" s="367">
        <f t="shared" si="68"/>
        <v>394769.44042583846</v>
      </c>
      <c r="J288" s="368">
        <f t="shared" si="68"/>
        <v>416263.34518044046</v>
      </c>
      <c r="K288" s="368">
        <f t="shared" si="68"/>
        <v>387409.59147470386</v>
      </c>
      <c r="L288" s="368">
        <f t="shared" si="68"/>
        <v>388534.87879601517</v>
      </c>
      <c r="M288" s="368">
        <f t="shared" si="68"/>
        <v>411108.23476501158</v>
      </c>
      <c r="N288" s="368">
        <f t="shared" si="68"/>
        <v>435102.80922581651</v>
      </c>
      <c r="O288" s="368">
        <f t="shared" si="68"/>
        <v>460608.08209467464</v>
      </c>
      <c r="P288" s="368">
        <f t="shared" si="68"/>
        <v>457719.16694335535</v>
      </c>
      <c r="Q288" s="368">
        <f t="shared" si="68"/>
        <v>486537.16569410881</v>
      </c>
      <c r="R288" s="368">
        <f t="shared" si="68"/>
        <v>517169.54564621067</v>
      </c>
      <c r="S288" s="368">
        <f t="shared" si="68"/>
        <v>549730.54024009628</v>
      </c>
      <c r="T288" s="368">
        <f t="shared" si="68"/>
        <v>584341.57505361317</v>
      </c>
      <c r="U288" s="368">
        <f t="shared" si="68"/>
        <v>621131.72061898804</v>
      </c>
      <c r="V288" s="368">
        <f t="shared" si="68"/>
        <v>660238.17374915967</v>
      </c>
      <c r="W288" s="368">
        <f t="shared" si="68"/>
        <v>701806.76916840684</v>
      </c>
      <c r="X288" s="368">
        <f t="shared" si="68"/>
        <v>745992.52335525001</v>
      </c>
      <c r="Y288" s="368">
        <f t="shared" si="68"/>
        <v>792960.21262569365</v>
      </c>
    </row>
    <row r="289" spans="2:25">
      <c r="B289" s="91"/>
      <c r="E289" s="363"/>
      <c r="F289" s="363"/>
      <c r="G289" s="363"/>
      <c r="H289" s="363"/>
      <c r="I289" s="363"/>
      <c r="J289" s="358"/>
      <c r="K289" s="358"/>
      <c r="L289" s="358"/>
      <c r="M289" s="358"/>
      <c r="N289" s="358"/>
      <c r="O289" s="358"/>
      <c r="P289" s="358"/>
      <c r="Q289" s="358"/>
      <c r="R289" s="358"/>
      <c r="S289" s="358"/>
      <c r="T289" s="358"/>
      <c r="U289" s="358"/>
      <c r="V289" s="358"/>
      <c r="W289" s="358"/>
      <c r="X289" s="358"/>
      <c r="Y289" s="358"/>
    </row>
    <row r="290" spans="2:25">
      <c r="B290" s="91" t="s">
        <v>179</v>
      </c>
      <c r="E290" s="363">
        <v>0</v>
      </c>
      <c r="F290" s="363">
        <f t="shared" ref="F290:Y290" si="69">+E292</f>
        <v>1091369.125</v>
      </c>
      <c r="G290" s="363">
        <f t="shared" si="69"/>
        <v>1175935.7341819555</v>
      </c>
      <c r="H290" s="363">
        <f t="shared" si="69"/>
        <v>1512571.0418082376</v>
      </c>
      <c r="I290" s="363">
        <f t="shared" si="69"/>
        <v>1881525.7137954966</v>
      </c>
      <c r="J290" s="358">
        <f t="shared" si="69"/>
        <v>2276295.154221335</v>
      </c>
      <c r="K290" s="358">
        <f t="shared" si="69"/>
        <v>2692558.4994017752</v>
      </c>
      <c r="L290" s="358">
        <f t="shared" si="69"/>
        <v>3079968.0908764792</v>
      </c>
      <c r="M290" s="358">
        <f t="shared" si="69"/>
        <v>3468502.9696724946</v>
      </c>
      <c r="N290" s="358">
        <f t="shared" si="69"/>
        <v>3879611.2044375064</v>
      </c>
      <c r="O290" s="358">
        <f t="shared" si="69"/>
        <v>4314714.0136633227</v>
      </c>
      <c r="P290" s="358">
        <f t="shared" si="69"/>
        <v>4775322.0957579976</v>
      </c>
      <c r="Q290" s="358">
        <f t="shared" si="69"/>
        <v>5233041.2627013531</v>
      </c>
      <c r="R290" s="358">
        <f t="shared" si="69"/>
        <v>5719578.4283954622</v>
      </c>
      <c r="S290" s="358">
        <f t="shared" si="69"/>
        <v>6236747.9740416724</v>
      </c>
      <c r="T290" s="358">
        <f t="shared" si="69"/>
        <v>6786478.5142817684</v>
      </c>
      <c r="U290" s="358">
        <f t="shared" si="69"/>
        <v>7370820.089335382</v>
      </c>
      <c r="V290" s="358">
        <f t="shared" si="69"/>
        <v>7991951.8099543704</v>
      </c>
      <c r="W290" s="358">
        <f t="shared" si="69"/>
        <v>8652189.9837035295</v>
      </c>
      <c r="X290" s="358">
        <f t="shared" si="69"/>
        <v>9353996.7528719362</v>
      </c>
      <c r="Y290" s="358">
        <f t="shared" si="69"/>
        <v>10099989.276227186</v>
      </c>
    </row>
    <row r="291" spans="2:25">
      <c r="B291" s="91"/>
      <c r="E291" s="363"/>
      <c r="F291" s="363"/>
      <c r="G291" s="363"/>
      <c r="H291" s="363"/>
      <c r="I291" s="363"/>
      <c r="J291" s="358"/>
      <c r="K291" s="358"/>
      <c r="L291" s="358"/>
      <c r="M291" s="358"/>
      <c r="N291" s="358"/>
      <c r="O291" s="358"/>
      <c r="P291" s="358"/>
      <c r="Q291" s="358"/>
      <c r="R291" s="358"/>
      <c r="S291" s="358"/>
      <c r="T291" s="358"/>
      <c r="U291" s="358"/>
      <c r="V291" s="358"/>
      <c r="W291" s="358"/>
      <c r="X291" s="358"/>
      <c r="Y291" s="358"/>
    </row>
    <row r="292" spans="2:25">
      <c r="B292" s="88" t="s">
        <v>180</v>
      </c>
      <c r="C292" s="79"/>
      <c r="D292" s="79"/>
      <c r="E292" s="367">
        <f t="shared" ref="E292:Y292" si="70">+E288+E290</f>
        <v>1091369.125</v>
      </c>
      <c r="F292" s="367">
        <f t="shared" si="70"/>
        <v>1175935.7341819555</v>
      </c>
      <c r="G292" s="367">
        <f t="shared" si="70"/>
        <v>1512571.0418082376</v>
      </c>
      <c r="H292" s="367">
        <f t="shared" si="70"/>
        <v>1881525.7137954966</v>
      </c>
      <c r="I292" s="367">
        <f t="shared" si="70"/>
        <v>2276295.154221335</v>
      </c>
      <c r="J292" s="368">
        <f t="shared" si="70"/>
        <v>2692558.4994017752</v>
      </c>
      <c r="K292" s="368">
        <f t="shared" si="70"/>
        <v>3079968.0908764792</v>
      </c>
      <c r="L292" s="368">
        <f t="shared" si="70"/>
        <v>3468502.9696724946</v>
      </c>
      <c r="M292" s="368">
        <f t="shared" si="70"/>
        <v>3879611.2044375064</v>
      </c>
      <c r="N292" s="368">
        <f t="shared" si="70"/>
        <v>4314714.0136633227</v>
      </c>
      <c r="O292" s="368">
        <f t="shared" si="70"/>
        <v>4775322.0957579976</v>
      </c>
      <c r="P292" s="368">
        <f t="shared" si="70"/>
        <v>5233041.2627013531</v>
      </c>
      <c r="Q292" s="368">
        <f t="shared" si="70"/>
        <v>5719578.4283954622</v>
      </c>
      <c r="R292" s="368">
        <f t="shared" si="70"/>
        <v>6236747.9740416724</v>
      </c>
      <c r="S292" s="368">
        <f t="shared" si="70"/>
        <v>6786478.5142817684</v>
      </c>
      <c r="T292" s="368">
        <f t="shared" si="70"/>
        <v>7370820.089335382</v>
      </c>
      <c r="U292" s="368">
        <f t="shared" si="70"/>
        <v>7991951.8099543704</v>
      </c>
      <c r="V292" s="368">
        <f t="shared" si="70"/>
        <v>8652189.9837035295</v>
      </c>
      <c r="W292" s="368">
        <f t="shared" si="70"/>
        <v>9353996.7528719362</v>
      </c>
      <c r="X292" s="368">
        <f t="shared" si="70"/>
        <v>10099989.276227186</v>
      </c>
      <c r="Y292" s="368">
        <f t="shared" si="70"/>
        <v>10892949.488852879</v>
      </c>
    </row>
    <row r="293" spans="2:25">
      <c r="B293" s="91"/>
      <c r="E293" s="91"/>
      <c r="F293" s="91"/>
      <c r="G293" s="91"/>
      <c r="H293" s="91"/>
      <c r="I293" s="91"/>
      <c r="J293" s="89"/>
      <c r="K293" s="89"/>
      <c r="L293" s="89"/>
      <c r="M293" s="89"/>
      <c r="N293" s="89"/>
      <c r="O293" s="89"/>
      <c r="P293" s="89"/>
      <c r="Q293" s="89"/>
      <c r="R293" s="89"/>
      <c r="S293" s="89"/>
      <c r="T293" s="89"/>
      <c r="U293" s="89"/>
      <c r="V293" s="89"/>
      <c r="W293" s="89"/>
      <c r="X293" s="89"/>
      <c r="Y293" s="89"/>
    </row>
    <row r="294" spans="2:25">
      <c r="B294" s="97"/>
      <c r="C294" s="98"/>
      <c r="D294" s="98"/>
      <c r="E294" s="97"/>
      <c r="F294" s="97"/>
      <c r="G294" s="97"/>
      <c r="H294" s="97"/>
      <c r="I294" s="97"/>
      <c r="J294" s="99"/>
      <c r="K294" s="99"/>
      <c r="L294" s="99"/>
      <c r="M294" s="99"/>
      <c r="N294" s="99"/>
      <c r="O294" s="99"/>
      <c r="P294" s="99"/>
      <c r="Q294" s="99"/>
      <c r="R294" s="99"/>
      <c r="S294" s="99"/>
      <c r="T294" s="99"/>
      <c r="U294" s="99"/>
      <c r="V294" s="99"/>
      <c r="W294" s="99"/>
      <c r="X294" s="99"/>
      <c r="Y294" s="99"/>
    </row>
    <row r="296" spans="2:25">
      <c r="B296" s="75" t="s">
        <v>181</v>
      </c>
      <c r="C296" s="77"/>
      <c r="D296" s="77"/>
      <c r="E296" s="77"/>
      <c r="F296" s="77"/>
      <c r="G296" s="77"/>
      <c r="H296" s="77"/>
      <c r="I296" s="77"/>
      <c r="J296" s="77"/>
    </row>
    <row r="298" spans="2:25">
      <c r="B298" s="227"/>
      <c r="C298" s="228"/>
      <c r="D298" s="229"/>
      <c r="E298" s="229"/>
      <c r="F298" s="229"/>
      <c r="G298" s="229"/>
      <c r="H298" s="229"/>
      <c r="I298" s="229"/>
      <c r="J298" s="229"/>
      <c r="K298" s="229"/>
      <c r="L298" s="229"/>
      <c r="M298" s="229"/>
      <c r="N298" s="229"/>
      <c r="O298" s="229"/>
      <c r="P298" s="229"/>
      <c r="Q298" s="229"/>
      <c r="R298" s="229"/>
      <c r="S298" s="229"/>
      <c r="T298" s="229"/>
      <c r="U298" s="229"/>
      <c r="V298" s="229"/>
      <c r="W298" s="229"/>
      <c r="X298" s="229"/>
      <c r="Y298" s="229"/>
    </row>
    <row r="299" spans="2:25">
      <c r="B299" s="230"/>
      <c r="C299" s="231"/>
      <c r="D299" s="232"/>
      <c r="E299" s="232" t="str">
        <f t="shared" ref="E299:Y299" si="71">+E232</f>
        <v>Año 0</v>
      </c>
      <c r="F299" s="232" t="str">
        <f t="shared" si="71"/>
        <v>Año 1</v>
      </c>
      <c r="G299" s="232" t="str">
        <f t="shared" si="71"/>
        <v>Año 2</v>
      </c>
      <c r="H299" s="232" t="str">
        <f t="shared" si="71"/>
        <v>Año 3</v>
      </c>
      <c r="I299" s="232" t="str">
        <f t="shared" si="71"/>
        <v>Año 4</v>
      </c>
      <c r="J299" s="232" t="str">
        <f t="shared" si="71"/>
        <v>Año 5</v>
      </c>
      <c r="K299" s="232" t="str">
        <f t="shared" si="71"/>
        <v>Año 6</v>
      </c>
      <c r="L299" s="232" t="str">
        <f t="shared" si="71"/>
        <v>Año 7</v>
      </c>
      <c r="M299" s="232" t="str">
        <f t="shared" si="71"/>
        <v>Año 8</v>
      </c>
      <c r="N299" s="232" t="str">
        <f t="shared" si="71"/>
        <v>Año 9</v>
      </c>
      <c r="O299" s="232" t="str">
        <f t="shared" si="71"/>
        <v>Año 10</v>
      </c>
      <c r="P299" s="232" t="str">
        <f t="shared" si="71"/>
        <v>Año 11</v>
      </c>
      <c r="Q299" s="232" t="str">
        <f t="shared" si="71"/>
        <v>Año 12</v>
      </c>
      <c r="R299" s="232" t="str">
        <f t="shared" si="71"/>
        <v>Año 13</v>
      </c>
      <c r="S299" s="232" t="str">
        <f t="shared" si="71"/>
        <v>Año 14</v>
      </c>
      <c r="T299" s="232" t="str">
        <f t="shared" si="71"/>
        <v>Año 15</v>
      </c>
      <c r="U299" s="232" t="str">
        <f t="shared" si="71"/>
        <v>Año 16</v>
      </c>
      <c r="V299" s="232" t="str">
        <f t="shared" si="71"/>
        <v>Año 17</v>
      </c>
      <c r="W299" s="232" t="str">
        <f t="shared" si="71"/>
        <v>Año 18</v>
      </c>
      <c r="X299" s="232" t="str">
        <f t="shared" si="71"/>
        <v>Año 19</v>
      </c>
      <c r="Y299" s="232" t="str">
        <f t="shared" si="71"/>
        <v>Año 20</v>
      </c>
    </row>
    <row r="300" spans="2:25">
      <c r="B300" s="233"/>
      <c r="C300" s="234"/>
      <c r="D300" s="235"/>
      <c r="E300" s="236"/>
      <c r="F300" s="236"/>
      <c r="G300" s="236"/>
      <c r="H300" s="236"/>
      <c r="I300" s="236"/>
      <c r="J300" s="236"/>
      <c r="K300" s="236"/>
      <c r="L300" s="236"/>
      <c r="M300" s="236"/>
      <c r="N300" s="236"/>
      <c r="O300" s="236"/>
      <c r="P300" s="236"/>
      <c r="Q300" s="236"/>
      <c r="R300" s="236"/>
      <c r="S300" s="236"/>
      <c r="T300" s="236"/>
      <c r="U300" s="236"/>
      <c r="V300" s="236"/>
      <c r="W300" s="236"/>
      <c r="X300" s="236"/>
      <c r="Y300" s="236"/>
    </row>
    <row r="301" spans="2:25">
      <c r="B301" s="91"/>
      <c r="C301" s="203"/>
      <c r="D301" s="89"/>
      <c r="E301" s="89"/>
      <c r="F301" s="89"/>
      <c r="G301" s="89"/>
      <c r="H301" s="89"/>
      <c r="I301" s="89"/>
      <c r="J301" s="89"/>
      <c r="K301" s="89"/>
      <c r="L301" s="89"/>
      <c r="M301" s="89"/>
      <c r="N301" s="89"/>
      <c r="O301" s="89"/>
      <c r="P301" s="89"/>
      <c r="Q301" s="89"/>
      <c r="R301" s="89"/>
      <c r="S301" s="89"/>
      <c r="T301" s="89"/>
      <c r="U301" s="89"/>
      <c r="V301" s="89"/>
      <c r="W301" s="89"/>
      <c r="X301" s="89"/>
      <c r="Y301" s="89"/>
    </row>
    <row r="302" spans="2:25" s="79" customFormat="1">
      <c r="B302" s="88"/>
      <c r="C302" s="200" t="s">
        <v>182</v>
      </c>
      <c r="D302" s="144"/>
      <c r="E302" s="144"/>
      <c r="F302" s="144"/>
      <c r="G302" s="144"/>
      <c r="H302" s="144"/>
      <c r="I302" s="144"/>
      <c r="J302" s="144"/>
      <c r="K302" s="144"/>
      <c r="L302" s="144"/>
      <c r="M302" s="144"/>
      <c r="N302" s="144"/>
      <c r="O302" s="144"/>
      <c r="P302" s="144"/>
      <c r="Q302" s="144"/>
      <c r="R302" s="144"/>
      <c r="S302" s="144"/>
      <c r="T302" s="144"/>
      <c r="U302" s="144"/>
      <c r="V302" s="144"/>
      <c r="W302" s="144"/>
      <c r="X302" s="144"/>
      <c r="Y302" s="144"/>
    </row>
    <row r="303" spans="2:25">
      <c r="B303" s="91"/>
      <c r="C303" s="203"/>
      <c r="D303" s="89"/>
      <c r="E303" s="89"/>
      <c r="F303" s="89"/>
      <c r="G303" s="89"/>
      <c r="H303" s="89"/>
      <c r="I303" s="89"/>
      <c r="J303" s="89"/>
      <c r="K303" s="89"/>
      <c r="L303" s="89"/>
      <c r="M303" s="89"/>
      <c r="N303" s="89"/>
      <c r="O303" s="89"/>
      <c r="P303" s="89"/>
      <c r="Q303" s="89"/>
      <c r="R303" s="89"/>
      <c r="S303" s="89"/>
      <c r="T303" s="89"/>
      <c r="U303" s="89"/>
      <c r="V303" s="89"/>
      <c r="W303" s="89"/>
      <c r="X303" s="89"/>
      <c r="Y303" s="89"/>
    </row>
    <row r="304" spans="2:25">
      <c r="B304" s="91"/>
      <c r="C304" s="203" t="s">
        <v>183</v>
      </c>
      <c r="D304" s="237"/>
      <c r="E304" s="358"/>
      <c r="F304" s="358">
        <f t="shared" ref="F304:Y304" si="72">+F190</f>
        <v>352146.12117590848</v>
      </c>
      <c r="G304" s="358">
        <f t="shared" si="72"/>
        <v>407610.11420849012</v>
      </c>
      <c r="H304" s="358">
        <f t="shared" si="72"/>
        <v>451883.89275816176</v>
      </c>
      <c r="I304" s="358">
        <f t="shared" si="72"/>
        <v>488637.85399262654</v>
      </c>
      <c r="J304" s="358">
        <f t="shared" si="72"/>
        <v>524761.06303278776</v>
      </c>
      <c r="K304" s="358">
        <f t="shared" si="72"/>
        <v>612132.02735118079</v>
      </c>
      <c r="L304" s="358">
        <f t="shared" si="72"/>
        <v>650671.85979321133</v>
      </c>
      <c r="M304" s="358">
        <f t="shared" si="72"/>
        <v>691638.16008579079</v>
      </c>
      <c r="N304" s="358">
        <f t="shared" si="72"/>
        <v>735183.6986447922</v>
      </c>
      <c r="O304" s="358">
        <f t="shared" si="72"/>
        <v>781470.86431146855</v>
      </c>
      <c r="P304" s="358">
        <f t="shared" si="72"/>
        <v>830672.26992851915</v>
      </c>
      <c r="Q304" s="358">
        <f t="shared" si="72"/>
        <v>882971.39604321844</v>
      </c>
      <c r="R304" s="358">
        <f t="shared" si="72"/>
        <v>938563.27513810061</v>
      </c>
      <c r="S304" s="358">
        <f t="shared" si="72"/>
        <v>997655.2189407954</v>
      </c>
      <c r="T304" s="358">
        <f t="shared" si="72"/>
        <v>1060467.5915253088</v>
      </c>
      <c r="U304" s="358">
        <f t="shared" si="72"/>
        <v>1127234.6310877418</v>
      </c>
      <c r="V304" s="358">
        <f t="shared" si="72"/>
        <v>1198205.323461026</v>
      </c>
      <c r="W304" s="358">
        <f t="shared" si="72"/>
        <v>1273644.330626132</v>
      </c>
      <c r="X304" s="358">
        <f t="shared" si="72"/>
        <v>1353832.9776823539</v>
      </c>
      <c r="Y304" s="358">
        <f t="shared" si="72"/>
        <v>1439070.3019572319</v>
      </c>
    </row>
    <row r="305" spans="2:25">
      <c r="B305" s="91"/>
      <c r="C305" s="203" t="s">
        <v>184</v>
      </c>
      <c r="D305" s="89"/>
      <c r="E305" s="358"/>
      <c r="F305" s="358">
        <f t="shared" ref="F305:Y306" si="73">+F237</f>
        <v>105000</v>
      </c>
      <c r="G305" s="358">
        <f t="shared" si="73"/>
        <v>105000</v>
      </c>
      <c r="H305" s="358">
        <f t="shared" si="73"/>
        <v>105000</v>
      </c>
      <c r="I305" s="358">
        <f t="shared" si="73"/>
        <v>105000</v>
      </c>
      <c r="J305" s="358">
        <f t="shared" si="73"/>
        <v>105000</v>
      </c>
      <c r="K305" s="358">
        <f t="shared" si="73"/>
        <v>30000</v>
      </c>
      <c r="L305" s="358">
        <f t="shared" si="73"/>
        <v>30000</v>
      </c>
      <c r="M305" s="358">
        <f t="shared" si="73"/>
        <v>30000</v>
      </c>
      <c r="N305" s="358">
        <f t="shared" si="73"/>
        <v>30000</v>
      </c>
      <c r="O305" s="358">
        <f t="shared" si="73"/>
        <v>30000</v>
      </c>
      <c r="P305" s="358">
        <f t="shared" si="73"/>
        <v>0</v>
      </c>
      <c r="Q305" s="358">
        <f t="shared" si="73"/>
        <v>0</v>
      </c>
      <c r="R305" s="358">
        <f t="shared" si="73"/>
        <v>0</v>
      </c>
      <c r="S305" s="358">
        <f t="shared" si="73"/>
        <v>0</v>
      </c>
      <c r="T305" s="358">
        <f t="shared" si="73"/>
        <v>0</v>
      </c>
      <c r="U305" s="358">
        <f t="shared" si="73"/>
        <v>0</v>
      </c>
      <c r="V305" s="358">
        <f t="shared" si="73"/>
        <v>0</v>
      </c>
      <c r="W305" s="358">
        <f t="shared" si="73"/>
        <v>0</v>
      </c>
      <c r="X305" s="358">
        <f t="shared" si="73"/>
        <v>0</v>
      </c>
      <c r="Y305" s="358">
        <f t="shared" si="73"/>
        <v>0</v>
      </c>
    </row>
    <row r="306" spans="2:25">
      <c r="B306" s="91"/>
      <c r="C306" s="203" t="s">
        <v>185</v>
      </c>
      <c r="D306" s="89"/>
      <c r="E306" s="358"/>
      <c r="F306" s="358">
        <f t="shared" si="73"/>
        <v>25000</v>
      </c>
      <c r="G306" s="358">
        <f t="shared" si="73"/>
        <v>25000</v>
      </c>
      <c r="H306" s="358">
        <f t="shared" si="73"/>
        <v>25000</v>
      </c>
      <c r="I306" s="358">
        <f t="shared" si="73"/>
        <v>25000</v>
      </c>
      <c r="J306" s="358">
        <f t="shared" si="73"/>
        <v>25000</v>
      </c>
      <c r="K306" s="358">
        <f t="shared" si="73"/>
        <v>0</v>
      </c>
      <c r="L306" s="358">
        <f t="shared" si="73"/>
        <v>0</v>
      </c>
      <c r="M306" s="358">
        <f t="shared" si="73"/>
        <v>0</v>
      </c>
      <c r="N306" s="358">
        <f t="shared" si="73"/>
        <v>0</v>
      </c>
      <c r="O306" s="358">
        <f t="shared" si="73"/>
        <v>0</v>
      </c>
      <c r="P306" s="358">
        <f t="shared" si="73"/>
        <v>0</v>
      </c>
      <c r="Q306" s="358">
        <f t="shared" si="73"/>
        <v>0</v>
      </c>
      <c r="R306" s="358">
        <f t="shared" si="73"/>
        <v>0</v>
      </c>
      <c r="S306" s="358">
        <f t="shared" si="73"/>
        <v>0</v>
      </c>
      <c r="T306" s="358">
        <f t="shared" si="73"/>
        <v>0</v>
      </c>
      <c r="U306" s="358">
        <f t="shared" si="73"/>
        <v>0</v>
      </c>
      <c r="V306" s="358">
        <f t="shared" si="73"/>
        <v>0</v>
      </c>
      <c r="W306" s="358">
        <f t="shared" si="73"/>
        <v>0</v>
      </c>
      <c r="X306" s="358">
        <f t="shared" si="73"/>
        <v>0</v>
      </c>
      <c r="Y306" s="358">
        <f t="shared" si="73"/>
        <v>0</v>
      </c>
    </row>
    <row r="307" spans="2:25" s="79" customFormat="1">
      <c r="B307" s="88"/>
      <c r="C307" s="200" t="s">
        <v>186</v>
      </c>
      <c r="D307" s="144"/>
      <c r="E307" s="368">
        <f>+E304+E305</f>
        <v>0</v>
      </c>
      <c r="F307" s="368">
        <f t="shared" ref="F307:Y307" si="74">SUM(F304:F306)</f>
        <v>482146.12117590848</v>
      </c>
      <c r="G307" s="368">
        <f t="shared" si="74"/>
        <v>537610.11420849012</v>
      </c>
      <c r="H307" s="368">
        <f t="shared" si="74"/>
        <v>581883.89275816176</v>
      </c>
      <c r="I307" s="368">
        <f t="shared" si="74"/>
        <v>618637.85399262654</v>
      </c>
      <c r="J307" s="368">
        <f t="shared" si="74"/>
        <v>654761.06303278776</v>
      </c>
      <c r="K307" s="368">
        <f t="shared" si="74"/>
        <v>642132.02735118079</v>
      </c>
      <c r="L307" s="368">
        <f t="shared" si="74"/>
        <v>680671.85979321133</v>
      </c>
      <c r="M307" s="368">
        <f t="shared" si="74"/>
        <v>721638.16008579079</v>
      </c>
      <c r="N307" s="368">
        <f t="shared" si="74"/>
        <v>765183.6986447922</v>
      </c>
      <c r="O307" s="368">
        <f t="shared" si="74"/>
        <v>811470.86431146855</v>
      </c>
      <c r="P307" s="368">
        <f t="shared" si="74"/>
        <v>830672.26992851915</v>
      </c>
      <c r="Q307" s="368">
        <f t="shared" si="74"/>
        <v>882971.39604321844</v>
      </c>
      <c r="R307" s="368">
        <f t="shared" si="74"/>
        <v>938563.27513810061</v>
      </c>
      <c r="S307" s="368">
        <f t="shared" si="74"/>
        <v>997655.2189407954</v>
      </c>
      <c r="T307" s="368">
        <f t="shared" si="74"/>
        <v>1060467.5915253088</v>
      </c>
      <c r="U307" s="368">
        <f t="shared" si="74"/>
        <v>1127234.6310877418</v>
      </c>
      <c r="V307" s="368">
        <f t="shared" si="74"/>
        <v>1198205.323461026</v>
      </c>
      <c r="W307" s="368">
        <f t="shared" si="74"/>
        <v>1273644.330626132</v>
      </c>
      <c r="X307" s="368">
        <f t="shared" si="74"/>
        <v>1353832.9776823539</v>
      </c>
      <c r="Y307" s="368">
        <f t="shared" si="74"/>
        <v>1439070.3019572319</v>
      </c>
    </row>
    <row r="308" spans="2:25">
      <c r="B308" s="91"/>
      <c r="C308" s="203"/>
      <c r="D308" s="237"/>
      <c r="E308" s="358"/>
      <c r="F308" s="358"/>
      <c r="G308" s="358"/>
      <c r="H308" s="358"/>
      <c r="I308" s="358"/>
      <c r="J308" s="358"/>
      <c r="K308" s="358"/>
      <c r="L308" s="358"/>
      <c r="M308" s="358"/>
      <c r="N308" s="358"/>
      <c r="O308" s="358"/>
      <c r="P308" s="358"/>
      <c r="Q308" s="358"/>
      <c r="R308" s="358"/>
      <c r="S308" s="358"/>
      <c r="T308" s="358"/>
      <c r="U308" s="358"/>
      <c r="V308" s="358"/>
      <c r="W308" s="358"/>
      <c r="X308" s="358"/>
      <c r="Y308" s="358"/>
    </row>
    <row r="309" spans="2:25">
      <c r="B309" s="91"/>
      <c r="C309" s="203" t="s">
        <v>187</v>
      </c>
      <c r="D309" s="89"/>
      <c r="E309" s="358"/>
      <c r="F309" s="358">
        <f t="shared" ref="F309:Y309" si="75">-F267</f>
        <v>-1091369.125</v>
      </c>
      <c r="G309" s="358">
        <f t="shared" si="75"/>
        <v>-150521.62972000008</v>
      </c>
      <c r="H309" s="358">
        <f t="shared" si="75"/>
        <v>-120152.93051915988</v>
      </c>
      <c r="I309" s="358">
        <f t="shared" si="75"/>
        <v>-99745.183157434221</v>
      </c>
      <c r="J309" s="358">
        <f t="shared" si="75"/>
        <v>-98033.408670149278</v>
      </c>
      <c r="K309" s="358">
        <f t="shared" si="75"/>
        <v>-101419.64445487969</v>
      </c>
      <c r="L309" s="358">
        <f t="shared" si="75"/>
        <v>-104591.79137900146</v>
      </c>
      <c r="M309" s="358">
        <f t="shared" si="75"/>
        <v>-111176.89056422329</v>
      </c>
      <c r="N309" s="358">
        <f t="shared" si="75"/>
        <v>-118176.58759414707</v>
      </c>
      <c r="O309" s="358">
        <f t="shared" si="75"/>
        <v>-125616.98554907436</v>
      </c>
      <c r="P309" s="358">
        <f t="shared" si="75"/>
        <v>-133525.83095924417</v>
      </c>
      <c r="Q309" s="358">
        <f t="shared" si="75"/>
        <v>-141932.61727643851</v>
      </c>
      <c r="R309" s="358">
        <f t="shared" si="75"/>
        <v>-150868.69486016314</v>
      </c>
      <c r="S309" s="358">
        <f t="shared" si="75"/>
        <v>-160367.38788855867</v>
      </c>
      <c r="T309" s="358">
        <f t="shared" si="75"/>
        <v>-170464.11863002228</v>
      </c>
      <c r="U309" s="358">
        <f t="shared" si="75"/>
        <v>-181196.53953896835</v>
      </c>
      <c r="V309" s="358">
        <f t="shared" si="75"/>
        <v>-192604.67366834218</v>
      </c>
      <c r="W309" s="358">
        <f t="shared" si="75"/>
        <v>-204731.0639225007</v>
      </c>
      <c r="X309" s="358">
        <f t="shared" si="75"/>
        <v>-217620.93170706183</v>
      </c>
      <c r="Y309" s="358">
        <f t="shared" si="75"/>
        <v>-231322.34556733817</v>
      </c>
    </row>
    <row r="310" spans="2:25">
      <c r="B310" s="91"/>
      <c r="C310" s="203" t="s">
        <v>188</v>
      </c>
      <c r="D310" s="89"/>
      <c r="E310" s="358"/>
      <c r="F310" s="358">
        <f t="shared" ref="F310:Y310" si="76">+F244-F273</f>
        <v>693789.61300604686</v>
      </c>
      <c r="G310" s="358">
        <f t="shared" si="76"/>
        <v>-27563.67898577392</v>
      </c>
      <c r="H310" s="358">
        <f t="shared" si="76"/>
        <v>-66281.632828191039</v>
      </c>
      <c r="I310" s="358">
        <f t="shared" si="76"/>
        <v>-94750.777380073327</v>
      </c>
      <c r="J310" s="358">
        <f t="shared" si="76"/>
        <v>-108702.84867267727</v>
      </c>
      <c r="K310" s="358">
        <f t="shared" si="76"/>
        <v>-119193.32232446602</v>
      </c>
      <c r="L310" s="358">
        <f t="shared" si="76"/>
        <v>-147756.60784036797</v>
      </c>
      <c r="M310" s="358">
        <f t="shared" si="76"/>
        <v>-157059.36386999721</v>
      </c>
      <c r="N310" s="358">
        <f t="shared" si="76"/>
        <v>-166947.82141925217</v>
      </c>
      <c r="O310" s="358">
        <f t="shared" si="76"/>
        <v>-177458.85625580806</v>
      </c>
      <c r="P310" s="358">
        <f t="shared" si="76"/>
        <v>-188631.66584567417</v>
      </c>
      <c r="Q310" s="358">
        <f t="shared" si="76"/>
        <v>-200507.91552731738</v>
      </c>
      <c r="R310" s="358">
        <f t="shared" si="76"/>
        <v>-213131.89388891758</v>
      </c>
      <c r="S310" s="358">
        <f t="shared" si="76"/>
        <v>-226550.6779281639</v>
      </c>
      <c r="T310" s="358">
        <f t="shared" si="76"/>
        <v>-240814.30861052161</v>
      </c>
      <c r="U310" s="358">
        <f t="shared" si="76"/>
        <v>-255975.97748064034</v>
      </c>
      <c r="V310" s="358">
        <f t="shared" si="76"/>
        <v>-272092.22502282087</v>
      </c>
      <c r="W310" s="358">
        <f t="shared" si="76"/>
        <v>-289223.15151025768</v>
      </c>
      <c r="X310" s="358">
        <f t="shared" si="76"/>
        <v>-307432.64112934348</v>
      </c>
      <c r="Y310" s="358">
        <f t="shared" si="76"/>
        <v>-326788.60021484707</v>
      </c>
    </row>
    <row r="311" spans="2:25" s="79" customFormat="1">
      <c r="B311" s="88"/>
      <c r="C311" s="200" t="s">
        <v>189</v>
      </c>
      <c r="D311" s="238"/>
      <c r="E311" s="368">
        <f t="shared" ref="E311:Y311" si="77">+E309+E310</f>
        <v>0</v>
      </c>
      <c r="F311" s="368">
        <f t="shared" si="77"/>
        <v>-397579.51199395314</v>
      </c>
      <c r="G311" s="368">
        <f t="shared" si="77"/>
        <v>-178085.30870577402</v>
      </c>
      <c r="H311" s="368">
        <f t="shared" si="77"/>
        <v>-186434.56334735092</v>
      </c>
      <c r="I311" s="368">
        <f t="shared" si="77"/>
        <v>-194495.96053750755</v>
      </c>
      <c r="J311" s="368">
        <f t="shared" si="77"/>
        <v>-206736.25734282655</v>
      </c>
      <c r="K311" s="368">
        <f t="shared" si="77"/>
        <v>-220612.9667793457</v>
      </c>
      <c r="L311" s="368">
        <f t="shared" si="77"/>
        <v>-252348.39921936943</v>
      </c>
      <c r="M311" s="368">
        <f t="shared" si="77"/>
        <v>-268236.25443422049</v>
      </c>
      <c r="N311" s="368">
        <f t="shared" si="77"/>
        <v>-285124.40901339927</v>
      </c>
      <c r="O311" s="368">
        <f t="shared" si="77"/>
        <v>-303075.8418048824</v>
      </c>
      <c r="P311" s="368">
        <f t="shared" si="77"/>
        <v>-322157.49680491834</v>
      </c>
      <c r="Q311" s="368">
        <f t="shared" si="77"/>
        <v>-342440.53280375589</v>
      </c>
      <c r="R311" s="368">
        <f t="shared" si="77"/>
        <v>-364000.58874908072</v>
      </c>
      <c r="S311" s="368">
        <f t="shared" si="77"/>
        <v>-386918.06581672258</v>
      </c>
      <c r="T311" s="368">
        <f t="shared" si="77"/>
        <v>-411278.42724054388</v>
      </c>
      <c r="U311" s="368">
        <f t="shared" si="77"/>
        <v>-437172.5170196087</v>
      </c>
      <c r="V311" s="368">
        <f t="shared" si="77"/>
        <v>-464696.89869116305</v>
      </c>
      <c r="W311" s="368">
        <f t="shared" si="77"/>
        <v>-493954.21543275838</v>
      </c>
      <c r="X311" s="368">
        <f t="shared" si="77"/>
        <v>-525053.57283640536</v>
      </c>
      <c r="Y311" s="368">
        <f t="shared" si="77"/>
        <v>-558110.9457821853</v>
      </c>
    </row>
    <row r="312" spans="2:25">
      <c r="B312" s="91"/>
      <c r="C312" s="203"/>
      <c r="D312" s="89"/>
      <c r="E312" s="358"/>
      <c r="F312" s="358"/>
      <c r="G312" s="358"/>
      <c r="H312" s="358"/>
      <c r="I312" s="358"/>
      <c r="J312" s="358"/>
      <c r="K312" s="358"/>
      <c r="L312" s="358"/>
      <c r="M312" s="358"/>
      <c r="N312" s="358"/>
      <c r="O312" s="358"/>
      <c r="P312" s="358"/>
      <c r="Q312" s="358"/>
      <c r="R312" s="358"/>
      <c r="S312" s="358"/>
      <c r="T312" s="358"/>
      <c r="U312" s="358"/>
      <c r="V312" s="358"/>
      <c r="W312" s="358"/>
      <c r="X312" s="358"/>
      <c r="Y312" s="358"/>
    </row>
    <row r="313" spans="2:25" s="79" customFormat="1">
      <c r="B313" s="88"/>
      <c r="C313" s="200" t="s">
        <v>190</v>
      </c>
      <c r="D313" s="144"/>
      <c r="E313" s="368">
        <f t="shared" ref="E313:Y313" si="78">+E307+E311</f>
        <v>0</v>
      </c>
      <c r="F313" s="368">
        <f t="shared" si="78"/>
        <v>84566.60918195534</v>
      </c>
      <c r="G313" s="368">
        <f t="shared" si="78"/>
        <v>359524.8055027161</v>
      </c>
      <c r="H313" s="368">
        <f t="shared" si="78"/>
        <v>395449.32941081084</v>
      </c>
      <c r="I313" s="368">
        <f t="shared" si="78"/>
        <v>424141.89345511899</v>
      </c>
      <c r="J313" s="368">
        <f t="shared" si="78"/>
        <v>448024.80568996118</v>
      </c>
      <c r="K313" s="368">
        <f t="shared" si="78"/>
        <v>421519.06057183509</v>
      </c>
      <c r="L313" s="368">
        <f t="shared" si="78"/>
        <v>428323.46057384193</v>
      </c>
      <c r="M313" s="368">
        <f t="shared" si="78"/>
        <v>453401.9056515703</v>
      </c>
      <c r="N313" s="368">
        <f t="shared" si="78"/>
        <v>480059.28963139292</v>
      </c>
      <c r="O313" s="368">
        <f t="shared" si="78"/>
        <v>508395.02250658616</v>
      </c>
      <c r="P313" s="368">
        <f t="shared" si="78"/>
        <v>508514.77312360081</v>
      </c>
      <c r="Q313" s="368">
        <f t="shared" si="78"/>
        <v>540530.86323946249</v>
      </c>
      <c r="R313" s="368">
        <f t="shared" si="78"/>
        <v>574562.68638901995</v>
      </c>
      <c r="S313" s="368">
        <f t="shared" si="78"/>
        <v>610737.15312407282</v>
      </c>
      <c r="T313" s="368">
        <f t="shared" si="78"/>
        <v>649189.16428476491</v>
      </c>
      <c r="U313" s="368">
        <f t="shared" si="78"/>
        <v>690062.11406813306</v>
      </c>
      <c r="V313" s="368">
        <f t="shared" si="78"/>
        <v>733508.4247698629</v>
      </c>
      <c r="W313" s="368">
        <f t="shared" si="78"/>
        <v>779690.11519337352</v>
      </c>
      <c r="X313" s="368">
        <f t="shared" si="78"/>
        <v>828779.40484594856</v>
      </c>
      <c r="Y313" s="368">
        <f t="shared" si="78"/>
        <v>880959.35617504665</v>
      </c>
    </row>
    <row r="314" spans="2:25">
      <c r="B314" s="91"/>
      <c r="C314" s="203"/>
      <c r="D314" s="237"/>
      <c r="E314" s="358"/>
      <c r="F314" s="358"/>
      <c r="G314" s="358"/>
      <c r="H314" s="358"/>
      <c r="I314" s="358"/>
      <c r="J314" s="358"/>
      <c r="K314" s="358"/>
      <c r="L314" s="358"/>
      <c r="M314" s="358"/>
      <c r="N314" s="358"/>
      <c r="O314" s="358"/>
      <c r="P314" s="358"/>
      <c r="Q314" s="358"/>
      <c r="R314" s="358"/>
      <c r="S314" s="358"/>
      <c r="T314" s="358"/>
      <c r="U314" s="358"/>
      <c r="V314" s="358"/>
      <c r="W314" s="358"/>
      <c r="X314" s="358"/>
      <c r="Y314" s="358"/>
    </row>
    <row r="315" spans="2:25" s="79" customFormat="1">
      <c r="B315" s="88"/>
      <c r="C315" s="200" t="s">
        <v>191</v>
      </c>
      <c r="D315" s="144"/>
      <c r="E315" s="368"/>
      <c r="F315" s="368"/>
      <c r="G315" s="368"/>
      <c r="H315" s="368"/>
      <c r="I315" s="368"/>
      <c r="J315" s="368"/>
      <c r="K315" s="368"/>
      <c r="L315" s="368"/>
      <c r="M315" s="368"/>
      <c r="N315" s="368"/>
      <c r="O315" s="368"/>
      <c r="P315" s="368"/>
      <c r="Q315" s="368"/>
      <c r="R315" s="368"/>
      <c r="S315" s="368"/>
      <c r="T315" s="368"/>
      <c r="U315" s="368"/>
      <c r="V315" s="368"/>
      <c r="W315" s="368"/>
      <c r="X315" s="368"/>
      <c r="Y315" s="368"/>
    </row>
    <row r="316" spans="2:25">
      <c r="B316" s="91"/>
      <c r="C316" s="203" t="s">
        <v>192</v>
      </c>
      <c r="D316" s="89"/>
      <c r="E316" s="358">
        <f t="shared" ref="E316:Y316" si="79">-E261</f>
        <v>-675000</v>
      </c>
      <c r="F316" s="358">
        <f t="shared" si="79"/>
        <v>0</v>
      </c>
      <c r="G316" s="358">
        <f t="shared" si="79"/>
        <v>0</v>
      </c>
      <c r="H316" s="358">
        <f t="shared" si="79"/>
        <v>0</v>
      </c>
      <c r="I316" s="358">
        <f t="shared" si="79"/>
        <v>0</v>
      </c>
      <c r="J316" s="358">
        <f t="shared" si="79"/>
        <v>0</v>
      </c>
      <c r="K316" s="358">
        <f t="shared" si="79"/>
        <v>0</v>
      </c>
      <c r="L316" s="358">
        <f t="shared" si="79"/>
        <v>0</v>
      </c>
      <c r="M316" s="358">
        <f t="shared" si="79"/>
        <v>0</v>
      </c>
      <c r="N316" s="358">
        <f t="shared" si="79"/>
        <v>0</v>
      </c>
      <c r="O316" s="358">
        <f t="shared" si="79"/>
        <v>0</v>
      </c>
      <c r="P316" s="358">
        <f t="shared" si="79"/>
        <v>0</v>
      </c>
      <c r="Q316" s="358">
        <f t="shared" si="79"/>
        <v>0</v>
      </c>
      <c r="R316" s="358">
        <f t="shared" si="79"/>
        <v>0</v>
      </c>
      <c r="S316" s="358">
        <f t="shared" si="79"/>
        <v>0</v>
      </c>
      <c r="T316" s="358">
        <f t="shared" si="79"/>
        <v>0</v>
      </c>
      <c r="U316" s="358">
        <f t="shared" si="79"/>
        <v>0</v>
      </c>
      <c r="V316" s="358">
        <f t="shared" si="79"/>
        <v>0</v>
      </c>
      <c r="W316" s="358">
        <f t="shared" si="79"/>
        <v>0</v>
      </c>
      <c r="X316" s="358">
        <f t="shared" si="79"/>
        <v>0</v>
      </c>
      <c r="Y316" s="358">
        <f t="shared" si="79"/>
        <v>0</v>
      </c>
    </row>
    <row r="317" spans="2:25">
      <c r="B317" s="91"/>
      <c r="C317" s="203" t="s">
        <v>193</v>
      </c>
      <c r="D317" s="237"/>
      <c r="E317" s="358">
        <f t="shared" ref="E317:Y317" si="80">-E269</f>
        <v>-125000</v>
      </c>
      <c r="F317" s="358">
        <f t="shared" si="80"/>
        <v>0</v>
      </c>
      <c r="G317" s="358">
        <f t="shared" si="80"/>
        <v>0</v>
      </c>
      <c r="H317" s="358">
        <f t="shared" si="80"/>
        <v>0</v>
      </c>
      <c r="I317" s="358">
        <f t="shared" si="80"/>
        <v>0</v>
      </c>
      <c r="J317" s="358">
        <f t="shared" si="80"/>
        <v>0</v>
      </c>
      <c r="K317" s="358">
        <f t="shared" si="80"/>
        <v>0</v>
      </c>
      <c r="L317" s="358">
        <f t="shared" si="80"/>
        <v>0</v>
      </c>
      <c r="M317" s="358">
        <f t="shared" si="80"/>
        <v>0</v>
      </c>
      <c r="N317" s="358">
        <f t="shared" si="80"/>
        <v>0</v>
      </c>
      <c r="O317" s="358">
        <f t="shared" si="80"/>
        <v>0</v>
      </c>
      <c r="P317" s="358">
        <f t="shared" si="80"/>
        <v>0</v>
      </c>
      <c r="Q317" s="358">
        <f t="shared" si="80"/>
        <v>0</v>
      </c>
      <c r="R317" s="358">
        <f t="shared" si="80"/>
        <v>0</v>
      </c>
      <c r="S317" s="358">
        <f t="shared" si="80"/>
        <v>0</v>
      </c>
      <c r="T317" s="358">
        <f t="shared" si="80"/>
        <v>0</v>
      </c>
      <c r="U317" s="358">
        <f t="shared" si="80"/>
        <v>0</v>
      </c>
      <c r="V317" s="358">
        <f t="shared" si="80"/>
        <v>0</v>
      </c>
      <c r="W317" s="358">
        <f t="shared" si="80"/>
        <v>0</v>
      </c>
      <c r="X317" s="358">
        <f t="shared" si="80"/>
        <v>0</v>
      </c>
      <c r="Y317" s="358">
        <f t="shared" si="80"/>
        <v>0</v>
      </c>
    </row>
    <row r="318" spans="2:25" s="79" customFormat="1">
      <c r="B318" s="88"/>
      <c r="C318" s="200" t="s">
        <v>194</v>
      </c>
      <c r="D318" s="144"/>
      <c r="E318" s="368">
        <f t="shared" ref="E318:Y318" si="81">SUM(E316:E317)</f>
        <v>-800000</v>
      </c>
      <c r="F318" s="368">
        <f t="shared" si="81"/>
        <v>0</v>
      </c>
      <c r="G318" s="368">
        <f t="shared" si="81"/>
        <v>0</v>
      </c>
      <c r="H318" s="368">
        <f t="shared" si="81"/>
        <v>0</v>
      </c>
      <c r="I318" s="368">
        <f t="shared" si="81"/>
        <v>0</v>
      </c>
      <c r="J318" s="368">
        <f t="shared" si="81"/>
        <v>0</v>
      </c>
      <c r="K318" s="368">
        <f t="shared" si="81"/>
        <v>0</v>
      </c>
      <c r="L318" s="368">
        <f t="shared" si="81"/>
        <v>0</v>
      </c>
      <c r="M318" s="368">
        <f t="shared" si="81"/>
        <v>0</v>
      </c>
      <c r="N318" s="368">
        <f t="shared" si="81"/>
        <v>0</v>
      </c>
      <c r="O318" s="368">
        <f t="shared" si="81"/>
        <v>0</v>
      </c>
      <c r="P318" s="368">
        <f t="shared" si="81"/>
        <v>0</v>
      </c>
      <c r="Q318" s="368">
        <f t="shared" si="81"/>
        <v>0</v>
      </c>
      <c r="R318" s="368">
        <f t="shared" si="81"/>
        <v>0</v>
      </c>
      <c r="S318" s="368">
        <f t="shared" si="81"/>
        <v>0</v>
      </c>
      <c r="T318" s="368">
        <f t="shared" si="81"/>
        <v>0</v>
      </c>
      <c r="U318" s="368">
        <f t="shared" si="81"/>
        <v>0</v>
      </c>
      <c r="V318" s="368">
        <f t="shared" si="81"/>
        <v>0</v>
      </c>
      <c r="W318" s="368">
        <f t="shared" si="81"/>
        <v>0</v>
      </c>
      <c r="X318" s="368">
        <f t="shared" si="81"/>
        <v>0</v>
      </c>
      <c r="Y318" s="368">
        <f t="shared" si="81"/>
        <v>0</v>
      </c>
    </row>
    <row r="319" spans="2:25">
      <c r="B319" s="91"/>
      <c r="C319" s="203"/>
      <c r="D319" s="237"/>
      <c r="E319" s="358"/>
      <c r="F319" s="358"/>
      <c r="G319" s="358"/>
      <c r="H319" s="358"/>
      <c r="I319" s="358"/>
      <c r="J319" s="358"/>
      <c r="K319" s="358"/>
      <c r="L319" s="358"/>
      <c r="M319" s="358"/>
      <c r="N319" s="358"/>
      <c r="O319" s="358"/>
      <c r="P319" s="358"/>
      <c r="Q319" s="358"/>
      <c r="R319" s="358"/>
      <c r="S319" s="358"/>
      <c r="T319" s="358"/>
      <c r="U319" s="358"/>
      <c r="V319" s="358"/>
      <c r="W319" s="358"/>
      <c r="X319" s="358"/>
      <c r="Y319" s="358"/>
    </row>
    <row r="320" spans="2:25" s="79" customFormat="1">
      <c r="B320" s="239"/>
      <c r="C320" s="240" t="s">
        <v>195</v>
      </c>
      <c r="D320" s="241"/>
      <c r="E320" s="384">
        <f t="shared" ref="E320:Y320" si="82">+E313+E318</f>
        <v>-800000</v>
      </c>
      <c r="F320" s="384">
        <f t="shared" si="82"/>
        <v>84566.60918195534</v>
      </c>
      <c r="G320" s="384">
        <f t="shared" si="82"/>
        <v>359524.8055027161</v>
      </c>
      <c r="H320" s="384">
        <f t="shared" si="82"/>
        <v>395449.32941081084</v>
      </c>
      <c r="I320" s="384">
        <f t="shared" si="82"/>
        <v>424141.89345511899</v>
      </c>
      <c r="J320" s="384">
        <f t="shared" si="82"/>
        <v>448024.80568996118</v>
      </c>
      <c r="K320" s="384">
        <f t="shared" si="82"/>
        <v>421519.06057183509</v>
      </c>
      <c r="L320" s="384">
        <f t="shared" si="82"/>
        <v>428323.46057384193</v>
      </c>
      <c r="M320" s="384">
        <f t="shared" si="82"/>
        <v>453401.9056515703</v>
      </c>
      <c r="N320" s="384">
        <f t="shared" si="82"/>
        <v>480059.28963139292</v>
      </c>
      <c r="O320" s="384">
        <f t="shared" si="82"/>
        <v>508395.02250658616</v>
      </c>
      <c r="P320" s="384">
        <f t="shared" si="82"/>
        <v>508514.77312360081</v>
      </c>
      <c r="Q320" s="384">
        <f t="shared" si="82"/>
        <v>540530.86323946249</v>
      </c>
      <c r="R320" s="384">
        <f t="shared" si="82"/>
        <v>574562.68638901995</v>
      </c>
      <c r="S320" s="384">
        <f t="shared" si="82"/>
        <v>610737.15312407282</v>
      </c>
      <c r="T320" s="384">
        <f t="shared" si="82"/>
        <v>649189.16428476491</v>
      </c>
      <c r="U320" s="384">
        <f t="shared" si="82"/>
        <v>690062.11406813306</v>
      </c>
      <c r="V320" s="384">
        <f t="shared" si="82"/>
        <v>733508.4247698629</v>
      </c>
      <c r="W320" s="384">
        <f t="shared" si="82"/>
        <v>779690.11519337352</v>
      </c>
      <c r="X320" s="384">
        <f t="shared" si="82"/>
        <v>828779.40484594856</v>
      </c>
      <c r="Y320" s="384">
        <f t="shared" si="82"/>
        <v>880959.35617504665</v>
      </c>
    </row>
    <row r="321" spans="2:25">
      <c r="B321" s="91"/>
      <c r="C321" s="203"/>
      <c r="D321" s="89"/>
      <c r="E321" s="358"/>
      <c r="F321" s="358"/>
      <c r="G321" s="358"/>
      <c r="H321" s="358"/>
      <c r="I321" s="358"/>
      <c r="J321" s="358"/>
      <c r="K321" s="358"/>
      <c r="L321" s="358"/>
      <c r="M321" s="358"/>
      <c r="N321" s="358"/>
      <c r="O321" s="358"/>
      <c r="P321" s="358"/>
      <c r="Q321" s="358"/>
      <c r="R321" s="358"/>
      <c r="S321" s="358"/>
      <c r="T321" s="358"/>
      <c r="U321" s="358"/>
      <c r="V321" s="358"/>
      <c r="W321" s="358"/>
      <c r="X321" s="358"/>
      <c r="Y321" s="358"/>
    </row>
    <row r="322" spans="2:25" s="79" customFormat="1">
      <c r="B322" s="88"/>
      <c r="C322" s="200" t="s">
        <v>196</v>
      </c>
      <c r="D322" s="238"/>
      <c r="E322" s="368"/>
      <c r="F322" s="368"/>
      <c r="G322" s="368"/>
      <c r="H322" s="368"/>
      <c r="I322" s="368"/>
      <c r="J322" s="368"/>
      <c r="K322" s="368"/>
      <c r="L322" s="368"/>
      <c r="M322" s="368"/>
      <c r="N322" s="368"/>
      <c r="O322" s="368"/>
      <c r="P322" s="368"/>
      <c r="Q322" s="368"/>
      <c r="R322" s="368"/>
      <c r="S322" s="368"/>
      <c r="T322" s="368"/>
      <c r="U322" s="368"/>
      <c r="V322" s="368"/>
      <c r="W322" s="368"/>
      <c r="X322" s="368"/>
      <c r="Y322" s="368"/>
    </row>
    <row r="323" spans="2:25">
      <c r="B323" s="91"/>
      <c r="C323" s="203"/>
      <c r="D323" s="89"/>
      <c r="E323" s="358"/>
      <c r="F323" s="358"/>
      <c r="G323" s="358"/>
      <c r="H323" s="358"/>
      <c r="I323" s="358"/>
      <c r="J323" s="358"/>
      <c r="K323" s="358"/>
      <c r="L323" s="358"/>
      <c r="M323" s="358"/>
      <c r="N323" s="358"/>
      <c r="O323" s="358"/>
      <c r="P323" s="358"/>
      <c r="Q323" s="358"/>
      <c r="R323" s="358"/>
      <c r="S323" s="358"/>
      <c r="T323" s="358"/>
      <c r="U323" s="358"/>
      <c r="V323" s="358"/>
      <c r="W323" s="358"/>
      <c r="X323" s="358"/>
      <c r="Y323" s="358"/>
    </row>
    <row r="324" spans="2:25" s="79" customFormat="1">
      <c r="B324" s="88"/>
      <c r="C324" s="200" t="s">
        <v>197</v>
      </c>
      <c r="D324" s="144"/>
      <c r="E324" s="368"/>
      <c r="F324" s="368"/>
      <c r="G324" s="368"/>
      <c r="H324" s="368"/>
      <c r="I324" s="368"/>
      <c r="J324" s="368"/>
      <c r="K324" s="368"/>
      <c r="L324" s="368"/>
      <c r="M324" s="368"/>
      <c r="N324" s="368"/>
      <c r="O324" s="368"/>
      <c r="P324" s="368"/>
      <c r="Q324" s="368"/>
      <c r="R324" s="368"/>
      <c r="S324" s="368"/>
      <c r="T324" s="368"/>
      <c r="U324" s="368"/>
      <c r="V324" s="368"/>
      <c r="W324" s="368"/>
      <c r="X324" s="368"/>
      <c r="Y324" s="368"/>
    </row>
    <row r="325" spans="2:25">
      <c r="B325" s="91"/>
      <c r="C325" s="203" t="s">
        <v>198</v>
      </c>
      <c r="D325" s="237"/>
      <c r="E325" s="358">
        <f t="shared" ref="E325:Y325" si="83">+E245+E250-E272-E274</f>
        <v>0</v>
      </c>
      <c r="F325" s="358">
        <f t="shared" si="83"/>
        <v>0</v>
      </c>
      <c r="G325" s="358">
        <f t="shared" si="83"/>
        <v>0</v>
      </c>
      <c r="H325" s="358">
        <f t="shared" si="83"/>
        <v>0</v>
      </c>
      <c r="I325" s="358">
        <f t="shared" si="83"/>
        <v>0</v>
      </c>
      <c r="J325" s="358">
        <f t="shared" si="83"/>
        <v>0</v>
      </c>
      <c r="K325" s="358">
        <f t="shared" si="83"/>
        <v>0</v>
      </c>
      <c r="L325" s="358">
        <f t="shared" si="83"/>
        <v>0</v>
      </c>
      <c r="M325" s="358">
        <f t="shared" si="83"/>
        <v>0</v>
      </c>
      <c r="N325" s="358">
        <f t="shared" si="83"/>
        <v>0</v>
      </c>
      <c r="O325" s="358">
        <f t="shared" si="83"/>
        <v>0</v>
      </c>
      <c r="P325" s="358">
        <f t="shared" si="83"/>
        <v>0</v>
      </c>
      <c r="Q325" s="358">
        <f t="shared" si="83"/>
        <v>0</v>
      </c>
      <c r="R325" s="358">
        <f t="shared" si="83"/>
        <v>0</v>
      </c>
      <c r="S325" s="358">
        <f t="shared" si="83"/>
        <v>0</v>
      </c>
      <c r="T325" s="358">
        <f t="shared" si="83"/>
        <v>0</v>
      </c>
      <c r="U325" s="358">
        <f t="shared" si="83"/>
        <v>0</v>
      </c>
      <c r="V325" s="358">
        <f t="shared" si="83"/>
        <v>0</v>
      </c>
      <c r="W325" s="358">
        <f t="shared" si="83"/>
        <v>0</v>
      </c>
      <c r="X325" s="358">
        <f t="shared" si="83"/>
        <v>0</v>
      </c>
      <c r="Y325" s="358">
        <f t="shared" si="83"/>
        <v>0</v>
      </c>
    </row>
    <row r="326" spans="2:25">
      <c r="B326" s="91"/>
      <c r="C326" s="203" t="s">
        <v>199</v>
      </c>
      <c r="D326" s="89"/>
      <c r="E326" s="358">
        <f t="shared" ref="E326:Y326" si="84">-E278</f>
        <v>0</v>
      </c>
      <c r="F326" s="358">
        <f t="shared" si="84"/>
        <v>0</v>
      </c>
      <c r="G326" s="358">
        <f t="shared" si="84"/>
        <v>0</v>
      </c>
      <c r="H326" s="358">
        <f t="shared" si="84"/>
        <v>0</v>
      </c>
      <c r="I326" s="358">
        <f t="shared" si="84"/>
        <v>0</v>
      </c>
      <c r="J326" s="358">
        <f t="shared" si="84"/>
        <v>0</v>
      </c>
      <c r="K326" s="358">
        <f t="shared" si="84"/>
        <v>0</v>
      </c>
      <c r="L326" s="358">
        <f t="shared" si="84"/>
        <v>0</v>
      </c>
      <c r="M326" s="358">
        <f t="shared" si="84"/>
        <v>0</v>
      </c>
      <c r="N326" s="358">
        <f t="shared" si="84"/>
        <v>0</v>
      </c>
      <c r="O326" s="358">
        <f t="shared" si="84"/>
        <v>0</v>
      </c>
      <c r="P326" s="358">
        <f t="shared" si="84"/>
        <v>0</v>
      </c>
      <c r="Q326" s="358">
        <f t="shared" si="84"/>
        <v>0</v>
      </c>
      <c r="R326" s="358">
        <f t="shared" si="84"/>
        <v>0</v>
      </c>
      <c r="S326" s="358">
        <f t="shared" si="84"/>
        <v>0</v>
      </c>
      <c r="T326" s="358">
        <f t="shared" si="84"/>
        <v>0</v>
      </c>
      <c r="U326" s="358">
        <f t="shared" si="84"/>
        <v>0</v>
      </c>
      <c r="V326" s="358">
        <f t="shared" si="84"/>
        <v>0</v>
      </c>
      <c r="W326" s="358">
        <f t="shared" si="84"/>
        <v>0</v>
      </c>
      <c r="X326" s="358">
        <f t="shared" si="84"/>
        <v>0</v>
      </c>
      <c r="Y326" s="358">
        <f t="shared" si="84"/>
        <v>0</v>
      </c>
    </row>
    <row r="327" spans="2:25">
      <c r="B327" s="91"/>
      <c r="C327" s="203"/>
      <c r="D327" s="89"/>
      <c r="E327" s="358"/>
      <c r="F327" s="358"/>
      <c r="G327" s="358"/>
      <c r="H327" s="358"/>
      <c r="I327" s="358"/>
      <c r="J327" s="358"/>
      <c r="K327" s="358"/>
      <c r="L327" s="358"/>
      <c r="M327" s="358"/>
      <c r="N327" s="358"/>
      <c r="O327" s="358"/>
      <c r="P327" s="358"/>
      <c r="Q327" s="358"/>
      <c r="R327" s="358"/>
      <c r="S327" s="358"/>
      <c r="T327" s="358"/>
      <c r="U327" s="358"/>
      <c r="V327" s="358"/>
      <c r="W327" s="358"/>
      <c r="X327" s="358"/>
      <c r="Y327" s="358"/>
    </row>
    <row r="328" spans="2:25" s="79" customFormat="1">
      <c r="B328" s="239"/>
      <c r="C328" s="240" t="s">
        <v>200</v>
      </c>
      <c r="D328" s="241"/>
      <c r="E328" s="384">
        <f t="shared" ref="E328:Y328" si="85">+E320+E325+E326</f>
        <v>-800000</v>
      </c>
      <c r="F328" s="384">
        <f t="shared" si="85"/>
        <v>84566.60918195534</v>
      </c>
      <c r="G328" s="384">
        <f t="shared" si="85"/>
        <v>359524.8055027161</v>
      </c>
      <c r="H328" s="384">
        <f t="shared" si="85"/>
        <v>395449.32941081084</v>
      </c>
      <c r="I328" s="384">
        <f t="shared" si="85"/>
        <v>424141.89345511899</v>
      </c>
      <c r="J328" s="384">
        <f t="shared" si="85"/>
        <v>448024.80568996118</v>
      </c>
      <c r="K328" s="384">
        <f t="shared" si="85"/>
        <v>421519.06057183509</v>
      </c>
      <c r="L328" s="384">
        <f t="shared" si="85"/>
        <v>428323.46057384193</v>
      </c>
      <c r="M328" s="384">
        <f t="shared" si="85"/>
        <v>453401.9056515703</v>
      </c>
      <c r="N328" s="384">
        <f t="shared" si="85"/>
        <v>480059.28963139292</v>
      </c>
      <c r="O328" s="384">
        <f t="shared" si="85"/>
        <v>508395.02250658616</v>
      </c>
      <c r="P328" s="384">
        <f t="shared" si="85"/>
        <v>508514.77312360081</v>
      </c>
      <c r="Q328" s="384">
        <f t="shared" si="85"/>
        <v>540530.86323946249</v>
      </c>
      <c r="R328" s="384">
        <f t="shared" si="85"/>
        <v>574562.68638901995</v>
      </c>
      <c r="S328" s="384">
        <f t="shared" si="85"/>
        <v>610737.15312407282</v>
      </c>
      <c r="T328" s="384">
        <f t="shared" si="85"/>
        <v>649189.16428476491</v>
      </c>
      <c r="U328" s="384">
        <f t="shared" si="85"/>
        <v>690062.11406813306</v>
      </c>
      <c r="V328" s="384">
        <f t="shared" si="85"/>
        <v>733508.4247698629</v>
      </c>
      <c r="W328" s="384">
        <f t="shared" si="85"/>
        <v>779690.11519337352</v>
      </c>
      <c r="X328" s="384">
        <f t="shared" si="85"/>
        <v>828779.40484594856</v>
      </c>
      <c r="Y328" s="384">
        <f t="shared" si="85"/>
        <v>880959.35617504665</v>
      </c>
    </row>
    <row r="329" spans="2:25">
      <c r="B329" s="91"/>
      <c r="C329" s="203"/>
      <c r="D329" s="89"/>
      <c r="E329" s="358"/>
      <c r="F329" s="358"/>
      <c r="G329" s="358"/>
      <c r="H329" s="358"/>
      <c r="I329" s="358"/>
      <c r="J329" s="358"/>
      <c r="K329" s="358"/>
      <c r="L329" s="358"/>
      <c r="M329" s="358"/>
      <c r="N329" s="358"/>
      <c r="O329" s="358"/>
      <c r="P329" s="358"/>
      <c r="Q329" s="358"/>
      <c r="R329" s="358"/>
      <c r="S329" s="358"/>
      <c r="T329" s="358"/>
      <c r="U329" s="358"/>
      <c r="V329" s="358"/>
      <c r="W329" s="358"/>
      <c r="X329" s="358"/>
      <c r="Y329" s="358"/>
    </row>
    <row r="330" spans="2:25">
      <c r="B330" s="91"/>
      <c r="C330" s="203" t="s">
        <v>201</v>
      </c>
      <c r="D330" s="89"/>
      <c r="E330" s="358"/>
      <c r="F330" s="358"/>
      <c r="G330" s="358"/>
      <c r="H330" s="358"/>
      <c r="I330" s="358"/>
      <c r="J330" s="358"/>
      <c r="K330" s="358"/>
      <c r="L330" s="358"/>
      <c r="M330" s="358"/>
      <c r="N330" s="358"/>
      <c r="O330" s="358"/>
      <c r="P330" s="358"/>
      <c r="Q330" s="358"/>
      <c r="R330" s="358"/>
      <c r="S330" s="358"/>
      <c r="T330" s="358"/>
      <c r="U330" s="358"/>
      <c r="V330" s="358"/>
      <c r="W330" s="358"/>
      <c r="X330" s="358"/>
      <c r="Y330" s="358"/>
    </row>
    <row r="331" spans="2:25">
      <c r="B331" s="91"/>
      <c r="C331" s="203" t="s">
        <v>202</v>
      </c>
      <c r="D331" s="237"/>
      <c r="E331" s="358"/>
      <c r="F331" s="358"/>
      <c r="G331" s="358"/>
      <c r="H331" s="358"/>
      <c r="I331" s="358"/>
      <c r="J331" s="358"/>
      <c r="K331" s="358"/>
      <c r="L331" s="358"/>
      <c r="M331" s="358"/>
      <c r="N331" s="358"/>
      <c r="O331" s="358"/>
      <c r="P331" s="358"/>
      <c r="Q331" s="358"/>
      <c r="R331" s="358"/>
      <c r="S331" s="358"/>
      <c r="T331" s="358"/>
      <c r="U331" s="358"/>
      <c r="V331" s="358"/>
      <c r="W331" s="358"/>
      <c r="X331" s="358"/>
      <c r="Y331" s="358"/>
    </row>
    <row r="332" spans="2:25">
      <c r="B332" s="91"/>
      <c r="C332" s="203" t="s">
        <v>203</v>
      </c>
      <c r="D332" s="89"/>
      <c r="E332" s="358"/>
      <c r="F332" s="358"/>
      <c r="G332" s="358"/>
      <c r="H332" s="358"/>
      <c r="I332" s="358"/>
      <c r="J332" s="358"/>
      <c r="K332" s="358"/>
      <c r="L332" s="358"/>
      <c r="M332" s="358"/>
      <c r="N332" s="358"/>
      <c r="O332" s="358"/>
      <c r="P332" s="358"/>
      <c r="Q332" s="358"/>
      <c r="R332" s="358"/>
      <c r="S332" s="358"/>
      <c r="T332" s="358"/>
      <c r="U332" s="358"/>
      <c r="V332" s="358"/>
      <c r="W332" s="358"/>
      <c r="X332" s="358"/>
      <c r="Y332" s="358"/>
    </row>
    <row r="333" spans="2:25">
      <c r="B333" s="91"/>
      <c r="C333" s="203" t="s">
        <v>204</v>
      </c>
      <c r="D333" s="89"/>
      <c r="E333" s="358"/>
      <c r="F333" s="358"/>
      <c r="G333" s="358"/>
      <c r="H333" s="358"/>
      <c r="I333" s="358"/>
      <c r="J333" s="358"/>
      <c r="K333" s="358"/>
      <c r="L333" s="358"/>
      <c r="M333" s="358"/>
      <c r="N333" s="358"/>
      <c r="O333" s="358"/>
      <c r="P333" s="358"/>
      <c r="Q333" s="358"/>
      <c r="R333" s="358"/>
      <c r="S333" s="358"/>
      <c r="T333" s="358"/>
      <c r="U333" s="358"/>
      <c r="V333" s="358"/>
      <c r="W333" s="358"/>
      <c r="X333" s="358"/>
      <c r="Y333" s="358"/>
    </row>
    <row r="334" spans="2:25">
      <c r="B334" s="91"/>
      <c r="C334" s="203"/>
      <c r="D334" s="237"/>
      <c r="E334" s="358"/>
      <c r="F334" s="358"/>
      <c r="G334" s="358"/>
      <c r="H334" s="358"/>
      <c r="I334" s="358"/>
      <c r="J334" s="358"/>
      <c r="K334" s="358"/>
      <c r="L334" s="358"/>
      <c r="M334" s="358"/>
      <c r="N334" s="358"/>
      <c r="O334" s="358"/>
      <c r="P334" s="358"/>
      <c r="Q334" s="358"/>
      <c r="R334" s="358"/>
      <c r="S334" s="358"/>
      <c r="T334" s="358"/>
      <c r="U334" s="358"/>
      <c r="V334" s="358"/>
      <c r="W334" s="358"/>
      <c r="X334" s="358"/>
      <c r="Y334" s="358"/>
    </row>
    <row r="335" spans="2:25" s="79" customFormat="1">
      <c r="B335" s="88"/>
      <c r="C335" s="200" t="s">
        <v>205</v>
      </c>
      <c r="D335" s="144"/>
      <c r="E335" s="368"/>
      <c r="F335" s="368"/>
      <c r="G335" s="368"/>
      <c r="H335" s="368"/>
      <c r="I335" s="368"/>
      <c r="J335" s="368"/>
      <c r="K335" s="368"/>
      <c r="L335" s="368"/>
      <c r="M335" s="368"/>
      <c r="N335" s="368"/>
      <c r="O335" s="368"/>
      <c r="P335" s="368"/>
      <c r="Q335" s="368"/>
      <c r="R335" s="368"/>
      <c r="S335" s="368"/>
      <c r="T335" s="368"/>
      <c r="U335" s="368"/>
      <c r="V335" s="368"/>
      <c r="W335" s="368"/>
      <c r="X335" s="368"/>
      <c r="Y335" s="368"/>
    </row>
    <row r="336" spans="2:25">
      <c r="B336" s="91"/>
      <c r="C336" s="203" t="s">
        <v>206</v>
      </c>
      <c r="D336" s="89"/>
      <c r="E336" s="358">
        <f t="shared" ref="E336:Y336" si="86">+E241</f>
        <v>1891369.125</v>
      </c>
      <c r="F336" s="358">
        <f t="shared" si="86"/>
        <v>0</v>
      </c>
      <c r="G336" s="358">
        <f t="shared" si="86"/>
        <v>0</v>
      </c>
      <c r="H336" s="358">
        <f t="shared" si="86"/>
        <v>0</v>
      </c>
      <c r="I336" s="358">
        <f t="shared" si="86"/>
        <v>0</v>
      </c>
      <c r="J336" s="358">
        <f t="shared" si="86"/>
        <v>0</v>
      </c>
      <c r="K336" s="358">
        <f t="shared" si="86"/>
        <v>0</v>
      </c>
      <c r="L336" s="358">
        <f t="shared" si="86"/>
        <v>0</v>
      </c>
      <c r="M336" s="358">
        <f t="shared" si="86"/>
        <v>0</v>
      </c>
      <c r="N336" s="358">
        <f t="shared" si="86"/>
        <v>0</v>
      </c>
      <c r="O336" s="358">
        <f t="shared" si="86"/>
        <v>0</v>
      </c>
      <c r="P336" s="358">
        <f t="shared" si="86"/>
        <v>0</v>
      </c>
      <c r="Q336" s="358">
        <f t="shared" si="86"/>
        <v>0</v>
      </c>
      <c r="R336" s="358">
        <f t="shared" si="86"/>
        <v>0</v>
      </c>
      <c r="S336" s="358">
        <f t="shared" si="86"/>
        <v>0</v>
      </c>
      <c r="T336" s="358">
        <f t="shared" si="86"/>
        <v>0</v>
      </c>
      <c r="U336" s="358">
        <f t="shared" si="86"/>
        <v>0</v>
      </c>
      <c r="V336" s="358">
        <f t="shared" si="86"/>
        <v>0</v>
      </c>
      <c r="W336" s="358">
        <f t="shared" si="86"/>
        <v>0</v>
      </c>
      <c r="X336" s="358">
        <f t="shared" si="86"/>
        <v>0</v>
      </c>
      <c r="Y336" s="358">
        <f t="shared" si="86"/>
        <v>0</v>
      </c>
    </row>
    <row r="337" spans="2:25">
      <c r="B337" s="91"/>
      <c r="C337" s="203" t="s">
        <v>207</v>
      </c>
      <c r="D337" s="237"/>
      <c r="E337" s="358"/>
      <c r="F337" s="358"/>
      <c r="G337" s="358"/>
      <c r="H337" s="358"/>
      <c r="I337" s="358"/>
      <c r="J337" s="358"/>
      <c r="K337" s="358"/>
      <c r="L337" s="358"/>
      <c r="M337" s="358"/>
      <c r="N337" s="358"/>
      <c r="O337" s="358"/>
      <c r="P337" s="358"/>
      <c r="Q337" s="358"/>
      <c r="R337" s="358"/>
      <c r="S337" s="358"/>
      <c r="T337" s="358"/>
      <c r="U337" s="358"/>
      <c r="V337" s="358"/>
      <c r="W337" s="358"/>
      <c r="X337" s="358"/>
      <c r="Y337" s="358"/>
    </row>
    <row r="338" spans="2:25">
      <c r="B338" s="91"/>
      <c r="C338" s="203" t="s">
        <v>208</v>
      </c>
      <c r="D338" s="89"/>
      <c r="E338" s="358">
        <f t="shared" ref="E338:Y338" si="87">-E280</f>
        <v>0</v>
      </c>
      <c r="F338" s="358">
        <f t="shared" si="87"/>
        <v>0</v>
      </c>
      <c r="G338" s="358">
        <f t="shared" si="87"/>
        <v>-22889.497876434052</v>
      </c>
      <c r="H338" s="358">
        <f t="shared" si="87"/>
        <v>-26494.65742355186</v>
      </c>
      <c r="I338" s="358">
        <f t="shared" si="87"/>
        <v>-29372.453029280518</v>
      </c>
      <c r="J338" s="358">
        <f t="shared" si="87"/>
        <v>-31761.460509520723</v>
      </c>
      <c r="K338" s="358">
        <f t="shared" si="87"/>
        <v>-34109.469097131208</v>
      </c>
      <c r="L338" s="358">
        <f t="shared" si="87"/>
        <v>-39788.581777826759</v>
      </c>
      <c r="M338" s="358">
        <f t="shared" si="87"/>
        <v>-42293.670886558742</v>
      </c>
      <c r="N338" s="358">
        <f t="shared" si="87"/>
        <v>-44956.480405576403</v>
      </c>
      <c r="O338" s="358">
        <f t="shared" si="87"/>
        <v>-47786.940411911499</v>
      </c>
      <c r="P338" s="358">
        <f t="shared" si="87"/>
        <v>-50795.606180245464</v>
      </c>
      <c r="Q338" s="358">
        <f t="shared" si="87"/>
        <v>-53993.697545353745</v>
      </c>
      <c r="R338" s="358">
        <f t="shared" si="87"/>
        <v>-57393.140742809213</v>
      </c>
      <c r="S338" s="358">
        <f t="shared" si="87"/>
        <v>-61006.612883976544</v>
      </c>
      <c r="T338" s="358">
        <f t="shared" si="87"/>
        <v>-64847.589231151709</v>
      </c>
      <c r="U338" s="358">
        <f t="shared" si="87"/>
        <v>-68930.393449145064</v>
      </c>
      <c r="V338" s="358">
        <f t="shared" si="87"/>
        <v>-73270.251020703217</v>
      </c>
      <c r="W338" s="358">
        <f t="shared" si="87"/>
        <v>-77883.346024966682</v>
      </c>
      <c r="X338" s="358">
        <f t="shared" si="87"/>
        <v>-82786.881490698579</v>
      </c>
      <c r="Y338" s="358">
        <f t="shared" si="87"/>
        <v>-87999.143549353001</v>
      </c>
    </row>
    <row r="339" spans="2:25">
      <c r="B339" s="91"/>
      <c r="C339" s="203"/>
      <c r="D339" s="237"/>
      <c r="E339" s="358"/>
      <c r="F339" s="358"/>
      <c r="G339" s="358"/>
      <c r="H339" s="358"/>
      <c r="I339" s="358"/>
      <c r="J339" s="358"/>
      <c r="K339" s="358"/>
      <c r="L339" s="358"/>
      <c r="M339" s="358"/>
      <c r="N339" s="358"/>
      <c r="O339" s="358"/>
      <c r="P339" s="358"/>
      <c r="Q339" s="358"/>
      <c r="R339" s="358"/>
      <c r="S339" s="358"/>
      <c r="T339" s="358"/>
      <c r="U339" s="358"/>
      <c r="V339" s="358"/>
      <c r="W339" s="358"/>
      <c r="X339" s="358"/>
      <c r="Y339" s="358"/>
    </row>
    <row r="340" spans="2:25">
      <c r="B340" s="91"/>
      <c r="C340" s="203" t="s">
        <v>178</v>
      </c>
      <c r="D340" s="89"/>
      <c r="E340" s="358">
        <f t="shared" ref="E340:Y340" si="88">+E328+E336+E338</f>
        <v>1091369.125</v>
      </c>
      <c r="F340" s="358">
        <f t="shared" si="88"/>
        <v>84566.60918195534</v>
      </c>
      <c r="G340" s="358">
        <f t="shared" si="88"/>
        <v>336635.30762628204</v>
      </c>
      <c r="H340" s="358">
        <f t="shared" si="88"/>
        <v>368954.671987259</v>
      </c>
      <c r="I340" s="358">
        <f t="shared" si="88"/>
        <v>394769.44042583846</v>
      </c>
      <c r="J340" s="358">
        <f t="shared" si="88"/>
        <v>416263.34518044046</v>
      </c>
      <c r="K340" s="358">
        <f t="shared" si="88"/>
        <v>387409.59147470386</v>
      </c>
      <c r="L340" s="358">
        <f t="shared" si="88"/>
        <v>388534.87879601517</v>
      </c>
      <c r="M340" s="358">
        <f t="shared" si="88"/>
        <v>411108.23476501158</v>
      </c>
      <c r="N340" s="358">
        <f t="shared" si="88"/>
        <v>435102.80922581651</v>
      </c>
      <c r="O340" s="358">
        <f t="shared" si="88"/>
        <v>460608.08209467464</v>
      </c>
      <c r="P340" s="358">
        <f t="shared" si="88"/>
        <v>457719.16694335535</v>
      </c>
      <c r="Q340" s="358">
        <f t="shared" si="88"/>
        <v>486537.16569410876</v>
      </c>
      <c r="R340" s="358">
        <f t="shared" si="88"/>
        <v>517169.54564621072</v>
      </c>
      <c r="S340" s="358">
        <f t="shared" si="88"/>
        <v>549730.54024009628</v>
      </c>
      <c r="T340" s="358">
        <f t="shared" si="88"/>
        <v>584341.57505361317</v>
      </c>
      <c r="U340" s="358">
        <f t="shared" si="88"/>
        <v>621131.72061898804</v>
      </c>
      <c r="V340" s="358">
        <f t="shared" si="88"/>
        <v>660238.17374915967</v>
      </c>
      <c r="W340" s="358">
        <f t="shared" si="88"/>
        <v>701806.76916840684</v>
      </c>
      <c r="X340" s="358">
        <f t="shared" si="88"/>
        <v>745992.52335525001</v>
      </c>
      <c r="Y340" s="358">
        <f t="shared" si="88"/>
        <v>792960.21262569365</v>
      </c>
    </row>
    <row r="341" spans="2:25">
      <c r="B341" s="91"/>
      <c r="C341" s="203" t="s">
        <v>114</v>
      </c>
      <c r="D341" s="89"/>
      <c r="E341" s="358">
        <v>0</v>
      </c>
      <c r="F341" s="358">
        <f t="shared" ref="F341:Y341" si="89">+E342</f>
        <v>1091369.125</v>
      </c>
      <c r="G341" s="358">
        <f t="shared" si="89"/>
        <v>1175935.7341819555</v>
      </c>
      <c r="H341" s="358">
        <f t="shared" si="89"/>
        <v>1512571.0418082376</v>
      </c>
      <c r="I341" s="358">
        <f t="shared" si="89"/>
        <v>1881525.7137954966</v>
      </c>
      <c r="J341" s="358">
        <f t="shared" si="89"/>
        <v>2276295.154221335</v>
      </c>
      <c r="K341" s="358">
        <f t="shared" si="89"/>
        <v>2692558.4994017752</v>
      </c>
      <c r="L341" s="358">
        <f t="shared" si="89"/>
        <v>3079968.0908764792</v>
      </c>
      <c r="M341" s="358">
        <f t="shared" si="89"/>
        <v>3468502.9696724946</v>
      </c>
      <c r="N341" s="358">
        <f t="shared" si="89"/>
        <v>3879611.2044375064</v>
      </c>
      <c r="O341" s="358">
        <f t="shared" si="89"/>
        <v>4314714.0136633227</v>
      </c>
      <c r="P341" s="358">
        <f t="shared" si="89"/>
        <v>4775322.0957579976</v>
      </c>
      <c r="Q341" s="358">
        <f t="shared" si="89"/>
        <v>5233041.2627013531</v>
      </c>
      <c r="R341" s="358">
        <f t="shared" si="89"/>
        <v>5719578.4283954622</v>
      </c>
      <c r="S341" s="358">
        <f t="shared" si="89"/>
        <v>6236747.9740416734</v>
      </c>
      <c r="T341" s="358">
        <f t="shared" si="89"/>
        <v>6786478.5142817693</v>
      </c>
      <c r="U341" s="358">
        <f t="shared" si="89"/>
        <v>7370820.089335382</v>
      </c>
      <c r="V341" s="358">
        <f t="shared" si="89"/>
        <v>7991951.8099543704</v>
      </c>
      <c r="W341" s="358">
        <f t="shared" si="89"/>
        <v>8652189.9837035295</v>
      </c>
      <c r="X341" s="358">
        <f t="shared" si="89"/>
        <v>9353996.7528719362</v>
      </c>
      <c r="Y341" s="358">
        <f t="shared" si="89"/>
        <v>10099989.276227186</v>
      </c>
    </row>
    <row r="342" spans="2:25">
      <c r="B342" s="91"/>
      <c r="C342" s="203" t="s">
        <v>132</v>
      </c>
      <c r="D342" s="89"/>
      <c r="E342" s="358">
        <f t="shared" ref="E342:Y342" si="90">+E340+E341</f>
        <v>1091369.125</v>
      </c>
      <c r="F342" s="358">
        <f t="shared" si="90"/>
        <v>1175935.7341819555</v>
      </c>
      <c r="G342" s="358">
        <f t="shared" si="90"/>
        <v>1512571.0418082376</v>
      </c>
      <c r="H342" s="358">
        <f t="shared" si="90"/>
        <v>1881525.7137954966</v>
      </c>
      <c r="I342" s="358">
        <f t="shared" si="90"/>
        <v>2276295.154221335</v>
      </c>
      <c r="J342" s="358">
        <f t="shared" si="90"/>
        <v>2692558.4994017752</v>
      </c>
      <c r="K342" s="358">
        <f t="shared" si="90"/>
        <v>3079968.0908764792</v>
      </c>
      <c r="L342" s="358">
        <f t="shared" si="90"/>
        <v>3468502.9696724946</v>
      </c>
      <c r="M342" s="358">
        <f t="shared" si="90"/>
        <v>3879611.2044375064</v>
      </c>
      <c r="N342" s="358">
        <f t="shared" si="90"/>
        <v>4314714.0136633227</v>
      </c>
      <c r="O342" s="358">
        <f t="shared" si="90"/>
        <v>4775322.0957579976</v>
      </c>
      <c r="P342" s="358">
        <f t="shared" si="90"/>
        <v>5233041.2627013531</v>
      </c>
      <c r="Q342" s="358">
        <f t="shared" si="90"/>
        <v>5719578.4283954622</v>
      </c>
      <c r="R342" s="358">
        <f t="shared" si="90"/>
        <v>6236747.9740416734</v>
      </c>
      <c r="S342" s="358">
        <f t="shared" si="90"/>
        <v>6786478.5142817693</v>
      </c>
      <c r="T342" s="358">
        <f t="shared" si="90"/>
        <v>7370820.089335382</v>
      </c>
      <c r="U342" s="358">
        <f t="shared" si="90"/>
        <v>7991951.8099543704</v>
      </c>
      <c r="V342" s="358">
        <f t="shared" si="90"/>
        <v>8652189.9837035295</v>
      </c>
      <c r="W342" s="358">
        <f t="shared" si="90"/>
        <v>9353996.7528719362</v>
      </c>
      <c r="X342" s="358">
        <f t="shared" si="90"/>
        <v>10099989.276227186</v>
      </c>
      <c r="Y342" s="358">
        <f t="shared" si="90"/>
        <v>10892949.488852879</v>
      </c>
    </row>
    <row r="343" spans="2:25">
      <c r="B343" s="97"/>
      <c r="C343" s="216"/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99"/>
    </row>
    <row r="344" spans="2:25">
      <c r="E344" s="66">
        <f t="shared" ref="E344:Y344" si="91">+E342-E292</f>
        <v>0</v>
      </c>
      <c r="F344" s="66">
        <f t="shared" si="91"/>
        <v>0</v>
      </c>
      <c r="G344" s="66">
        <f t="shared" si="91"/>
        <v>0</v>
      </c>
      <c r="H344" s="66">
        <f t="shared" si="91"/>
        <v>0</v>
      </c>
      <c r="I344" s="66">
        <f t="shared" si="91"/>
        <v>0</v>
      </c>
      <c r="J344" s="66">
        <f t="shared" si="91"/>
        <v>0</v>
      </c>
      <c r="K344" s="66">
        <f t="shared" si="91"/>
        <v>0</v>
      </c>
      <c r="L344" s="66">
        <f t="shared" si="91"/>
        <v>0</v>
      </c>
      <c r="M344" s="66">
        <f t="shared" si="91"/>
        <v>0</v>
      </c>
      <c r="N344" s="66">
        <f t="shared" si="91"/>
        <v>0</v>
      </c>
      <c r="O344" s="66">
        <f t="shared" si="91"/>
        <v>0</v>
      </c>
      <c r="P344" s="66">
        <f t="shared" si="91"/>
        <v>0</v>
      </c>
      <c r="Q344" s="66">
        <f t="shared" si="91"/>
        <v>0</v>
      </c>
      <c r="R344" s="66">
        <f t="shared" si="91"/>
        <v>0</v>
      </c>
      <c r="S344" s="66">
        <f t="shared" si="91"/>
        <v>0</v>
      </c>
      <c r="T344" s="66">
        <f t="shared" si="91"/>
        <v>0</v>
      </c>
      <c r="U344" s="66">
        <f t="shared" si="91"/>
        <v>0</v>
      </c>
      <c r="V344" s="66">
        <f t="shared" si="91"/>
        <v>0</v>
      </c>
      <c r="W344" s="66">
        <f t="shared" si="91"/>
        <v>0</v>
      </c>
      <c r="X344" s="66">
        <f t="shared" si="91"/>
        <v>0</v>
      </c>
      <c r="Y344" s="66">
        <f t="shared" si="91"/>
        <v>0</v>
      </c>
    </row>
    <row r="347" spans="2:25">
      <c r="B347" s="75" t="s">
        <v>209</v>
      </c>
      <c r="C347" s="77"/>
      <c r="D347" s="77"/>
      <c r="E347" s="77"/>
      <c r="F347" s="77"/>
      <c r="G347" s="77"/>
      <c r="H347" s="77"/>
      <c r="I347" s="77"/>
      <c r="J347" s="77"/>
    </row>
    <row r="348" spans="2:25">
      <c r="C348" s="77"/>
      <c r="D348" s="77"/>
      <c r="E348" s="77"/>
      <c r="F348" s="77"/>
      <c r="G348" s="77"/>
      <c r="H348" s="77"/>
      <c r="I348" s="77"/>
      <c r="J348" s="77"/>
    </row>
    <row r="349" spans="2:25">
      <c r="B349" s="227"/>
      <c r="C349" s="242"/>
      <c r="D349" s="242"/>
      <c r="E349" s="227"/>
      <c r="F349" s="227"/>
      <c r="G349" s="227"/>
      <c r="H349" s="227"/>
      <c r="I349" s="227"/>
      <c r="J349" s="229"/>
      <c r="K349" s="229"/>
      <c r="L349" s="229"/>
      <c r="M349" s="229"/>
      <c r="N349" s="229"/>
      <c r="O349" s="229"/>
      <c r="P349" s="229"/>
      <c r="Q349" s="229"/>
      <c r="R349" s="229"/>
      <c r="S349" s="229"/>
      <c r="T349" s="229"/>
      <c r="U349" s="229"/>
      <c r="V349" s="229"/>
      <c r="W349" s="229"/>
      <c r="X349" s="229"/>
      <c r="Y349" s="229"/>
    </row>
    <row r="350" spans="2:25">
      <c r="B350" s="230"/>
      <c r="C350" s="243"/>
      <c r="D350" s="244"/>
      <c r="E350" s="245" t="s">
        <v>124</v>
      </c>
      <c r="F350" s="245" t="s">
        <v>41</v>
      </c>
      <c r="G350" s="245" t="s">
        <v>42</v>
      </c>
      <c r="H350" s="245" t="s">
        <v>43</v>
      </c>
      <c r="I350" s="245" t="s">
        <v>44</v>
      </c>
      <c r="J350" s="232" t="s">
        <v>45</v>
      </c>
      <c r="K350" s="232" t="s">
        <v>46</v>
      </c>
      <c r="L350" s="232" t="s">
        <v>47</v>
      </c>
      <c r="M350" s="232" t="s">
        <v>48</v>
      </c>
      <c r="N350" s="232" t="s">
        <v>49</v>
      </c>
      <c r="O350" s="232" t="s">
        <v>50</v>
      </c>
      <c r="P350" s="232" t="s">
        <v>51</v>
      </c>
      <c r="Q350" s="232" t="s">
        <v>52</v>
      </c>
      <c r="R350" s="232" t="s">
        <v>53</v>
      </c>
      <c r="S350" s="232" t="s">
        <v>54</v>
      </c>
      <c r="T350" s="232" t="s">
        <v>55</v>
      </c>
      <c r="U350" s="232" t="s">
        <v>56</v>
      </c>
      <c r="V350" s="232" t="s">
        <v>57</v>
      </c>
      <c r="W350" s="232" t="s">
        <v>58</v>
      </c>
      <c r="X350" s="232" t="s">
        <v>59</v>
      </c>
      <c r="Y350" s="232" t="s">
        <v>60</v>
      </c>
    </row>
    <row r="351" spans="2:25">
      <c r="B351" s="233"/>
      <c r="C351" s="246"/>
      <c r="D351" s="247"/>
      <c r="E351" s="233"/>
      <c r="F351" s="233"/>
      <c r="G351" s="233"/>
      <c r="H351" s="233"/>
      <c r="I351" s="233"/>
      <c r="J351" s="236"/>
      <c r="K351" s="236"/>
      <c r="L351" s="236"/>
      <c r="M351" s="236"/>
      <c r="N351" s="236"/>
      <c r="O351" s="236"/>
      <c r="P351" s="236"/>
      <c r="Q351" s="236"/>
      <c r="R351" s="236"/>
      <c r="S351" s="236"/>
      <c r="T351" s="236"/>
      <c r="U351" s="236"/>
      <c r="V351" s="236"/>
      <c r="W351" s="236"/>
      <c r="X351" s="236"/>
      <c r="Y351" s="236"/>
    </row>
    <row r="352" spans="2:25">
      <c r="B352" s="128"/>
      <c r="C352" s="129"/>
      <c r="D352" s="129"/>
      <c r="E352" s="128"/>
      <c r="F352" s="128"/>
      <c r="G352" s="128"/>
      <c r="H352" s="128"/>
      <c r="I352" s="128"/>
      <c r="J352" s="130"/>
      <c r="K352" s="130"/>
      <c r="L352" s="130"/>
      <c r="M352" s="130"/>
      <c r="N352" s="130"/>
      <c r="O352" s="130"/>
      <c r="P352" s="130"/>
      <c r="Q352" s="130"/>
      <c r="R352" s="130"/>
      <c r="S352" s="130"/>
      <c r="T352" s="130"/>
      <c r="U352" s="130"/>
      <c r="V352" s="130"/>
      <c r="W352" s="130"/>
      <c r="X352" s="130"/>
      <c r="Y352" s="130"/>
    </row>
    <row r="353" spans="2:25">
      <c r="B353" s="88" t="s">
        <v>113</v>
      </c>
      <c r="E353" s="91"/>
      <c r="F353" s="91"/>
      <c r="G353" s="91"/>
      <c r="H353" s="91"/>
      <c r="I353" s="91"/>
      <c r="J353" s="89"/>
      <c r="K353" s="89"/>
      <c r="L353" s="89"/>
      <c r="M353" s="89"/>
      <c r="N353" s="89"/>
      <c r="O353" s="89"/>
      <c r="P353" s="89"/>
      <c r="Q353" s="89"/>
      <c r="R353" s="89"/>
      <c r="S353" s="89"/>
      <c r="T353" s="89"/>
      <c r="U353" s="89"/>
      <c r="V353" s="89"/>
      <c r="W353" s="89"/>
      <c r="X353" s="89"/>
      <c r="Y353" s="89"/>
    </row>
    <row r="354" spans="2:25">
      <c r="B354" s="90" t="s">
        <v>166</v>
      </c>
      <c r="E354" s="91"/>
      <c r="F354" s="91"/>
      <c r="G354" s="91"/>
      <c r="H354" s="91"/>
      <c r="I354" s="91"/>
      <c r="J354" s="89"/>
      <c r="K354" s="89"/>
      <c r="L354" s="89"/>
      <c r="M354" s="89"/>
      <c r="N354" s="89"/>
      <c r="O354" s="89"/>
      <c r="P354" s="89"/>
      <c r="Q354" s="89"/>
      <c r="R354" s="89"/>
      <c r="S354" s="89"/>
      <c r="T354" s="89"/>
      <c r="U354" s="89"/>
      <c r="V354" s="89"/>
      <c r="W354" s="89"/>
      <c r="X354" s="89"/>
      <c r="Y354" s="89"/>
    </row>
    <row r="355" spans="2:25">
      <c r="B355" s="91"/>
      <c r="C355" s="66" t="s">
        <v>210</v>
      </c>
      <c r="E355" s="363">
        <f t="shared" ref="E355:Y355" si="92">+E292</f>
        <v>1091369.125</v>
      </c>
      <c r="F355" s="363">
        <f t="shared" si="92"/>
        <v>1175935.7341819555</v>
      </c>
      <c r="G355" s="363">
        <f t="shared" si="92"/>
        <v>1512571.0418082376</v>
      </c>
      <c r="H355" s="363">
        <f t="shared" si="92"/>
        <v>1881525.7137954966</v>
      </c>
      <c r="I355" s="363">
        <f t="shared" si="92"/>
        <v>2276295.154221335</v>
      </c>
      <c r="J355" s="358">
        <f t="shared" si="92"/>
        <v>2692558.4994017752</v>
      </c>
      <c r="K355" s="358">
        <f t="shared" si="92"/>
        <v>3079968.0908764792</v>
      </c>
      <c r="L355" s="358">
        <f t="shared" si="92"/>
        <v>3468502.9696724946</v>
      </c>
      <c r="M355" s="358">
        <f t="shared" si="92"/>
        <v>3879611.2044375064</v>
      </c>
      <c r="N355" s="358">
        <f t="shared" si="92"/>
        <v>4314714.0136633227</v>
      </c>
      <c r="O355" s="358">
        <f t="shared" si="92"/>
        <v>4775322.0957579976</v>
      </c>
      <c r="P355" s="358">
        <f t="shared" si="92"/>
        <v>5233041.2627013531</v>
      </c>
      <c r="Q355" s="358">
        <f t="shared" si="92"/>
        <v>5719578.4283954622</v>
      </c>
      <c r="R355" s="358">
        <f t="shared" si="92"/>
        <v>6236747.9740416724</v>
      </c>
      <c r="S355" s="358">
        <f t="shared" si="92"/>
        <v>6786478.5142817684</v>
      </c>
      <c r="T355" s="358">
        <f t="shared" si="92"/>
        <v>7370820.089335382</v>
      </c>
      <c r="U355" s="358">
        <f t="shared" si="92"/>
        <v>7991951.8099543704</v>
      </c>
      <c r="V355" s="358">
        <f t="shared" si="92"/>
        <v>8652189.9837035295</v>
      </c>
      <c r="W355" s="358">
        <f t="shared" si="92"/>
        <v>9353996.7528719362</v>
      </c>
      <c r="X355" s="358">
        <f t="shared" si="92"/>
        <v>10099989.276227186</v>
      </c>
      <c r="Y355" s="358">
        <f t="shared" si="92"/>
        <v>10892949.488852879</v>
      </c>
    </row>
    <row r="356" spans="2:25">
      <c r="B356" s="91"/>
      <c r="C356" s="203" t="str">
        <f>+C264</f>
        <v>Cuentas por Cobrar</v>
      </c>
      <c r="E356" s="363">
        <f>+E264</f>
        <v>0</v>
      </c>
      <c r="F356" s="363">
        <f t="shared" ref="F356:Y357" si="93">+E356+F264</f>
        <v>1091369.125</v>
      </c>
      <c r="G356" s="363">
        <f t="shared" si="93"/>
        <v>1241890.7547200001</v>
      </c>
      <c r="H356" s="363">
        <f t="shared" si="93"/>
        <v>1362043.68523916</v>
      </c>
      <c r="I356" s="363">
        <f t="shared" si="93"/>
        <v>1461788.8683965942</v>
      </c>
      <c r="J356" s="358">
        <f t="shared" si="93"/>
        <v>1559822.2770667435</v>
      </c>
      <c r="K356" s="358">
        <f t="shared" si="93"/>
        <v>1661241.9215216232</v>
      </c>
      <c r="L356" s="358">
        <f t="shared" si="93"/>
        <v>1765833.7129006246</v>
      </c>
      <c r="M356" s="358">
        <f t="shared" si="93"/>
        <v>1877010.6034648479</v>
      </c>
      <c r="N356" s="358">
        <f t="shared" si="93"/>
        <v>1995187.191058995</v>
      </c>
      <c r="O356" s="358">
        <f t="shared" si="93"/>
        <v>2120804.1766080693</v>
      </c>
      <c r="P356" s="358">
        <f t="shared" si="93"/>
        <v>2254330.0075673135</v>
      </c>
      <c r="Q356" s="358">
        <f t="shared" si="93"/>
        <v>2396262.624843752</v>
      </c>
      <c r="R356" s="358">
        <f t="shared" si="93"/>
        <v>2547131.3197039152</v>
      </c>
      <c r="S356" s="358">
        <f t="shared" si="93"/>
        <v>2707498.7075924738</v>
      </c>
      <c r="T356" s="358">
        <f t="shared" si="93"/>
        <v>2877962.8262224961</v>
      </c>
      <c r="U356" s="358">
        <f t="shared" si="93"/>
        <v>3059159.3657614645</v>
      </c>
      <c r="V356" s="358">
        <f t="shared" si="93"/>
        <v>3251764.0394298066</v>
      </c>
      <c r="W356" s="358">
        <f t="shared" si="93"/>
        <v>3456495.1033523073</v>
      </c>
      <c r="X356" s="358">
        <f t="shared" si="93"/>
        <v>3674116.0350593692</v>
      </c>
      <c r="Y356" s="358">
        <f t="shared" si="93"/>
        <v>3905438.3806267073</v>
      </c>
    </row>
    <row r="357" spans="2:25">
      <c r="B357" s="91"/>
      <c r="C357" s="203" t="str">
        <f>+C265</f>
        <v>Inventarios</v>
      </c>
      <c r="E357" s="363">
        <f>+E265</f>
        <v>0</v>
      </c>
      <c r="F357" s="363">
        <f t="shared" si="93"/>
        <v>0</v>
      </c>
      <c r="G357" s="363">
        <f t="shared" si="93"/>
        <v>0</v>
      </c>
      <c r="H357" s="363">
        <f t="shared" si="93"/>
        <v>0</v>
      </c>
      <c r="I357" s="363">
        <f t="shared" si="93"/>
        <v>0</v>
      </c>
      <c r="J357" s="358">
        <f t="shared" si="93"/>
        <v>0</v>
      </c>
      <c r="K357" s="358">
        <f t="shared" si="93"/>
        <v>0</v>
      </c>
      <c r="L357" s="358">
        <f t="shared" si="93"/>
        <v>0</v>
      </c>
      <c r="M357" s="358">
        <f t="shared" si="93"/>
        <v>0</v>
      </c>
      <c r="N357" s="358">
        <f t="shared" si="93"/>
        <v>0</v>
      </c>
      <c r="O357" s="358">
        <f t="shared" si="93"/>
        <v>0</v>
      </c>
      <c r="P357" s="358">
        <f t="shared" si="93"/>
        <v>0</v>
      </c>
      <c r="Q357" s="358">
        <f t="shared" si="93"/>
        <v>0</v>
      </c>
      <c r="R357" s="358">
        <f t="shared" si="93"/>
        <v>0</v>
      </c>
      <c r="S357" s="358">
        <f t="shared" si="93"/>
        <v>0</v>
      </c>
      <c r="T357" s="358">
        <f t="shared" si="93"/>
        <v>0</v>
      </c>
      <c r="U357" s="358">
        <f t="shared" si="93"/>
        <v>0</v>
      </c>
      <c r="V357" s="358">
        <f t="shared" si="93"/>
        <v>0</v>
      </c>
      <c r="W357" s="358">
        <f t="shared" si="93"/>
        <v>0</v>
      </c>
      <c r="X357" s="358">
        <f t="shared" si="93"/>
        <v>0</v>
      </c>
      <c r="Y357" s="358">
        <f t="shared" si="93"/>
        <v>0</v>
      </c>
    </row>
    <row r="358" spans="2:25">
      <c r="B358" s="91"/>
      <c r="E358" s="363"/>
      <c r="F358" s="363"/>
      <c r="G358" s="363"/>
      <c r="H358" s="363"/>
      <c r="I358" s="363"/>
      <c r="J358" s="358"/>
      <c r="K358" s="358"/>
      <c r="L358" s="358"/>
      <c r="M358" s="358"/>
      <c r="N358" s="358"/>
      <c r="O358" s="358"/>
      <c r="P358" s="358"/>
      <c r="Q358" s="358"/>
      <c r="R358" s="358"/>
      <c r="S358" s="358"/>
      <c r="T358" s="358"/>
      <c r="U358" s="358"/>
      <c r="V358" s="358"/>
      <c r="W358" s="358"/>
      <c r="X358" s="358"/>
      <c r="Y358" s="358"/>
    </row>
    <row r="359" spans="2:25">
      <c r="B359" s="226" t="s">
        <v>211</v>
      </c>
      <c r="C359" s="248"/>
      <c r="D359" s="249"/>
      <c r="E359" s="383">
        <f t="shared" ref="E359:Y359" si="94">SUM(E355:E358)</f>
        <v>1091369.125</v>
      </c>
      <c r="F359" s="383">
        <f t="shared" si="94"/>
        <v>2267304.8591819555</v>
      </c>
      <c r="G359" s="383">
        <f>SUM(G355:G358)</f>
        <v>2754461.7965282379</v>
      </c>
      <c r="H359" s="383">
        <f t="shared" si="94"/>
        <v>3243569.3990346566</v>
      </c>
      <c r="I359" s="383">
        <f t="shared" si="94"/>
        <v>3738084.0226179291</v>
      </c>
      <c r="J359" s="360">
        <f t="shared" si="94"/>
        <v>4252380.7764685191</v>
      </c>
      <c r="K359" s="360">
        <f t="shared" si="94"/>
        <v>4741210.0123981023</v>
      </c>
      <c r="L359" s="360">
        <f t="shared" si="94"/>
        <v>5234336.6825731192</v>
      </c>
      <c r="M359" s="360">
        <f t="shared" si="94"/>
        <v>5756621.8079023547</v>
      </c>
      <c r="N359" s="360">
        <f t="shared" si="94"/>
        <v>6309901.2047223179</v>
      </c>
      <c r="O359" s="360">
        <f t="shared" si="94"/>
        <v>6896126.2723660674</v>
      </c>
      <c r="P359" s="360">
        <f t="shared" si="94"/>
        <v>7487371.2702686666</v>
      </c>
      <c r="Q359" s="360">
        <f t="shared" si="94"/>
        <v>8115841.0532392142</v>
      </c>
      <c r="R359" s="360">
        <f t="shared" si="94"/>
        <v>8783879.2937455885</v>
      </c>
      <c r="S359" s="360">
        <f t="shared" si="94"/>
        <v>9493977.2218742426</v>
      </c>
      <c r="T359" s="360">
        <f t="shared" si="94"/>
        <v>10248782.915557878</v>
      </c>
      <c r="U359" s="360">
        <f t="shared" si="94"/>
        <v>11051111.175715834</v>
      </c>
      <c r="V359" s="360">
        <f t="shared" si="94"/>
        <v>11903954.023133336</v>
      </c>
      <c r="W359" s="360">
        <f t="shared" si="94"/>
        <v>12810491.856224243</v>
      </c>
      <c r="X359" s="360">
        <f t="shared" si="94"/>
        <v>13774105.311286554</v>
      </c>
      <c r="Y359" s="360">
        <f t="shared" si="94"/>
        <v>14798387.869479585</v>
      </c>
    </row>
    <row r="360" spans="2:25">
      <c r="B360" s="91"/>
      <c r="E360" s="363"/>
      <c r="F360" s="363"/>
      <c r="G360" s="363"/>
      <c r="H360" s="363"/>
      <c r="I360" s="363"/>
      <c r="J360" s="358"/>
      <c r="K360" s="358"/>
      <c r="L360" s="358"/>
      <c r="M360" s="358"/>
      <c r="N360" s="358"/>
      <c r="O360" s="358"/>
      <c r="P360" s="358"/>
      <c r="Q360" s="358"/>
      <c r="R360" s="358"/>
      <c r="S360" s="358"/>
      <c r="T360" s="358"/>
      <c r="U360" s="358"/>
      <c r="V360" s="358"/>
      <c r="W360" s="358"/>
      <c r="X360" s="358"/>
      <c r="Y360" s="358"/>
    </row>
    <row r="361" spans="2:25">
      <c r="B361" s="90" t="s">
        <v>212</v>
      </c>
      <c r="E361" s="363"/>
      <c r="F361" s="363"/>
      <c r="G361" s="363"/>
      <c r="H361" s="363"/>
      <c r="I361" s="363"/>
      <c r="J361" s="358"/>
      <c r="K361" s="358"/>
      <c r="L361" s="358"/>
      <c r="M361" s="358"/>
      <c r="N361" s="358"/>
      <c r="O361" s="358"/>
      <c r="P361" s="358"/>
      <c r="Q361" s="358"/>
      <c r="R361" s="358"/>
      <c r="S361" s="358"/>
      <c r="T361" s="358"/>
      <c r="U361" s="358"/>
      <c r="V361" s="358"/>
      <c r="W361" s="358"/>
      <c r="X361" s="358"/>
      <c r="Y361" s="358"/>
    </row>
    <row r="362" spans="2:25">
      <c r="B362" s="250" t="s">
        <v>213</v>
      </c>
      <c r="E362" s="363"/>
      <c r="F362" s="363"/>
      <c r="G362" s="363"/>
      <c r="H362" s="363"/>
      <c r="I362" s="363"/>
      <c r="J362" s="358"/>
      <c r="K362" s="358"/>
      <c r="L362" s="358"/>
      <c r="M362" s="358"/>
      <c r="N362" s="358"/>
      <c r="O362" s="358"/>
      <c r="P362" s="358"/>
      <c r="Q362" s="358"/>
      <c r="R362" s="358"/>
      <c r="S362" s="358"/>
      <c r="T362" s="358"/>
      <c r="U362" s="358"/>
      <c r="V362" s="358"/>
      <c r="W362" s="358"/>
      <c r="X362" s="358"/>
      <c r="Y362" s="358"/>
    </row>
    <row r="363" spans="2:25">
      <c r="B363" s="91"/>
      <c r="C363" s="66" t="s">
        <v>5</v>
      </c>
      <c r="E363" s="363">
        <f>+E256</f>
        <v>0</v>
      </c>
      <c r="F363" s="363">
        <f t="shared" ref="F363:Y363" si="95">+E363+F256</f>
        <v>0</v>
      </c>
      <c r="G363" s="363">
        <f t="shared" si="95"/>
        <v>0</v>
      </c>
      <c r="H363" s="363">
        <f t="shared" si="95"/>
        <v>0</v>
      </c>
      <c r="I363" s="363">
        <f t="shared" si="95"/>
        <v>0</v>
      </c>
      <c r="J363" s="358">
        <f t="shared" si="95"/>
        <v>0</v>
      </c>
      <c r="K363" s="358">
        <f t="shared" si="95"/>
        <v>0</v>
      </c>
      <c r="L363" s="358">
        <f t="shared" si="95"/>
        <v>0</v>
      </c>
      <c r="M363" s="358">
        <f t="shared" si="95"/>
        <v>0</v>
      </c>
      <c r="N363" s="358">
        <f t="shared" si="95"/>
        <v>0</v>
      </c>
      <c r="O363" s="358">
        <f t="shared" si="95"/>
        <v>0</v>
      </c>
      <c r="P363" s="358">
        <f t="shared" si="95"/>
        <v>0</v>
      </c>
      <c r="Q363" s="358">
        <f t="shared" si="95"/>
        <v>0</v>
      </c>
      <c r="R363" s="358">
        <f t="shared" si="95"/>
        <v>0</v>
      </c>
      <c r="S363" s="358">
        <f t="shared" si="95"/>
        <v>0</v>
      </c>
      <c r="T363" s="358">
        <f t="shared" si="95"/>
        <v>0</v>
      </c>
      <c r="U363" s="358">
        <f t="shared" si="95"/>
        <v>0</v>
      </c>
      <c r="V363" s="358">
        <f t="shared" si="95"/>
        <v>0</v>
      </c>
      <c r="W363" s="358">
        <f t="shared" si="95"/>
        <v>0</v>
      </c>
      <c r="X363" s="358">
        <f t="shared" si="95"/>
        <v>0</v>
      </c>
      <c r="Y363" s="358">
        <f t="shared" si="95"/>
        <v>0</v>
      </c>
    </row>
    <row r="364" spans="2:25">
      <c r="B364" s="250" t="s">
        <v>214</v>
      </c>
      <c r="E364" s="363"/>
      <c r="F364" s="363"/>
      <c r="G364" s="363"/>
      <c r="H364" s="363"/>
      <c r="I364" s="363"/>
      <c r="J364" s="358"/>
      <c r="K364" s="358"/>
      <c r="L364" s="358"/>
      <c r="M364" s="358"/>
      <c r="N364" s="358"/>
      <c r="O364" s="358"/>
      <c r="P364" s="358"/>
      <c r="Q364" s="358"/>
      <c r="R364" s="358"/>
      <c r="S364" s="358"/>
      <c r="T364" s="358"/>
      <c r="U364" s="358"/>
      <c r="V364" s="358"/>
      <c r="W364" s="358"/>
      <c r="X364" s="358"/>
      <c r="Y364" s="358"/>
    </row>
    <row r="365" spans="2:25">
      <c r="B365" s="91"/>
      <c r="C365" s="66" t="s">
        <v>6</v>
      </c>
      <c r="E365" s="363">
        <f>+E257</f>
        <v>0</v>
      </c>
      <c r="F365" s="363">
        <f t="shared" ref="F365:Y368" si="96">+E365+F257</f>
        <v>0</v>
      </c>
      <c r="G365" s="363">
        <f t="shared" si="96"/>
        <v>0</v>
      </c>
      <c r="H365" s="363">
        <f t="shared" si="96"/>
        <v>0</v>
      </c>
      <c r="I365" s="363">
        <f t="shared" si="96"/>
        <v>0</v>
      </c>
      <c r="J365" s="358">
        <f t="shared" si="96"/>
        <v>0</v>
      </c>
      <c r="K365" s="358">
        <f t="shared" si="96"/>
        <v>0</v>
      </c>
      <c r="L365" s="358">
        <f t="shared" si="96"/>
        <v>0</v>
      </c>
      <c r="M365" s="358">
        <f t="shared" si="96"/>
        <v>0</v>
      </c>
      <c r="N365" s="358">
        <f t="shared" si="96"/>
        <v>0</v>
      </c>
      <c r="O365" s="358">
        <f t="shared" si="96"/>
        <v>0</v>
      </c>
      <c r="P365" s="358">
        <f t="shared" si="96"/>
        <v>0</v>
      </c>
      <c r="Q365" s="358">
        <f t="shared" si="96"/>
        <v>0</v>
      </c>
      <c r="R365" s="358">
        <f t="shared" si="96"/>
        <v>0</v>
      </c>
      <c r="S365" s="358">
        <f t="shared" si="96"/>
        <v>0</v>
      </c>
      <c r="T365" s="358">
        <f t="shared" si="96"/>
        <v>0</v>
      </c>
      <c r="U365" s="358">
        <f t="shared" si="96"/>
        <v>0</v>
      </c>
      <c r="V365" s="358">
        <f t="shared" si="96"/>
        <v>0</v>
      </c>
      <c r="W365" s="358">
        <f t="shared" si="96"/>
        <v>0</v>
      </c>
      <c r="X365" s="358">
        <f t="shared" si="96"/>
        <v>0</v>
      </c>
      <c r="Y365" s="358">
        <f t="shared" si="96"/>
        <v>0</v>
      </c>
    </row>
    <row r="366" spans="2:25">
      <c r="B366" s="91"/>
      <c r="C366" s="66" t="s">
        <v>215</v>
      </c>
      <c r="E366" s="363">
        <f>+E258</f>
        <v>150000</v>
      </c>
      <c r="F366" s="363">
        <f t="shared" si="96"/>
        <v>150000</v>
      </c>
      <c r="G366" s="363">
        <f t="shared" si="96"/>
        <v>150000</v>
      </c>
      <c r="H366" s="363">
        <f t="shared" si="96"/>
        <v>150000</v>
      </c>
      <c r="I366" s="363">
        <f t="shared" si="96"/>
        <v>150000</v>
      </c>
      <c r="J366" s="358">
        <f t="shared" si="96"/>
        <v>150000</v>
      </c>
      <c r="K366" s="358">
        <f t="shared" si="96"/>
        <v>150000</v>
      </c>
      <c r="L366" s="358">
        <f t="shared" si="96"/>
        <v>150000</v>
      </c>
      <c r="M366" s="358">
        <f t="shared" si="96"/>
        <v>150000</v>
      </c>
      <c r="N366" s="358">
        <f t="shared" si="96"/>
        <v>150000</v>
      </c>
      <c r="O366" s="358">
        <f t="shared" si="96"/>
        <v>150000</v>
      </c>
      <c r="P366" s="358">
        <f t="shared" si="96"/>
        <v>150000</v>
      </c>
      <c r="Q366" s="358">
        <f t="shared" si="96"/>
        <v>150000</v>
      </c>
      <c r="R366" s="358">
        <f t="shared" si="96"/>
        <v>150000</v>
      </c>
      <c r="S366" s="358">
        <f t="shared" si="96"/>
        <v>150000</v>
      </c>
      <c r="T366" s="358">
        <f t="shared" si="96"/>
        <v>150000</v>
      </c>
      <c r="U366" s="358">
        <f t="shared" si="96"/>
        <v>150000</v>
      </c>
      <c r="V366" s="358">
        <f t="shared" si="96"/>
        <v>150000</v>
      </c>
      <c r="W366" s="358">
        <f t="shared" si="96"/>
        <v>150000</v>
      </c>
      <c r="X366" s="358">
        <f t="shared" si="96"/>
        <v>150000</v>
      </c>
      <c r="Y366" s="358">
        <f t="shared" si="96"/>
        <v>150000</v>
      </c>
    </row>
    <row r="367" spans="2:25">
      <c r="B367" s="91"/>
      <c r="C367" s="66" t="s">
        <v>8</v>
      </c>
      <c r="E367" s="363">
        <f>+E259</f>
        <v>150000</v>
      </c>
      <c r="F367" s="363">
        <f t="shared" si="96"/>
        <v>150000</v>
      </c>
      <c r="G367" s="363">
        <f t="shared" si="96"/>
        <v>150000</v>
      </c>
      <c r="H367" s="363">
        <f t="shared" si="96"/>
        <v>150000</v>
      </c>
      <c r="I367" s="363">
        <f t="shared" si="96"/>
        <v>150000</v>
      </c>
      <c r="J367" s="358">
        <f t="shared" si="96"/>
        <v>150000</v>
      </c>
      <c r="K367" s="358">
        <f t="shared" si="96"/>
        <v>150000</v>
      </c>
      <c r="L367" s="358">
        <f t="shared" si="96"/>
        <v>150000</v>
      </c>
      <c r="M367" s="358">
        <f t="shared" si="96"/>
        <v>150000</v>
      </c>
      <c r="N367" s="358">
        <f t="shared" si="96"/>
        <v>150000</v>
      </c>
      <c r="O367" s="358">
        <f t="shared" si="96"/>
        <v>150000</v>
      </c>
      <c r="P367" s="358">
        <f t="shared" si="96"/>
        <v>150000</v>
      </c>
      <c r="Q367" s="358">
        <f t="shared" si="96"/>
        <v>150000</v>
      </c>
      <c r="R367" s="358">
        <f t="shared" si="96"/>
        <v>150000</v>
      </c>
      <c r="S367" s="358">
        <f t="shared" si="96"/>
        <v>150000</v>
      </c>
      <c r="T367" s="358">
        <f t="shared" si="96"/>
        <v>150000</v>
      </c>
      <c r="U367" s="358">
        <f t="shared" si="96"/>
        <v>150000</v>
      </c>
      <c r="V367" s="358">
        <f t="shared" si="96"/>
        <v>150000</v>
      </c>
      <c r="W367" s="358">
        <f t="shared" si="96"/>
        <v>150000</v>
      </c>
      <c r="X367" s="358">
        <f t="shared" si="96"/>
        <v>150000</v>
      </c>
      <c r="Y367" s="358">
        <f t="shared" si="96"/>
        <v>150000</v>
      </c>
    </row>
    <row r="368" spans="2:25">
      <c r="B368" s="91"/>
      <c r="C368" s="66" t="s">
        <v>9</v>
      </c>
      <c r="E368" s="363">
        <f>+E260</f>
        <v>375000</v>
      </c>
      <c r="F368" s="363">
        <f t="shared" si="96"/>
        <v>375000</v>
      </c>
      <c r="G368" s="363">
        <f t="shared" si="96"/>
        <v>375000</v>
      </c>
      <c r="H368" s="363">
        <f t="shared" si="96"/>
        <v>375000</v>
      </c>
      <c r="I368" s="363">
        <f t="shared" si="96"/>
        <v>375000</v>
      </c>
      <c r="J368" s="358">
        <f t="shared" si="96"/>
        <v>375000</v>
      </c>
      <c r="K368" s="358">
        <f t="shared" si="96"/>
        <v>375000</v>
      </c>
      <c r="L368" s="358">
        <f t="shared" si="96"/>
        <v>375000</v>
      </c>
      <c r="M368" s="358">
        <f t="shared" si="96"/>
        <v>375000</v>
      </c>
      <c r="N368" s="358">
        <f t="shared" si="96"/>
        <v>375000</v>
      </c>
      <c r="O368" s="358">
        <f t="shared" si="96"/>
        <v>375000</v>
      </c>
      <c r="P368" s="358">
        <f t="shared" si="96"/>
        <v>375000</v>
      </c>
      <c r="Q368" s="358">
        <f t="shared" si="96"/>
        <v>375000</v>
      </c>
      <c r="R368" s="358">
        <f t="shared" si="96"/>
        <v>375000</v>
      </c>
      <c r="S368" s="358">
        <f t="shared" si="96"/>
        <v>375000</v>
      </c>
      <c r="T368" s="358">
        <f t="shared" si="96"/>
        <v>375000</v>
      </c>
      <c r="U368" s="358">
        <f t="shared" si="96"/>
        <v>375000</v>
      </c>
      <c r="V368" s="358">
        <f t="shared" si="96"/>
        <v>375000</v>
      </c>
      <c r="W368" s="358">
        <f t="shared" si="96"/>
        <v>375000</v>
      </c>
      <c r="X368" s="358">
        <f t="shared" si="96"/>
        <v>375000</v>
      </c>
      <c r="Y368" s="358">
        <f t="shared" si="96"/>
        <v>375000</v>
      </c>
    </row>
    <row r="369" spans="2:25">
      <c r="B369" s="88" t="s">
        <v>216</v>
      </c>
      <c r="C369" s="79"/>
      <c r="D369" s="79"/>
      <c r="E369" s="367">
        <f t="shared" ref="E369:Y369" si="97">SUM(E365:E368)</f>
        <v>675000</v>
      </c>
      <c r="F369" s="367">
        <f t="shared" si="97"/>
        <v>675000</v>
      </c>
      <c r="G369" s="367">
        <f t="shared" si="97"/>
        <v>675000</v>
      </c>
      <c r="H369" s="367">
        <f t="shared" si="97"/>
        <v>675000</v>
      </c>
      <c r="I369" s="367">
        <f t="shared" si="97"/>
        <v>675000</v>
      </c>
      <c r="J369" s="368">
        <f t="shared" si="97"/>
        <v>675000</v>
      </c>
      <c r="K369" s="368">
        <f t="shared" si="97"/>
        <v>675000</v>
      </c>
      <c r="L369" s="368">
        <f t="shared" si="97"/>
        <v>675000</v>
      </c>
      <c r="M369" s="368">
        <f t="shared" si="97"/>
        <v>675000</v>
      </c>
      <c r="N369" s="368">
        <f t="shared" si="97"/>
        <v>675000</v>
      </c>
      <c r="O369" s="368">
        <f t="shared" si="97"/>
        <v>675000</v>
      </c>
      <c r="P369" s="368">
        <f t="shared" si="97"/>
        <v>675000</v>
      </c>
      <c r="Q369" s="368">
        <f t="shared" si="97"/>
        <v>675000</v>
      </c>
      <c r="R369" s="368">
        <f t="shared" si="97"/>
        <v>675000</v>
      </c>
      <c r="S369" s="368">
        <f t="shared" si="97"/>
        <v>675000</v>
      </c>
      <c r="T369" s="368">
        <f t="shared" si="97"/>
        <v>675000</v>
      </c>
      <c r="U369" s="368">
        <f t="shared" si="97"/>
        <v>675000</v>
      </c>
      <c r="V369" s="368">
        <f t="shared" si="97"/>
        <v>675000</v>
      </c>
      <c r="W369" s="368">
        <f t="shared" si="97"/>
        <v>675000</v>
      </c>
      <c r="X369" s="368">
        <f t="shared" si="97"/>
        <v>675000</v>
      </c>
      <c r="Y369" s="368">
        <f t="shared" si="97"/>
        <v>675000</v>
      </c>
    </row>
    <row r="370" spans="2:25">
      <c r="B370" s="91" t="s">
        <v>217</v>
      </c>
      <c r="E370" s="363">
        <v>0</v>
      </c>
      <c r="F370" s="363">
        <f t="shared" ref="F370:Y370" si="98">+E370+F237</f>
        <v>105000</v>
      </c>
      <c r="G370" s="363">
        <f t="shared" si="98"/>
        <v>210000</v>
      </c>
      <c r="H370" s="363">
        <f t="shared" si="98"/>
        <v>315000</v>
      </c>
      <c r="I370" s="363">
        <f t="shared" si="98"/>
        <v>420000</v>
      </c>
      <c r="J370" s="358">
        <f t="shared" si="98"/>
        <v>525000</v>
      </c>
      <c r="K370" s="358">
        <f t="shared" si="98"/>
        <v>555000</v>
      </c>
      <c r="L370" s="358">
        <f t="shared" si="98"/>
        <v>585000</v>
      </c>
      <c r="M370" s="358">
        <f t="shared" si="98"/>
        <v>615000</v>
      </c>
      <c r="N370" s="358">
        <f t="shared" si="98"/>
        <v>645000</v>
      </c>
      <c r="O370" s="358">
        <f t="shared" si="98"/>
        <v>675000</v>
      </c>
      <c r="P370" s="358">
        <f t="shared" si="98"/>
        <v>675000</v>
      </c>
      <c r="Q370" s="358">
        <f t="shared" si="98"/>
        <v>675000</v>
      </c>
      <c r="R370" s="358">
        <f t="shared" si="98"/>
        <v>675000</v>
      </c>
      <c r="S370" s="358">
        <f t="shared" si="98"/>
        <v>675000</v>
      </c>
      <c r="T370" s="358">
        <f t="shared" si="98"/>
        <v>675000</v>
      </c>
      <c r="U370" s="358">
        <f t="shared" si="98"/>
        <v>675000</v>
      </c>
      <c r="V370" s="358">
        <f t="shared" si="98"/>
        <v>675000</v>
      </c>
      <c r="W370" s="358">
        <f t="shared" si="98"/>
        <v>675000</v>
      </c>
      <c r="X370" s="358">
        <f t="shared" si="98"/>
        <v>675000</v>
      </c>
      <c r="Y370" s="358">
        <f t="shared" si="98"/>
        <v>675000</v>
      </c>
    </row>
    <row r="371" spans="2:25">
      <c r="B371" s="226" t="s">
        <v>218</v>
      </c>
      <c r="C371" s="249"/>
      <c r="D371" s="249"/>
      <c r="E371" s="383">
        <f t="shared" ref="E371:Y371" si="99">+E369-E370</f>
        <v>675000</v>
      </c>
      <c r="F371" s="383">
        <f t="shared" si="99"/>
        <v>570000</v>
      </c>
      <c r="G371" s="383">
        <f t="shared" si="99"/>
        <v>465000</v>
      </c>
      <c r="H371" s="383">
        <f t="shared" si="99"/>
        <v>360000</v>
      </c>
      <c r="I371" s="383">
        <f t="shared" si="99"/>
        <v>255000</v>
      </c>
      <c r="J371" s="360">
        <f t="shared" si="99"/>
        <v>150000</v>
      </c>
      <c r="K371" s="360">
        <f t="shared" si="99"/>
        <v>120000</v>
      </c>
      <c r="L371" s="360">
        <f t="shared" si="99"/>
        <v>90000</v>
      </c>
      <c r="M371" s="360">
        <f t="shared" si="99"/>
        <v>60000</v>
      </c>
      <c r="N371" s="360">
        <f t="shared" si="99"/>
        <v>30000</v>
      </c>
      <c r="O371" s="360">
        <f t="shared" si="99"/>
        <v>0</v>
      </c>
      <c r="P371" s="360">
        <f t="shared" si="99"/>
        <v>0</v>
      </c>
      <c r="Q371" s="360">
        <f t="shared" si="99"/>
        <v>0</v>
      </c>
      <c r="R371" s="360">
        <f t="shared" si="99"/>
        <v>0</v>
      </c>
      <c r="S371" s="360">
        <f t="shared" si="99"/>
        <v>0</v>
      </c>
      <c r="T371" s="360">
        <f t="shared" si="99"/>
        <v>0</v>
      </c>
      <c r="U371" s="360">
        <f t="shared" si="99"/>
        <v>0</v>
      </c>
      <c r="V371" s="360">
        <f t="shared" si="99"/>
        <v>0</v>
      </c>
      <c r="W371" s="360">
        <f t="shared" si="99"/>
        <v>0</v>
      </c>
      <c r="X371" s="360">
        <f t="shared" si="99"/>
        <v>0</v>
      </c>
      <c r="Y371" s="360">
        <f t="shared" si="99"/>
        <v>0</v>
      </c>
    </row>
    <row r="372" spans="2:25" ht="12" customHeight="1">
      <c r="B372" s="91"/>
      <c r="E372" s="363"/>
      <c r="F372" s="363"/>
      <c r="G372" s="363"/>
      <c r="H372" s="363"/>
      <c r="I372" s="363"/>
      <c r="J372" s="358"/>
      <c r="K372" s="358"/>
      <c r="L372" s="358"/>
      <c r="M372" s="358"/>
      <c r="N372" s="358"/>
      <c r="O372" s="358"/>
      <c r="P372" s="358"/>
      <c r="Q372" s="358"/>
      <c r="R372" s="358"/>
      <c r="S372" s="358"/>
      <c r="T372" s="358"/>
      <c r="U372" s="358"/>
      <c r="V372" s="358"/>
      <c r="W372" s="358"/>
      <c r="X372" s="358"/>
      <c r="Y372" s="358"/>
    </row>
    <row r="373" spans="2:25" hidden="1">
      <c r="B373" s="91" t="s">
        <v>120</v>
      </c>
      <c r="E373" s="363">
        <f>+E269</f>
        <v>125000</v>
      </c>
      <c r="F373" s="363">
        <f t="shared" ref="F373:Y373" si="100">+E373-F238</f>
        <v>100000</v>
      </c>
      <c r="G373" s="363">
        <f t="shared" si="100"/>
        <v>75000</v>
      </c>
      <c r="H373" s="363">
        <f t="shared" si="100"/>
        <v>50000</v>
      </c>
      <c r="I373" s="363">
        <f t="shared" si="100"/>
        <v>25000</v>
      </c>
      <c r="J373" s="358">
        <f t="shared" si="100"/>
        <v>0</v>
      </c>
      <c r="K373" s="358">
        <f t="shared" si="100"/>
        <v>0</v>
      </c>
      <c r="L373" s="358">
        <f t="shared" si="100"/>
        <v>0</v>
      </c>
      <c r="M373" s="358">
        <f t="shared" si="100"/>
        <v>0</v>
      </c>
      <c r="N373" s="358">
        <f t="shared" si="100"/>
        <v>0</v>
      </c>
      <c r="O373" s="358">
        <f t="shared" si="100"/>
        <v>0</v>
      </c>
      <c r="P373" s="358">
        <f t="shared" si="100"/>
        <v>0</v>
      </c>
      <c r="Q373" s="358">
        <f t="shared" si="100"/>
        <v>0</v>
      </c>
      <c r="R373" s="358">
        <f t="shared" si="100"/>
        <v>0</v>
      </c>
      <c r="S373" s="358">
        <f t="shared" si="100"/>
        <v>0</v>
      </c>
      <c r="T373" s="358">
        <f t="shared" si="100"/>
        <v>0</v>
      </c>
      <c r="U373" s="358">
        <f t="shared" si="100"/>
        <v>0</v>
      </c>
      <c r="V373" s="358">
        <f t="shared" si="100"/>
        <v>0</v>
      </c>
      <c r="W373" s="358">
        <f t="shared" si="100"/>
        <v>0</v>
      </c>
      <c r="X373" s="358">
        <f t="shared" si="100"/>
        <v>0</v>
      </c>
      <c r="Y373" s="358">
        <f t="shared" si="100"/>
        <v>0</v>
      </c>
    </row>
    <row r="374" spans="2:25">
      <c r="B374" s="91"/>
      <c r="E374" s="363"/>
      <c r="F374" s="363"/>
      <c r="G374" s="363"/>
      <c r="H374" s="363"/>
      <c r="I374" s="363"/>
      <c r="J374" s="358"/>
      <c r="K374" s="358"/>
      <c r="L374" s="358"/>
      <c r="M374" s="358"/>
      <c r="N374" s="358"/>
      <c r="O374" s="358"/>
      <c r="P374" s="358"/>
      <c r="Q374" s="358"/>
      <c r="R374" s="358"/>
      <c r="S374" s="358"/>
      <c r="T374" s="358"/>
      <c r="U374" s="358"/>
      <c r="V374" s="358"/>
      <c r="W374" s="358"/>
      <c r="X374" s="358"/>
      <c r="Y374" s="358"/>
    </row>
    <row r="375" spans="2:25" ht="13.5" thickBot="1">
      <c r="B375" s="251" t="s">
        <v>219</v>
      </c>
      <c r="C375" s="252"/>
      <c r="D375" s="252"/>
      <c r="E375" s="385">
        <f t="shared" ref="E375:Y375" si="101">+E359+E363+E371+E373</f>
        <v>1891369.125</v>
      </c>
      <c r="F375" s="385">
        <f t="shared" si="101"/>
        <v>2937304.8591819555</v>
      </c>
      <c r="G375" s="385">
        <f t="shared" si="101"/>
        <v>3294461.7965282379</v>
      </c>
      <c r="H375" s="385">
        <f t="shared" si="101"/>
        <v>3653569.3990346566</v>
      </c>
      <c r="I375" s="385">
        <f t="shared" si="101"/>
        <v>4018084.0226179291</v>
      </c>
      <c r="J375" s="386">
        <f t="shared" si="101"/>
        <v>4402380.7764685191</v>
      </c>
      <c r="K375" s="386">
        <f t="shared" si="101"/>
        <v>4861210.0123981023</v>
      </c>
      <c r="L375" s="386">
        <f t="shared" si="101"/>
        <v>5324336.6825731192</v>
      </c>
      <c r="M375" s="386">
        <f t="shared" si="101"/>
        <v>5816621.8079023547</v>
      </c>
      <c r="N375" s="386">
        <f t="shared" si="101"/>
        <v>6339901.2047223179</v>
      </c>
      <c r="O375" s="386">
        <f t="shared" si="101"/>
        <v>6896126.2723660674</v>
      </c>
      <c r="P375" s="386">
        <f t="shared" si="101"/>
        <v>7487371.2702686666</v>
      </c>
      <c r="Q375" s="386">
        <f t="shared" si="101"/>
        <v>8115841.0532392142</v>
      </c>
      <c r="R375" s="386">
        <f t="shared" si="101"/>
        <v>8783879.2937455885</v>
      </c>
      <c r="S375" s="386">
        <f t="shared" si="101"/>
        <v>9493977.2218742426</v>
      </c>
      <c r="T375" s="386">
        <f t="shared" si="101"/>
        <v>10248782.915557878</v>
      </c>
      <c r="U375" s="386">
        <f t="shared" si="101"/>
        <v>11051111.175715834</v>
      </c>
      <c r="V375" s="386">
        <f t="shared" si="101"/>
        <v>11903954.023133336</v>
      </c>
      <c r="W375" s="386">
        <f t="shared" si="101"/>
        <v>12810491.856224243</v>
      </c>
      <c r="X375" s="386">
        <f t="shared" si="101"/>
        <v>13774105.311286554</v>
      </c>
      <c r="Y375" s="386">
        <f t="shared" si="101"/>
        <v>14798387.869479585</v>
      </c>
    </row>
    <row r="376" spans="2:25">
      <c r="B376" s="226"/>
      <c r="C376" s="249"/>
      <c r="D376" s="249"/>
      <c r="E376" s="226"/>
      <c r="F376" s="226"/>
      <c r="G376" s="226"/>
      <c r="H376" s="226"/>
      <c r="I376" s="226"/>
      <c r="J376" s="113"/>
      <c r="K376" s="113"/>
      <c r="L376" s="113"/>
      <c r="M376" s="113"/>
      <c r="N376" s="113"/>
      <c r="O376" s="113"/>
      <c r="P376" s="113"/>
      <c r="Q376" s="113"/>
      <c r="R376" s="113"/>
      <c r="S376" s="113"/>
      <c r="T376" s="113"/>
      <c r="U376" s="113"/>
      <c r="V376" s="113"/>
      <c r="W376" s="113"/>
      <c r="X376" s="113"/>
      <c r="Y376" s="113"/>
    </row>
    <row r="377" spans="2:25">
      <c r="B377" s="90" t="s">
        <v>220</v>
      </c>
      <c r="E377" s="91"/>
      <c r="F377" s="91"/>
      <c r="G377" s="91"/>
      <c r="H377" s="91"/>
      <c r="I377" s="91"/>
      <c r="J377" s="89"/>
      <c r="K377" s="89"/>
      <c r="L377" s="89"/>
      <c r="M377" s="89"/>
      <c r="N377" s="89"/>
      <c r="O377" s="89"/>
      <c r="P377" s="89"/>
      <c r="Q377" s="89"/>
      <c r="R377" s="89"/>
      <c r="S377" s="89"/>
      <c r="T377" s="89"/>
      <c r="U377" s="89"/>
      <c r="V377" s="89"/>
      <c r="W377" s="89"/>
      <c r="X377" s="89"/>
      <c r="Y377" s="89"/>
    </row>
    <row r="378" spans="2:25">
      <c r="B378" s="90" t="s">
        <v>221</v>
      </c>
      <c r="C378" s="221"/>
      <c r="E378" s="91"/>
      <c r="F378" s="91"/>
      <c r="G378" s="91"/>
      <c r="H378" s="91"/>
      <c r="I378" s="91"/>
      <c r="J378" s="89"/>
      <c r="K378" s="89"/>
      <c r="L378" s="89"/>
      <c r="M378" s="89"/>
      <c r="N378" s="89"/>
      <c r="O378" s="89"/>
      <c r="P378" s="89"/>
      <c r="Q378" s="89"/>
      <c r="R378" s="89"/>
      <c r="S378" s="89"/>
      <c r="T378" s="89"/>
      <c r="U378" s="89"/>
      <c r="V378" s="89"/>
      <c r="W378" s="89"/>
      <c r="X378" s="89"/>
      <c r="Y378" s="89"/>
    </row>
    <row r="379" spans="2:25">
      <c r="B379" s="90"/>
      <c r="C379" s="66" t="s">
        <v>222</v>
      </c>
      <c r="E379" s="363"/>
      <c r="F379" s="363">
        <f>+F244</f>
        <v>693789.61300604686</v>
      </c>
      <c r="G379" s="363">
        <f t="shared" ref="G379:Y379" si="102">+F379+G244</f>
        <v>789477.07643184089</v>
      </c>
      <c r="H379" s="363">
        <f t="shared" si="102"/>
        <v>865858.98357662139</v>
      </c>
      <c r="I379" s="363">
        <f t="shared" si="102"/>
        <v>929267.56866190466</v>
      </c>
      <c r="J379" s="358">
        <f t="shared" si="102"/>
        <v>991587.96888664667</v>
      </c>
      <c r="K379" s="358">
        <f t="shared" si="102"/>
        <v>1056061.0186236564</v>
      </c>
      <c r="L379" s="358">
        <f t="shared" si="102"/>
        <v>1122550.6203562017</v>
      </c>
      <c r="M379" s="358">
        <f t="shared" si="102"/>
        <v>1193226.4074138284</v>
      </c>
      <c r="N379" s="358">
        <f t="shared" si="102"/>
        <v>1268351.942024603</v>
      </c>
      <c r="O379" s="358">
        <f t="shared" si="102"/>
        <v>1348207.3802944722</v>
      </c>
      <c r="P379" s="358">
        <f t="shared" si="102"/>
        <v>1433090.516957812</v>
      </c>
      <c r="Q379" s="358">
        <f t="shared" si="102"/>
        <v>1523317.8959054763</v>
      </c>
      <c r="R379" s="358">
        <f t="shared" si="102"/>
        <v>1619225.9906316851</v>
      </c>
      <c r="S379" s="358">
        <f t="shared" si="102"/>
        <v>1721172.4590018564</v>
      </c>
      <c r="T379" s="358">
        <f t="shared" si="102"/>
        <v>1829537.4770206132</v>
      </c>
      <c r="U379" s="358">
        <f t="shared" si="102"/>
        <v>1944725.1565738309</v>
      </c>
      <c r="V379" s="358">
        <f t="shared" si="102"/>
        <v>2067165.0524317196</v>
      </c>
      <c r="W379" s="358">
        <f t="shared" si="102"/>
        <v>2197313.764132821</v>
      </c>
      <c r="X379" s="358">
        <f t="shared" si="102"/>
        <v>2335656.6387226237</v>
      </c>
      <c r="Y379" s="358">
        <f t="shared" si="102"/>
        <v>2482709.5806966005</v>
      </c>
    </row>
    <row r="380" spans="2:25">
      <c r="B380" s="91"/>
      <c r="C380" s="66" t="s">
        <v>223</v>
      </c>
      <c r="E380" s="363">
        <f t="shared" ref="E380:Y380" si="103">+F272</f>
        <v>0</v>
      </c>
      <c r="F380" s="363">
        <f t="shared" si="103"/>
        <v>0</v>
      </c>
      <c r="G380" s="363">
        <f t="shared" si="103"/>
        <v>0</v>
      </c>
      <c r="H380" s="363">
        <f t="shared" si="103"/>
        <v>0</v>
      </c>
      <c r="I380" s="363">
        <f t="shared" si="103"/>
        <v>0</v>
      </c>
      <c r="J380" s="358">
        <f t="shared" si="103"/>
        <v>0</v>
      </c>
      <c r="K380" s="358">
        <f t="shared" si="103"/>
        <v>0</v>
      </c>
      <c r="L380" s="358">
        <f t="shared" si="103"/>
        <v>0</v>
      </c>
      <c r="M380" s="358">
        <f t="shared" si="103"/>
        <v>0</v>
      </c>
      <c r="N380" s="358">
        <f t="shared" si="103"/>
        <v>0</v>
      </c>
      <c r="O380" s="358">
        <f t="shared" si="103"/>
        <v>0</v>
      </c>
      <c r="P380" s="358">
        <f t="shared" si="103"/>
        <v>0</v>
      </c>
      <c r="Q380" s="358">
        <f t="shared" si="103"/>
        <v>0</v>
      </c>
      <c r="R380" s="358">
        <f t="shared" si="103"/>
        <v>0</v>
      </c>
      <c r="S380" s="358">
        <f t="shared" si="103"/>
        <v>0</v>
      </c>
      <c r="T380" s="358">
        <f t="shared" si="103"/>
        <v>0</v>
      </c>
      <c r="U380" s="358">
        <f t="shared" si="103"/>
        <v>0</v>
      </c>
      <c r="V380" s="358">
        <f t="shared" si="103"/>
        <v>0</v>
      </c>
      <c r="W380" s="358">
        <f t="shared" si="103"/>
        <v>0</v>
      </c>
      <c r="X380" s="358">
        <f t="shared" si="103"/>
        <v>0</v>
      </c>
      <c r="Y380" s="358">
        <f t="shared" si="103"/>
        <v>0</v>
      </c>
    </row>
    <row r="381" spans="2:25">
      <c r="B381" s="91"/>
      <c r="C381" s="66" t="s">
        <v>224</v>
      </c>
      <c r="E381" s="363">
        <f t="shared" ref="E381:Y381" si="104">D381+E250-E274</f>
        <v>0</v>
      </c>
      <c r="F381" s="363">
        <f t="shared" si="104"/>
        <v>0</v>
      </c>
      <c r="G381" s="363">
        <f t="shared" si="104"/>
        <v>0</v>
      </c>
      <c r="H381" s="363">
        <f t="shared" si="104"/>
        <v>0</v>
      </c>
      <c r="I381" s="363">
        <f t="shared" si="104"/>
        <v>0</v>
      </c>
      <c r="J381" s="358">
        <f t="shared" si="104"/>
        <v>0</v>
      </c>
      <c r="K381" s="358">
        <f t="shared" si="104"/>
        <v>0</v>
      </c>
      <c r="L381" s="358">
        <f t="shared" si="104"/>
        <v>0</v>
      </c>
      <c r="M381" s="358">
        <f t="shared" si="104"/>
        <v>0</v>
      </c>
      <c r="N381" s="358">
        <f t="shared" si="104"/>
        <v>0</v>
      </c>
      <c r="O381" s="358">
        <f t="shared" si="104"/>
        <v>0</v>
      </c>
      <c r="P381" s="358">
        <f t="shared" si="104"/>
        <v>0</v>
      </c>
      <c r="Q381" s="358">
        <f t="shared" si="104"/>
        <v>0</v>
      </c>
      <c r="R381" s="358">
        <f t="shared" si="104"/>
        <v>0</v>
      </c>
      <c r="S381" s="358">
        <f t="shared" si="104"/>
        <v>0</v>
      </c>
      <c r="T381" s="358">
        <f t="shared" si="104"/>
        <v>0</v>
      </c>
      <c r="U381" s="358">
        <f t="shared" si="104"/>
        <v>0</v>
      </c>
      <c r="V381" s="358">
        <f t="shared" si="104"/>
        <v>0</v>
      </c>
      <c r="W381" s="358">
        <f t="shared" si="104"/>
        <v>0</v>
      </c>
      <c r="X381" s="358">
        <f t="shared" si="104"/>
        <v>0</v>
      </c>
      <c r="Y381" s="358">
        <f t="shared" si="104"/>
        <v>0</v>
      </c>
    </row>
    <row r="382" spans="2:25">
      <c r="B382" s="91"/>
      <c r="C382" s="66" t="s">
        <v>170</v>
      </c>
      <c r="E382" s="363">
        <v>0</v>
      </c>
      <c r="F382" s="363">
        <f t="shared" ref="F382:Y382" si="105">+E382+F196-F273</f>
        <v>123251.14241156795</v>
      </c>
      <c r="G382" s="363">
        <f t="shared" si="105"/>
        <v>142663.53997297154</v>
      </c>
      <c r="H382" s="363">
        <f t="shared" si="105"/>
        <v>158159.36246535659</v>
      </c>
      <c r="I382" s="363">
        <f t="shared" si="105"/>
        <v>171023.24889741931</v>
      </c>
      <c r="J382" s="358">
        <f t="shared" si="105"/>
        <v>183666.37206147573</v>
      </c>
      <c r="K382" s="358">
        <f t="shared" si="105"/>
        <v>214246.2095729133</v>
      </c>
      <c r="L382" s="358">
        <f t="shared" si="105"/>
        <v>227735.150927624</v>
      </c>
      <c r="M382" s="358">
        <f t="shared" si="105"/>
        <v>242073.3560300268</v>
      </c>
      <c r="N382" s="358">
        <f t="shared" si="105"/>
        <v>257314.29452567725</v>
      </c>
      <c r="O382" s="358">
        <f t="shared" si="105"/>
        <v>273514.80250901403</v>
      </c>
      <c r="P382" s="358">
        <f t="shared" si="105"/>
        <v>290735.29447498178</v>
      </c>
      <c r="Q382" s="358">
        <f t="shared" si="105"/>
        <v>309039.98861512652</v>
      </c>
      <c r="R382" s="358">
        <f t="shared" si="105"/>
        <v>328497.14629833534</v>
      </c>
      <c r="S382" s="358">
        <f t="shared" si="105"/>
        <v>349179.32662927848</v>
      </c>
      <c r="T382" s="358">
        <f t="shared" si="105"/>
        <v>371163.65703385824</v>
      </c>
      <c r="U382" s="358">
        <f t="shared" si="105"/>
        <v>394532.12088070979</v>
      </c>
      <c r="V382" s="358">
        <f t="shared" si="105"/>
        <v>419371.86321135925</v>
      </c>
      <c r="W382" s="358">
        <f t="shared" si="105"/>
        <v>445775.51571914629</v>
      </c>
      <c r="X382" s="358">
        <f t="shared" si="105"/>
        <v>473841.54218882398</v>
      </c>
      <c r="Y382" s="358">
        <f t="shared" si="105"/>
        <v>503674.60568503133</v>
      </c>
    </row>
    <row r="383" spans="2:25">
      <c r="B383" s="226" t="s">
        <v>225</v>
      </c>
      <c r="C383" s="249"/>
      <c r="D383" s="249"/>
      <c r="E383" s="383">
        <f t="shared" ref="E383:Y383" si="106">SUM(E379:E382)</f>
        <v>0</v>
      </c>
      <c r="F383" s="383">
        <f t="shared" si="106"/>
        <v>817040.75541761483</v>
      </c>
      <c r="G383" s="383">
        <f t="shared" si="106"/>
        <v>932140.61640481243</v>
      </c>
      <c r="H383" s="383">
        <f t="shared" si="106"/>
        <v>1024018.346041978</v>
      </c>
      <c r="I383" s="383">
        <f t="shared" si="106"/>
        <v>1100290.817559324</v>
      </c>
      <c r="J383" s="360">
        <f t="shared" si="106"/>
        <v>1175254.3409481223</v>
      </c>
      <c r="K383" s="360">
        <f t="shared" si="106"/>
        <v>1270307.2281965697</v>
      </c>
      <c r="L383" s="360">
        <f t="shared" si="106"/>
        <v>1350285.7712838256</v>
      </c>
      <c r="M383" s="360">
        <f t="shared" si="106"/>
        <v>1435299.7634438551</v>
      </c>
      <c r="N383" s="360">
        <f t="shared" si="106"/>
        <v>1525666.2365502804</v>
      </c>
      <c r="O383" s="360">
        <f t="shared" si="106"/>
        <v>1621722.1828034862</v>
      </c>
      <c r="P383" s="360">
        <f t="shared" si="106"/>
        <v>1723825.8114327937</v>
      </c>
      <c r="Q383" s="360">
        <f t="shared" si="106"/>
        <v>1832357.8845206029</v>
      </c>
      <c r="R383" s="360">
        <f t="shared" si="106"/>
        <v>1947723.1369300205</v>
      </c>
      <c r="S383" s="360">
        <f t="shared" si="106"/>
        <v>2070351.7856311349</v>
      </c>
      <c r="T383" s="360">
        <f t="shared" si="106"/>
        <v>2200701.1340544713</v>
      </c>
      <c r="U383" s="360">
        <f t="shared" si="106"/>
        <v>2339257.2774545406</v>
      </c>
      <c r="V383" s="360">
        <f t="shared" si="106"/>
        <v>2486536.9156430787</v>
      </c>
      <c r="W383" s="360">
        <f t="shared" si="106"/>
        <v>2643089.2798519675</v>
      </c>
      <c r="X383" s="360">
        <f t="shared" si="106"/>
        <v>2809498.1809114479</v>
      </c>
      <c r="Y383" s="360">
        <f t="shared" si="106"/>
        <v>2986384.186381632</v>
      </c>
    </row>
    <row r="384" spans="2:25">
      <c r="B384" s="91"/>
      <c r="E384" s="363"/>
      <c r="F384" s="363"/>
      <c r="G384" s="363"/>
      <c r="H384" s="363"/>
      <c r="I384" s="363"/>
      <c r="J384" s="358"/>
      <c r="K384" s="358"/>
      <c r="L384" s="358"/>
      <c r="M384" s="358"/>
      <c r="N384" s="358"/>
      <c r="O384" s="358"/>
      <c r="P384" s="358"/>
      <c r="Q384" s="358"/>
      <c r="R384" s="358"/>
      <c r="S384" s="358"/>
      <c r="T384" s="358"/>
      <c r="U384" s="358"/>
      <c r="V384" s="358"/>
      <c r="W384" s="358"/>
      <c r="X384" s="358"/>
      <c r="Y384" s="358"/>
    </row>
    <row r="385" spans="2:25">
      <c r="B385" s="90" t="s">
        <v>226</v>
      </c>
      <c r="E385" s="363"/>
      <c r="F385" s="363"/>
      <c r="G385" s="363"/>
      <c r="H385" s="363"/>
      <c r="I385" s="363"/>
      <c r="J385" s="358"/>
      <c r="K385" s="358"/>
      <c r="L385" s="358"/>
      <c r="M385" s="358"/>
      <c r="N385" s="358"/>
      <c r="O385" s="358"/>
      <c r="P385" s="358"/>
      <c r="Q385" s="358"/>
      <c r="R385" s="358"/>
      <c r="S385" s="358"/>
      <c r="T385" s="358"/>
      <c r="U385" s="358"/>
      <c r="V385" s="358"/>
      <c r="W385" s="358"/>
      <c r="X385" s="358"/>
      <c r="Y385" s="358"/>
    </row>
    <row r="386" spans="2:25">
      <c r="B386" s="91"/>
      <c r="C386" s="66" t="s">
        <v>227</v>
      </c>
      <c r="E386" s="363">
        <f>+E245-E380</f>
        <v>0</v>
      </c>
      <c r="F386" s="363">
        <f t="shared" ref="F386:Y386" si="107">+E386+E380+F245-F272-F380</f>
        <v>0</v>
      </c>
      <c r="G386" s="363">
        <f t="shared" si="107"/>
        <v>0</v>
      </c>
      <c r="H386" s="363">
        <f t="shared" si="107"/>
        <v>0</v>
      </c>
      <c r="I386" s="363">
        <f t="shared" si="107"/>
        <v>0</v>
      </c>
      <c r="J386" s="358">
        <f t="shared" si="107"/>
        <v>0</v>
      </c>
      <c r="K386" s="358">
        <f t="shared" si="107"/>
        <v>0</v>
      </c>
      <c r="L386" s="358">
        <f t="shared" si="107"/>
        <v>0</v>
      </c>
      <c r="M386" s="358">
        <f t="shared" si="107"/>
        <v>0</v>
      </c>
      <c r="N386" s="358">
        <f t="shared" si="107"/>
        <v>0</v>
      </c>
      <c r="O386" s="358">
        <f t="shared" si="107"/>
        <v>0</v>
      </c>
      <c r="P386" s="358">
        <f t="shared" si="107"/>
        <v>0</v>
      </c>
      <c r="Q386" s="358">
        <f t="shared" si="107"/>
        <v>0</v>
      </c>
      <c r="R386" s="358">
        <f t="shared" si="107"/>
        <v>0</v>
      </c>
      <c r="S386" s="358">
        <f t="shared" si="107"/>
        <v>0</v>
      </c>
      <c r="T386" s="358">
        <f t="shared" si="107"/>
        <v>0</v>
      </c>
      <c r="U386" s="358">
        <f t="shared" si="107"/>
        <v>0</v>
      </c>
      <c r="V386" s="358">
        <f t="shared" si="107"/>
        <v>0</v>
      </c>
      <c r="W386" s="358">
        <f t="shared" si="107"/>
        <v>0</v>
      </c>
      <c r="X386" s="358">
        <f t="shared" si="107"/>
        <v>0</v>
      </c>
      <c r="Y386" s="358">
        <f t="shared" si="107"/>
        <v>0</v>
      </c>
    </row>
    <row r="387" spans="2:25">
      <c r="B387" s="91"/>
      <c r="E387" s="363"/>
      <c r="F387" s="363"/>
      <c r="G387" s="363"/>
      <c r="H387" s="363"/>
      <c r="I387" s="363"/>
      <c r="J387" s="358"/>
      <c r="K387" s="358"/>
      <c r="L387" s="358"/>
      <c r="M387" s="358"/>
      <c r="N387" s="358"/>
      <c r="O387" s="358"/>
      <c r="P387" s="358"/>
      <c r="Q387" s="358"/>
      <c r="R387" s="358"/>
      <c r="S387" s="358"/>
      <c r="T387" s="358"/>
      <c r="U387" s="358"/>
      <c r="V387" s="358"/>
      <c r="W387" s="358"/>
      <c r="X387" s="358"/>
      <c r="Y387" s="358"/>
    </row>
    <row r="388" spans="2:25">
      <c r="B388" s="226" t="s">
        <v>228</v>
      </c>
      <c r="C388" s="249"/>
      <c r="D388" s="249"/>
      <c r="E388" s="383">
        <f t="shared" ref="E388:Y388" si="108">+E383+E386</f>
        <v>0</v>
      </c>
      <c r="F388" s="383">
        <f t="shared" si="108"/>
        <v>817040.75541761483</v>
      </c>
      <c r="G388" s="383">
        <f t="shared" si="108"/>
        <v>932140.61640481243</v>
      </c>
      <c r="H388" s="383">
        <f t="shared" si="108"/>
        <v>1024018.346041978</v>
      </c>
      <c r="I388" s="383">
        <f t="shared" si="108"/>
        <v>1100290.817559324</v>
      </c>
      <c r="J388" s="360">
        <f t="shared" si="108"/>
        <v>1175254.3409481223</v>
      </c>
      <c r="K388" s="360">
        <f t="shared" si="108"/>
        <v>1270307.2281965697</v>
      </c>
      <c r="L388" s="360">
        <f t="shared" si="108"/>
        <v>1350285.7712838256</v>
      </c>
      <c r="M388" s="360">
        <f t="shared" si="108"/>
        <v>1435299.7634438551</v>
      </c>
      <c r="N388" s="360">
        <f t="shared" si="108"/>
        <v>1525666.2365502804</v>
      </c>
      <c r="O388" s="360">
        <f t="shared" si="108"/>
        <v>1621722.1828034862</v>
      </c>
      <c r="P388" s="360">
        <f t="shared" si="108"/>
        <v>1723825.8114327937</v>
      </c>
      <c r="Q388" s="360">
        <f t="shared" si="108"/>
        <v>1832357.8845206029</v>
      </c>
      <c r="R388" s="360">
        <f t="shared" si="108"/>
        <v>1947723.1369300205</v>
      </c>
      <c r="S388" s="360">
        <f t="shared" si="108"/>
        <v>2070351.7856311349</v>
      </c>
      <c r="T388" s="360">
        <f t="shared" si="108"/>
        <v>2200701.1340544713</v>
      </c>
      <c r="U388" s="360">
        <f t="shared" si="108"/>
        <v>2339257.2774545406</v>
      </c>
      <c r="V388" s="360">
        <f t="shared" si="108"/>
        <v>2486536.9156430787</v>
      </c>
      <c r="W388" s="360">
        <f t="shared" si="108"/>
        <v>2643089.2798519675</v>
      </c>
      <c r="X388" s="360">
        <f t="shared" si="108"/>
        <v>2809498.1809114479</v>
      </c>
      <c r="Y388" s="360">
        <f t="shared" si="108"/>
        <v>2986384.186381632</v>
      </c>
    </row>
    <row r="389" spans="2:25">
      <c r="B389" s="91"/>
      <c r="E389" s="363"/>
      <c r="F389" s="363"/>
      <c r="G389" s="363"/>
      <c r="H389" s="363"/>
      <c r="I389" s="363"/>
      <c r="J389" s="358"/>
      <c r="K389" s="358"/>
      <c r="L389" s="358"/>
      <c r="M389" s="358"/>
      <c r="N389" s="358"/>
      <c r="O389" s="358"/>
      <c r="P389" s="358"/>
      <c r="Q389" s="358"/>
      <c r="R389" s="358"/>
      <c r="S389" s="358"/>
      <c r="T389" s="358"/>
      <c r="U389" s="358"/>
      <c r="V389" s="358"/>
      <c r="W389" s="358"/>
      <c r="X389" s="358"/>
      <c r="Y389" s="358"/>
    </row>
    <row r="390" spans="2:25">
      <c r="B390" s="90" t="s">
        <v>229</v>
      </c>
      <c r="E390" s="363"/>
      <c r="F390" s="363"/>
      <c r="G390" s="363"/>
      <c r="H390" s="363"/>
      <c r="I390" s="363"/>
      <c r="J390" s="358"/>
      <c r="K390" s="358"/>
      <c r="L390" s="358"/>
      <c r="M390" s="358"/>
      <c r="N390" s="358"/>
      <c r="O390" s="358"/>
      <c r="P390" s="358"/>
      <c r="Q390" s="358"/>
      <c r="R390" s="358"/>
      <c r="S390" s="358"/>
      <c r="T390" s="358"/>
      <c r="U390" s="358"/>
      <c r="V390" s="358"/>
      <c r="W390" s="358"/>
      <c r="X390" s="358"/>
      <c r="Y390" s="358"/>
    </row>
    <row r="391" spans="2:25">
      <c r="B391" s="91"/>
      <c r="C391" s="66" t="s">
        <v>15</v>
      </c>
      <c r="E391" s="363">
        <f>+E241</f>
        <v>1891369.125</v>
      </c>
      <c r="F391" s="363">
        <f t="shared" ref="F391:Y391" si="109">+E391+F241</f>
        <v>1891369.125</v>
      </c>
      <c r="G391" s="363">
        <f t="shared" si="109"/>
        <v>1891369.125</v>
      </c>
      <c r="H391" s="363">
        <f t="shared" si="109"/>
        <v>1891369.125</v>
      </c>
      <c r="I391" s="363">
        <f t="shared" si="109"/>
        <v>1891369.125</v>
      </c>
      <c r="J391" s="358">
        <f t="shared" si="109"/>
        <v>1891369.125</v>
      </c>
      <c r="K391" s="358">
        <f t="shared" si="109"/>
        <v>1891369.125</v>
      </c>
      <c r="L391" s="358">
        <f t="shared" si="109"/>
        <v>1891369.125</v>
      </c>
      <c r="M391" s="358">
        <f t="shared" si="109"/>
        <v>1891369.125</v>
      </c>
      <c r="N391" s="358">
        <f t="shared" si="109"/>
        <v>1891369.125</v>
      </c>
      <c r="O391" s="358">
        <f t="shared" si="109"/>
        <v>1891369.125</v>
      </c>
      <c r="P391" s="358">
        <f t="shared" si="109"/>
        <v>1891369.125</v>
      </c>
      <c r="Q391" s="358">
        <f t="shared" si="109"/>
        <v>1891369.125</v>
      </c>
      <c r="R391" s="358">
        <f t="shared" si="109"/>
        <v>1891369.125</v>
      </c>
      <c r="S391" s="358">
        <f t="shared" si="109"/>
        <v>1891369.125</v>
      </c>
      <c r="T391" s="358">
        <f t="shared" si="109"/>
        <v>1891369.125</v>
      </c>
      <c r="U391" s="358">
        <f t="shared" si="109"/>
        <v>1891369.125</v>
      </c>
      <c r="V391" s="358">
        <f t="shared" si="109"/>
        <v>1891369.125</v>
      </c>
      <c r="W391" s="358">
        <f t="shared" si="109"/>
        <v>1891369.125</v>
      </c>
      <c r="X391" s="358">
        <f t="shared" si="109"/>
        <v>1891369.125</v>
      </c>
      <c r="Y391" s="358">
        <f t="shared" si="109"/>
        <v>1891369.125</v>
      </c>
    </row>
    <row r="392" spans="2:25">
      <c r="B392" s="91"/>
      <c r="C392" s="66" t="s">
        <v>230</v>
      </c>
      <c r="E392" s="363">
        <v>0</v>
      </c>
      <c r="F392" s="363">
        <f t="shared" ref="F392:Y392" si="110">+E392+E393-F280</f>
        <v>0</v>
      </c>
      <c r="G392" s="363">
        <f t="shared" si="110"/>
        <v>206005.48088790645</v>
      </c>
      <c r="H392" s="363">
        <f t="shared" si="110"/>
        <v>444457.3976998732</v>
      </c>
      <c r="I392" s="363">
        <f t="shared" si="110"/>
        <v>708809.47496339784</v>
      </c>
      <c r="J392" s="358">
        <f t="shared" si="110"/>
        <v>994662.61954908434</v>
      </c>
      <c r="K392" s="358">
        <f t="shared" si="110"/>
        <v>1301647.8414232652</v>
      </c>
      <c r="L392" s="358">
        <f t="shared" si="110"/>
        <v>1659745.077423706</v>
      </c>
      <c r="M392" s="358">
        <f t="shared" si="110"/>
        <v>2040388.1154027346</v>
      </c>
      <c r="N392" s="358">
        <f t="shared" si="110"/>
        <v>2444996.4390529222</v>
      </c>
      <c r="O392" s="358">
        <f t="shared" si="110"/>
        <v>2875078.9027601257</v>
      </c>
      <c r="P392" s="358">
        <f t="shared" si="110"/>
        <v>3332239.3583823349</v>
      </c>
      <c r="Q392" s="358">
        <f t="shared" si="110"/>
        <v>3818182.6362905186</v>
      </c>
      <c r="R392" s="358">
        <f t="shared" si="110"/>
        <v>4334720.9029758014</v>
      </c>
      <c r="S392" s="358">
        <f t="shared" si="110"/>
        <v>4883780.4189315904</v>
      </c>
      <c r="T392" s="358">
        <f t="shared" si="110"/>
        <v>5467408.7220119555</v>
      </c>
      <c r="U392" s="358">
        <f t="shared" si="110"/>
        <v>6087782.263054261</v>
      </c>
      <c r="V392" s="358">
        <f t="shared" si="110"/>
        <v>6747214.5222405894</v>
      </c>
      <c r="W392" s="358">
        <f t="shared" si="110"/>
        <v>7448164.6364652896</v>
      </c>
      <c r="X392" s="358">
        <f t="shared" si="110"/>
        <v>8193246.5698815761</v>
      </c>
      <c r="Y392" s="358">
        <f t="shared" si="110"/>
        <v>8985238.861825753</v>
      </c>
    </row>
    <row r="393" spans="2:25">
      <c r="B393" s="91"/>
      <c r="C393" s="66" t="s">
        <v>231</v>
      </c>
      <c r="E393" s="363">
        <v>0</v>
      </c>
      <c r="F393" s="363">
        <f t="shared" ref="F393:Y393" si="111">+F198</f>
        <v>228894.97876434051</v>
      </c>
      <c r="G393" s="363">
        <f t="shared" si="111"/>
        <v>264946.57423551858</v>
      </c>
      <c r="H393" s="363">
        <f t="shared" si="111"/>
        <v>293724.53029280517</v>
      </c>
      <c r="I393" s="363">
        <f t="shared" si="111"/>
        <v>317614.60509520723</v>
      </c>
      <c r="J393" s="358">
        <f t="shared" si="111"/>
        <v>341094.69097131205</v>
      </c>
      <c r="K393" s="358">
        <f t="shared" si="111"/>
        <v>397885.81777826755</v>
      </c>
      <c r="L393" s="358">
        <f t="shared" si="111"/>
        <v>422936.70886558737</v>
      </c>
      <c r="M393" s="358">
        <f t="shared" si="111"/>
        <v>449564.80405576399</v>
      </c>
      <c r="N393" s="358">
        <f t="shared" si="111"/>
        <v>477869.40411911497</v>
      </c>
      <c r="O393" s="358">
        <f t="shared" si="111"/>
        <v>507956.06180245458</v>
      </c>
      <c r="P393" s="358">
        <f t="shared" si="111"/>
        <v>539936.97545353742</v>
      </c>
      <c r="Q393" s="358">
        <f t="shared" si="111"/>
        <v>573931.40742809209</v>
      </c>
      <c r="R393" s="358">
        <f t="shared" si="111"/>
        <v>610066.12883976544</v>
      </c>
      <c r="S393" s="358">
        <f t="shared" si="111"/>
        <v>648475.89231151703</v>
      </c>
      <c r="T393" s="358">
        <f t="shared" si="111"/>
        <v>689303.93449145067</v>
      </c>
      <c r="U393" s="358">
        <f t="shared" si="111"/>
        <v>732702.5102070322</v>
      </c>
      <c r="V393" s="358">
        <f t="shared" si="111"/>
        <v>778833.46024966682</v>
      </c>
      <c r="W393" s="358">
        <f t="shared" si="111"/>
        <v>827868.81490698573</v>
      </c>
      <c r="X393" s="358">
        <f t="shared" si="111"/>
        <v>879991.43549353001</v>
      </c>
      <c r="Y393" s="358">
        <f t="shared" si="111"/>
        <v>935395.69627220079</v>
      </c>
    </row>
    <row r="394" spans="2:25">
      <c r="B394" s="226" t="s">
        <v>232</v>
      </c>
      <c r="C394" s="248"/>
      <c r="D394" s="249"/>
      <c r="E394" s="383">
        <f t="shared" ref="E394:Y394" si="112">SUM(E391:E393)</f>
        <v>1891369.125</v>
      </c>
      <c r="F394" s="383">
        <f t="shared" si="112"/>
        <v>2120264.1037643403</v>
      </c>
      <c r="G394" s="383">
        <f t="shared" si="112"/>
        <v>2362321.1801234251</v>
      </c>
      <c r="H394" s="383">
        <f t="shared" si="112"/>
        <v>2629551.0529926782</v>
      </c>
      <c r="I394" s="383">
        <f t="shared" si="112"/>
        <v>2917793.2050586049</v>
      </c>
      <c r="J394" s="360">
        <f t="shared" si="112"/>
        <v>3227126.4355203966</v>
      </c>
      <c r="K394" s="360">
        <f t="shared" si="112"/>
        <v>3590902.7842015326</v>
      </c>
      <c r="L394" s="360">
        <f t="shared" si="112"/>
        <v>3974050.9112892933</v>
      </c>
      <c r="M394" s="360">
        <f t="shared" si="112"/>
        <v>4381322.0444584992</v>
      </c>
      <c r="N394" s="360">
        <f t="shared" si="112"/>
        <v>4814234.968172038</v>
      </c>
      <c r="O394" s="360">
        <f t="shared" si="112"/>
        <v>5274404.08956258</v>
      </c>
      <c r="P394" s="360">
        <f t="shared" si="112"/>
        <v>5763545.4588358719</v>
      </c>
      <c r="Q394" s="360">
        <f t="shared" si="112"/>
        <v>6283483.1687186109</v>
      </c>
      <c r="R394" s="360">
        <f t="shared" si="112"/>
        <v>6836156.1568155671</v>
      </c>
      <c r="S394" s="360">
        <f t="shared" si="112"/>
        <v>7423625.4362431075</v>
      </c>
      <c r="T394" s="360">
        <f t="shared" si="112"/>
        <v>8048081.7815034064</v>
      </c>
      <c r="U394" s="360">
        <f t="shared" si="112"/>
        <v>8711853.8982612938</v>
      </c>
      <c r="V394" s="360">
        <f t="shared" si="112"/>
        <v>9417417.1074902564</v>
      </c>
      <c r="W394" s="360">
        <f t="shared" si="112"/>
        <v>10167402.576372275</v>
      </c>
      <c r="X394" s="360">
        <f t="shared" si="112"/>
        <v>10964607.130375108</v>
      </c>
      <c r="Y394" s="360">
        <f t="shared" si="112"/>
        <v>11812003.683097953</v>
      </c>
    </row>
    <row r="395" spans="2:25">
      <c r="B395" s="91"/>
      <c r="E395" s="363"/>
      <c r="F395" s="363"/>
      <c r="G395" s="363"/>
      <c r="H395" s="363"/>
      <c r="I395" s="363"/>
      <c r="J395" s="358"/>
      <c r="K395" s="358"/>
      <c r="L395" s="358"/>
      <c r="M395" s="358"/>
      <c r="N395" s="358"/>
      <c r="O395" s="358"/>
      <c r="P395" s="358"/>
      <c r="Q395" s="358"/>
      <c r="R395" s="358"/>
      <c r="S395" s="358"/>
      <c r="T395" s="358"/>
      <c r="U395" s="358"/>
      <c r="V395" s="358"/>
      <c r="W395" s="358"/>
      <c r="X395" s="358"/>
      <c r="Y395" s="358"/>
    </row>
    <row r="396" spans="2:25">
      <c r="B396" s="226" t="s">
        <v>233</v>
      </c>
      <c r="C396" s="249"/>
      <c r="D396" s="249"/>
      <c r="E396" s="383">
        <f t="shared" ref="E396:Y396" si="113">+E388+E394</f>
        <v>1891369.125</v>
      </c>
      <c r="F396" s="383">
        <f t="shared" si="113"/>
        <v>2937304.859181955</v>
      </c>
      <c r="G396" s="383">
        <f t="shared" si="113"/>
        <v>3294461.7965282374</v>
      </c>
      <c r="H396" s="383">
        <f t="shared" si="113"/>
        <v>3653569.3990346561</v>
      </c>
      <c r="I396" s="383">
        <f t="shared" si="113"/>
        <v>4018084.0226179287</v>
      </c>
      <c r="J396" s="360">
        <f t="shared" si="113"/>
        <v>4402380.7764685191</v>
      </c>
      <c r="K396" s="360">
        <f t="shared" si="113"/>
        <v>4861210.0123981023</v>
      </c>
      <c r="L396" s="360">
        <f t="shared" si="113"/>
        <v>5324336.6825731192</v>
      </c>
      <c r="M396" s="360">
        <f t="shared" si="113"/>
        <v>5816621.8079023547</v>
      </c>
      <c r="N396" s="360">
        <f t="shared" si="113"/>
        <v>6339901.2047223188</v>
      </c>
      <c r="O396" s="360">
        <f t="shared" si="113"/>
        <v>6896126.2723660665</v>
      </c>
      <c r="P396" s="360">
        <f t="shared" si="113"/>
        <v>7487371.2702686656</v>
      </c>
      <c r="Q396" s="360">
        <f t="shared" si="113"/>
        <v>8115841.0532392133</v>
      </c>
      <c r="R396" s="360">
        <f t="shared" si="113"/>
        <v>8783879.2937455885</v>
      </c>
      <c r="S396" s="360">
        <f t="shared" si="113"/>
        <v>9493977.2218742426</v>
      </c>
      <c r="T396" s="360">
        <f t="shared" si="113"/>
        <v>10248782.915557878</v>
      </c>
      <c r="U396" s="360">
        <f t="shared" si="113"/>
        <v>11051111.175715834</v>
      </c>
      <c r="V396" s="360">
        <f t="shared" si="113"/>
        <v>11903954.023133336</v>
      </c>
      <c r="W396" s="360">
        <f t="shared" si="113"/>
        <v>12810491.856224243</v>
      </c>
      <c r="X396" s="360">
        <f t="shared" si="113"/>
        <v>13774105.311286556</v>
      </c>
      <c r="Y396" s="360">
        <f t="shared" si="113"/>
        <v>14798387.869479585</v>
      </c>
    </row>
    <row r="397" spans="2:25">
      <c r="B397" s="97"/>
      <c r="C397" s="253"/>
      <c r="D397" s="98"/>
      <c r="E397" s="97"/>
      <c r="F397" s="97"/>
      <c r="G397" s="97"/>
      <c r="H397" s="97"/>
      <c r="I397" s="97"/>
      <c r="J397" s="99"/>
      <c r="K397" s="99"/>
      <c r="L397" s="99"/>
      <c r="M397" s="99"/>
      <c r="N397" s="99"/>
      <c r="O397" s="99"/>
      <c r="P397" s="99"/>
      <c r="Q397" s="99"/>
      <c r="R397" s="99"/>
      <c r="S397" s="99"/>
      <c r="T397" s="99"/>
      <c r="U397" s="99"/>
      <c r="V397" s="99"/>
      <c r="W397" s="99"/>
      <c r="X397" s="99"/>
      <c r="Y397" s="99"/>
    </row>
    <row r="398" spans="2:25">
      <c r="B398" s="346" t="s">
        <v>234</v>
      </c>
      <c r="E398" s="66">
        <f t="shared" ref="E398:Y398" si="114">+E375-E396</f>
        <v>0</v>
      </c>
      <c r="F398" s="66">
        <f t="shared" si="114"/>
        <v>0</v>
      </c>
      <c r="G398" s="66">
        <f t="shared" si="114"/>
        <v>0</v>
      </c>
      <c r="H398" s="66">
        <f t="shared" si="114"/>
        <v>0</v>
      </c>
      <c r="I398" s="66">
        <f t="shared" si="114"/>
        <v>0</v>
      </c>
      <c r="J398" s="66">
        <f t="shared" si="114"/>
        <v>0</v>
      </c>
      <c r="K398" s="66">
        <f t="shared" si="114"/>
        <v>0</v>
      </c>
      <c r="L398" s="66">
        <f t="shared" si="114"/>
        <v>0</v>
      </c>
      <c r="M398" s="66">
        <f t="shared" si="114"/>
        <v>0</v>
      </c>
      <c r="N398" s="66">
        <f t="shared" si="114"/>
        <v>0</v>
      </c>
      <c r="O398" s="66">
        <f t="shared" si="114"/>
        <v>0</v>
      </c>
      <c r="P398" s="66">
        <f t="shared" si="114"/>
        <v>0</v>
      </c>
      <c r="Q398" s="66">
        <f t="shared" si="114"/>
        <v>0</v>
      </c>
      <c r="R398" s="66">
        <f t="shared" si="114"/>
        <v>0</v>
      </c>
      <c r="S398" s="66">
        <f t="shared" si="114"/>
        <v>0</v>
      </c>
      <c r="T398" s="66">
        <f t="shared" si="114"/>
        <v>0</v>
      </c>
      <c r="U398" s="66">
        <f t="shared" si="114"/>
        <v>0</v>
      </c>
      <c r="V398" s="66">
        <f t="shared" si="114"/>
        <v>0</v>
      </c>
      <c r="W398" s="66">
        <f t="shared" si="114"/>
        <v>0</v>
      </c>
      <c r="X398" s="66">
        <f t="shared" si="114"/>
        <v>0</v>
      </c>
      <c r="Y398" s="66">
        <f t="shared" si="114"/>
        <v>0</v>
      </c>
    </row>
    <row r="399" spans="2:25">
      <c r="B399" s="75" t="s">
        <v>235</v>
      </c>
      <c r="C399" s="77"/>
      <c r="D399" s="77"/>
      <c r="E399" s="77"/>
      <c r="F399" s="77"/>
      <c r="G399" s="77"/>
      <c r="H399" s="77"/>
      <c r="I399" s="77"/>
      <c r="J399" s="77"/>
    </row>
    <row r="400" spans="2:25" ht="13.5" thickBot="1">
      <c r="B400" s="77"/>
      <c r="C400" s="77"/>
      <c r="D400" s="77"/>
      <c r="E400" s="77"/>
      <c r="F400" s="77"/>
      <c r="G400" s="77"/>
      <c r="H400" s="77"/>
      <c r="I400" s="77"/>
      <c r="J400" s="77"/>
    </row>
    <row r="401" spans="2:25">
      <c r="B401" s="176"/>
      <c r="C401" s="178"/>
      <c r="D401" s="178"/>
      <c r="E401" s="178"/>
      <c r="F401" s="179"/>
      <c r="G401" s="179"/>
      <c r="H401" s="179"/>
      <c r="I401" s="179"/>
      <c r="J401" s="180"/>
      <c r="K401" s="180"/>
      <c r="L401" s="180"/>
      <c r="M401" s="180"/>
      <c r="N401" s="180"/>
      <c r="O401" s="181"/>
      <c r="P401" s="181"/>
      <c r="Q401" s="181"/>
      <c r="R401" s="181"/>
      <c r="S401" s="181"/>
      <c r="T401" s="181"/>
      <c r="U401" s="181"/>
      <c r="V401" s="181"/>
      <c r="W401" s="181"/>
      <c r="X401" s="181"/>
      <c r="Y401" s="181"/>
    </row>
    <row r="402" spans="2:25">
      <c r="B402" s="182"/>
      <c r="C402" s="143"/>
      <c r="D402" s="143"/>
      <c r="E402" s="143"/>
      <c r="F402" s="123" t="s">
        <v>41</v>
      </c>
      <c r="G402" s="123" t="s">
        <v>42</v>
      </c>
      <c r="H402" s="123" t="s">
        <v>43</v>
      </c>
      <c r="I402" s="123" t="s">
        <v>44</v>
      </c>
      <c r="J402" s="124" t="s">
        <v>45</v>
      </c>
      <c r="K402" s="124" t="s">
        <v>46</v>
      </c>
      <c r="L402" s="124" t="s">
        <v>47</v>
      </c>
      <c r="M402" s="124" t="s">
        <v>48</v>
      </c>
      <c r="N402" s="124" t="s">
        <v>49</v>
      </c>
      <c r="O402" s="184" t="s">
        <v>50</v>
      </c>
      <c r="P402" s="184" t="s">
        <v>51</v>
      </c>
      <c r="Q402" s="184" t="s">
        <v>52</v>
      </c>
      <c r="R402" s="184" t="s">
        <v>53</v>
      </c>
      <c r="S402" s="184" t="s">
        <v>54</v>
      </c>
      <c r="T402" s="184" t="s">
        <v>55</v>
      </c>
      <c r="U402" s="184" t="s">
        <v>56</v>
      </c>
      <c r="V402" s="184" t="s">
        <v>57</v>
      </c>
      <c r="W402" s="184" t="s">
        <v>58</v>
      </c>
      <c r="X402" s="184" t="s">
        <v>59</v>
      </c>
      <c r="Y402" s="184" t="s">
        <v>60</v>
      </c>
    </row>
    <row r="403" spans="2:25">
      <c r="B403" s="182"/>
      <c r="C403" s="122"/>
      <c r="D403" s="189"/>
      <c r="E403" s="122"/>
      <c r="F403" s="121"/>
      <c r="G403" s="121"/>
      <c r="H403" s="121"/>
      <c r="I403" s="121"/>
      <c r="J403" s="125"/>
      <c r="K403" s="125"/>
      <c r="L403" s="125"/>
      <c r="M403" s="125"/>
      <c r="N403" s="125"/>
      <c r="O403" s="190"/>
      <c r="P403" s="190"/>
      <c r="Q403" s="190"/>
      <c r="R403" s="190"/>
      <c r="S403" s="190"/>
      <c r="T403" s="190"/>
      <c r="U403" s="190"/>
      <c r="V403" s="190"/>
      <c r="W403" s="190"/>
      <c r="X403" s="190"/>
      <c r="Y403" s="190"/>
    </row>
    <row r="404" spans="2:25">
      <c r="B404" s="195"/>
      <c r="C404" s="129"/>
      <c r="D404" s="129"/>
      <c r="E404" s="129"/>
      <c r="F404" s="128"/>
      <c r="G404" s="128"/>
      <c r="H404" s="128"/>
      <c r="I404" s="128"/>
      <c r="J404" s="130"/>
      <c r="K404" s="130"/>
      <c r="L404" s="130"/>
      <c r="M404" s="130"/>
      <c r="N404" s="130"/>
      <c r="O404" s="197"/>
      <c r="P404" s="197"/>
      <c r="Q404" s="197"/>
      <c r="R404" s="197"/>
      <c r="S404" s="197"/>
      <c r="T404" s="197"/>
      <c r="U404" s="197"/>
      <c r="V404" s="197"/>
      <c r="W404" s="197"/>
      <c r="X404" s="197"/>
      <c r="Y404" s="197"/>
    </row>
    <row r="405" spans="2:25">
      <c r="B405" s="254" t="s">
        <v>236</v>
      </c>
      <c r="C405" s="221"/>
      <c r="F405" s="91"/>
      <c r="G405" s="91"/>
      <c r="H405" s="91"/>
      <c r="I405" s="91"/>
      <c r="J405" s="89"/>
      <c r="K405" s="89"/>
      <c r="L405" s="89"/>
      <c r="M405" s="89"/>
      <c r="N405" s="89"/>
      <c r="O405" s="255"/>
      <c r="P405" s="255"/>
      <c r="Q405" s="255"/>
      <c r="R405" s="255"/>
      <c r="S405" s="255"/>
      <c r="T405" s="255"/>
      <c r="U405" s="255"/>
      <c r="V405" s="255"/>
      <c r="W405" s="255"/>
      <c r="X405" s="255"/>
      <c r="Y405" s="255"/>
    </row>
    <row r="406" spans="2:25">
      <c r="B406" s="191" t="s">
        <v>237</v>
      </c>
      <c r="F406" s="363">
        <f t="shared" ref="F406:Y406" si="115">+F190+D114+D127</f>
        <v>482146.12117590848</v>
      </c>
      <c r="G406" s="363">
        <f t="shared" si="115"/>
        <v>537610.11420849012</v>
      </c>
      <c r="H406" s="363">
        <f t="shared" si="115"/>
        <v>581883.89275816176</v>
      </c>
      <c r="I406" s="363">
        <f t="shared" si="115"/>
        <v>618637.85399262654</v>
      </c>
      <c r="J406" s="363">
        <f t="shared" si="115"/>
        <v>654761.06303278776</v>
      </c>
      <c r="K406" s="363">
        <f t="shared" si="115"/>
        <v>642132.02735118079</v>
      </c>
      <c r="L406" s="363">
        <f t="shared" si="115"/>
        <v>680671.85979321133</v>
      </c>
      <c r="M406" s="363">
        <f t="shared" si="115"/>
        <v>721638.16008579079</v>
      </c>
      <c r="N406" s="363">
        <f t="shared" si="115"/>
        <v>765183.6986447922</v>
      </c>
      <c r="O406" s="375">
        <f t="shared" si="115"/>
        <v>811470.86431146855</v>
      </c>
      <c r="P406" s="375">
        <f t="shared" si="115"/>
        <v>830672.26992851915</v>
      </c>
      <c r="Q406" s="375">
        <f t="shared" si="115"/>
        <v>882971.39604321844</v>
      </c>
      <c r="R406" s="375">
        <f t="shared" si="115"/>
        <v>938563.27513810061</v>
      </c>
      <c r="S406" s="375">
        <f t="shared" si="115"/>
        <v>997655.2189407954</v>
      </c>
      <c r="T406" s="375">
        <f t="shared" si="115"/>
        <v>1060467.5915253088</v>
      </c>
      <c r="U406" s="375">
        <f t="shared" si="115"/>
        <v>1127234.6310877418</v>
      </c>
      <c r="V406" s="375">
        <f t="shared" si="115"/>
        <v>1198205.323461026</v>
      </c>
      <c r="W406" s="375">
        <f t="shared" si="115"/>
        <v>1273644.330626132</v>
      </c>
      <c r="X406" s="375">
        <f t="shared" si="115"/>
        <v>1353832.9776823539</v>
      </c>
      <c r="Y406" s="375">
        <f t="shared" si="115"/>
        <v>1439070.3019572319</v>
      </c>
    </row>
    <row r="407" spans="2:25">
      <c r="B407" s="191" t="s">
        <v>238</v>
      </c>
      <c r="F407" s="363">
        <f t="shared" ref="F407:Y407" si="116">+E153</f>
        <v>54834.16629420605</v>
      </c>
      <c r="G407" s="363">
        <f t="shared" si="116"/>
        <v>43771.02337437938</v>
      </c>
      <c r="H407" s="363">
        <f t="shared" si="116"/>
        <v>36336.598072150955</v>
      </c>
      <c r="I407" s="363">
        <f t="shared" si="116"/>
        <v>35713.008445407264</v>
      </c>
      <c r="J407" s="363">
        <f t="shared" si="116"/>
        <v>36946.594717870001</v>
      </c>
      <c r="K407" s="358">
        <f t="shared" si="116"/>
        <v>38102.189646456158</v>
      </c>
      <c r="L407" s="363">
        <f t="shared" si="116"/>
        <v>40501.103506596526</v>
      </c>
      <c r="M407" s="363">
        <f t="shared" si="116"/>
        <v>43051.052983372472</v>
      </c>
      <c r="N407" s="363">
        <f t="shared" si="116"/>
        <v>45761.547279205173</v>
      </c>
      <c r="O407" s="375">
        <f t="shared" si="116"/>
        <v>48642.694295904366</v>
      </c>
      <c r="P407" s="375">
        <f t="shared" si="116"/>
        <v>51705.238328774227</v>
      </c>
      <c r="Q407" s="375">
        <f t="shared" si="116"/>
        <v>54960.600133954315</v>
      </c>
      <c r="R407" s="375">
        <f t="shared" si="116"/>
        <v>58420.919518387411</v>
      </c>
      <c r="S407" s="375">
        <f t="shared" si="116"/>
        <v>62099.100611265516</v>
      </c>
      <c r="T407" s="375">
        <f t="shared" si="116"/>
        <v>66008.859985750634</v>
      </c>
      <c r="U407" s="375">
        <f t="shared" si="116"/>
        <v>70164.777810453437</v>
      </c>
      <c r="V407" s="375">
        <f t="shared" si="116"/>
        <v>74582.352221399313</v>
      </c>
      <c r="W407" s="375">
        <f t="shared" si="116"/>
        <v>79278.05711725913</v>
      </c>
      <c r="X407" s="375">
        <f t="shared" si="116"/>
        <v>84269.403593361378</v>
      </c>
      <c r="Y407" s="375">
        <f t="shared" si="116"/>
        <v>0</v>
      </c>
    </row>
    <row r="408" spans="2:25">
      <c r="B408" s="191" t="s">
        <v>239</v>
      </c>
      <c r="F408" s="363">
        <f t="shared" ref="F408:Y408" si="117">+F406-F407</f>
        <v>427311.95488170243</v>
      </c>
      <c r="G408" s="363">
        <f t="shared" si="117"/>
        <v>493839.09083411074</v>
      </c>
      <c r="H408" s="363">
        <f t="shared" si="117"/>
        <v>545547.29468601081</v>
      </c>
      <c r="I408" s="363">
        <f t="shared" si="117"/>
        <v>582924.84554721927</v>
      </c>
      <c r="J408" s="363">
        <f t="shared" si="117"/>
        <v>617814.46831491776</v>
      </c>
      <c r="K408" s="358">
        <f t="shared" si="117"/>
        <v>604029.83770472463</v>
      </c>
      <c r="L408" s="363">
        <f t="shared" si="117"/>
        <v>640170.75628661481</v>
      </c>
      <c r="M408" s="363">
        <f t="shared" si="117"/>
        <v>678587.10710241832</v>
      </c>
      <c r="N408" s="363">
        <f t="shared" si="117"/>
        <v>719422.15136558702</v>
      </c>
      <c r="O408" s="375">
        <f t="shared" si="117"/>
        <v>762828.17001556419</v>
      </c>
      <c r="P408" s="375">
        <f t="shared" si="117"/>
        <v>778967.03159974492</v>
      </c>
      <c r="Q408" s="375">
        <f t="shared" si="117"/>
        <v>828010.79590926412</v>
      </c>
      <c r="R408" s="375">
        <f t="shared" si="117"/>
        <v>880142.3556197132</v>
      </c>
      <c r="S408" s="375">
        <f t="shared" si="117"/>
        <v>935556.11832952988</v>
      </c>
      <c r="T408" s="375">
        <f t="shared" si="117"/>
        <v>994458.73153955815</v>
      </c>
      <c r="U408" s="375">
        <f t="shared" si="117"/>
        <v>1057069.8532772884</v>
      </c>
      <c r="V408" s="375">
        <f t="shared" si="117"/>
        <v>1123622.9712396266</v>
      </c>
      <c r="W408" s="375">
        <f t="shared" si="117"/>
        <v>1194366.2735088728</v>
      </c>
      <c r="X408" s="375">
        <f t="shared" si="117"/>
        <v>1269563.5740889926</v>
      </c>
      <c r="Y408" s="375">
        <f t="shared" si="117"/>
        <v>1439070.3019572319</v>
      </c>
    </row>
    <row r="409" spans="2:25">
      <c r="B409" s="191" t="s">
        <v>240</v>
      </c>
      <c r="F409" s="256">
        <f t="shared" ref="F409:Y409" si="118">+F406/F181*100</f>
        <v>5.5222622453231454</v>
      </c>
      <c r="G409" s="256">
        <f t="shared" si="118"/>
        <v>5.4112057780164919</v>
      </c>
      <c r="H409" s="256">
        <f t="shared" si="118"/>
        <v>5.3401728140605611</v>
      </c>
      <c r="I409" s="256">
        <f t="shared" si="118"/>
        <v>5.2900752920563479</v>
      </c>
      <c r="J409" s="256">
        <f t="shared" si="118"/>
        <v>5.2470806503038796</v>
      </c>
      <c r="K409" s="257">
        <f t="shared" si="118"/>
        <v>4.831716704173771</v>
      </c>
      <c r="L409" s="256">
        <f t="shared" si="118"/>
        <v>4.8183462492846667</v>
      </c>
      <c r="M409" s="256">
        <f t="shared" si="118"/>
        <v>4.8057677374976624</v>
      </c>
      <c r="N409" s="256">
        <f t="shared" si="118"/>
        <v>4.7939342613678022</v>
      </c>
      <c r="O409" s="258">
        <f t="shared" si="118"/>
        <v>4.7828016918168696</v>
      </c>
      <c r="P409" s="258">
        <f t="shared" si="118"/>
        <v>4.605981972138764</v>
      </c>
      <c r="Q409" s="258">
        <f t="shared" si="118"/>
        <v>4.6059819721387623</v>
      </c>
      <c r="R409" s="258">
        <f t="shared" si="118"/>
        <v>4.6059819721387658</v>
      </c>
      <c r="S409" s="258">
        <f t="shared" si="118"/>
        <v>4.6059819721387658</v>
      </c>
      <c r="T409" s="258">
        <f t="shared" si="118"/>
        <v>4.6059819721387694</v>
      </c>
      <c r="U409" s="258">
        <f t="shared" si="118"/>
        <v>4.6059819721387685</v>
      </c>
      <c r="V409" s="258">
        <f t="shared" si="118"/>
        <v>4.6059819721387676</v>
      </c>
      <c r="W409" s="258">
        <f t="shared" si="118"/>
        <v>4.6059819721387667</v>
      </c>
      <c r="X409" s="258">
        <f t="shared" si="118"/>
        <v>4.6059819721387685</v>
      </c>
      <c r="Y409" s="258">
        <f t="shared" si="118"/>
        <v>4.6059819721387587</v>
      </c>
    </row>
    <row r="410" spans="2:25">
      <c r="B410" s="191" t="s">
        <v>241</v>
      </c>
      <c r="F410" s="363">
        <f t="shared" ref="F410:Y410" si="119">+F394+F386-F371-F373</f>
        <v>1450264.1037643403</v>
      </c>
      <c r="G410" s="363">
        <f t="shared" si="119"/>
        <v>1822321.1801234251</v>
      </c>
      <c r="H410" s="363">
        <f t="shared" si="119"/>
        <v>2219551.0529926782</v>
      </c>
      <c r="I410" s="363">
        <f t="shared" si="119"/>
        <v>2637793.2050586049</v>
      </c>
      <c r="J410" s="363">
        <f t="shared" si="119"/>
        <v>3077126.4355203966</v>
      </c>
      <c r="K410" s="358">
        <f t="shared" si="119"/>
        <v>3470902.7842015326</v>
      </c>
      <c r="L410" s="363">
        <f t="shared" si="119"/>
        <v>3884050.9112892933</v>
      </c>
      <c r="M410" s="363">
        <f t="shared" si="119"/>
        <v>4321322.0444584992</v>
      </c>
      <c r="N410" s="363">
        <f t="shared" si="119"/>
        <v>4784234.968172038</v>
      </c>
      <c r="O410" s="375">
        <f t="shared" si="119"/>
        <v>5274404.08956258</v>
      </c>
      <c r="P410" s="375">
        <f t="shared" si="119"/>
        <v>5763545.4588358719</v>
      </c>
      <c r="Q410" s="375">
        <f t="shared" si="119"/>
        <v>6283483.1687186109</v>
      </c>
      <c r="R410" s="375">
        <f t="shared" si="119"/>
        <v>6836156.1568155671</v>
      </c>
      <c r="S410" s="375">
        <f t="shared" si="119"/>
        <v>7423625.4362431075</v>
      </c>
      <c r="T410" s="375">
        <f t="shared" si="119"/>
        <v>8048081.7815034064</v>
      </c>
      <c r="U410" s="375">
        <f t="shared" si="119"/>
        <v>8711853.8982612938</v>
      </c>
      <c r="V410" s="375">
        <f t="shared" si="119"/>
        <v>9417417.1074902564</v>
      </c>
      <c r="W410" s="375">
        <f t="shared" si="119"/>
        <v>10167402.576372275</v>
      </c>
      <c r="X410" s="375">
        <f t="shared" si="119"/>
        <v>10964607.130375108</v>
      </c>
      <c r="Y410" s="375">
        <f t="shared" si="119"/>
        <v>11812003.683097953</v>
      </c>
    </row>
    <row r="411" spans="2:25">
      <c r="B411" s="191" t="s">
        <v>242</v>
      </c>
      <c r="F411" s="363">
        <f t="shared" ref="F411:Y411" si="120">+F359-(F379+F382)</f>
        <v>1450264.1037643407</v>
      </c>
      <c r="G411" s="363">
        <f t="shared" si="120"/>
        <v>1822321.1801234256</v>
      </c>
      <c r="H411" s="363">
        <f t="shared" si="120"/>
        <v>2219551.0529926787</v>
      </c>
      <c r="I411" s="363">
        <f t="shared" si="120"/>
        <v>2637793.2050586054</v>
      </c>
      <c r="J411" s="363">
        <f t="shared" si="120"/>
        <v>3077126.4355203966</v>
      </c>
      <c r="K411" s="363">
        <f t="shared" si="120"/>
        <v>3470902.7842015326</v>
      </c>
      <c r="L411" s="363">
        <f t="shared" si="120"/>
        <v>3884050.9112892933</v>
      </c>
      <c r="M411" s="363">
        <f t="shared" si="120"/>
        <v>4321322.0444584992</v>
      </c>
      <c r="N411" s="363">
        <f t="shared" si="120"/>
        <v>4784234.968172038</v>
      </c>
      <c r="O411" s="375">
        <f t="shared" si="120"/>
        <v>5274404.0895625809</v>
      </c>
      <c r="P411" s="375">
        <f t="shared" si="120"/>
        <v>5763545.4588358728</v>
      </c>
      <c r="Q411" s="375">
        <f t="shared" si="120"/>
        <v>6283483.1687186118</v>
      </c>
      <c r="R411" s="375">
        <f t="shared" si="120"/>
        <v>6836156.156815568</v>
      </c>
      <c r="S411" s="375">
        <f t="shared" si="120"/>
        <v>7423625.4362431075</v>
      </c>
      <c r="T411" s="375">
        <f t="shared" si="120"/>
        <v>8048081.7815034073</v>
      </c>
      <c r="U411" s="375">
        <f t="shared" si="120"/>
        <v>8711853.8982612938</v>
      </c>
      <c r="V411" s="375">
        <f t="shared" si="120"/>
        <v>9417417.1074902564</v>
      </c>
      <c r="W411" s="375">
        <f t="shared" si="120"/>
        <v>10167402.576372275</v>
      </c>
      <c r="X411" s="375">
        <f t="shared" si="120"/>
        <v>10964607.130375106</v>
      </c>
      <c r="Y411" s="375">
        <f t="shared" si="120"/>
        <v>11812003.683097953</v>
      </c>
    </row>
    <row r="412" spans="2:25">
      <c r="B412" s="191"/>
      <c r="F412" s="91"/>
      <c r="G412" s="91"/>
      <c r="H412" s="91"/>
      <c r="I412" s="91"/>
      <c r="J412" s="89"/>
      <c r="K412" s="89"/>
      <c r="L412" s="89"/>
      <c r="M412" s="89"/>
      <c r="N412" s="89"/>
      <c r="O412" s="255"/>
      <c r="P412" s="255"/>
      <c r="Q412" s="255"/>
      <c r="R412" s="255"/>
      <c r="S412" s="255"/>
      <c r="T412" s="255"/>
      <c r="U412" s="255"/>
      <c r="V412" s="255"/>
      <c r="W412" s="255"/>
      <c r="X412" s="255"/>
      <c r="Y412" s="255"/>
    </row>
    <row r="413" spans="2:25">
      <c r="B413" s="254" t="s">
        <v>243</v>
      </c>
      <c r="F413" s="256"/>
      <c r="G413" s="256"/>
      <c r="H413" s="256"/>
      <c r="I413" s="256"/>
      <c r="J413" s="256"/>
      <c r="K413" s="257"/>
      <c r="L413" s="256"/>
      <c r="M413" s="256"/>
      <c r="N413" s="256"/>
      <c r="O413" s="258"/>
      <c r="P413" s="258"/>
      <c r="Q413" s="258"/>
      <c r="R413" s="258"/>
      <c r="S413" s="258"/>
      <c r="T413" s="258"/>
      <c r="U413" s="258"/>
      <c r="V413" s="258"/>
      <c r="W413" s="258"/>
      <c r="X413" s="258"/>
      <c r="Y413" s="258"/>
    </row>
    <row r="414" spans="2:25">
      <c r="B414" s="191" t="s">
        <v>244</v>
      </c>
      <c r="F414" s="259">
        <f t="shared" ref="F414:Y414" si="121">+(F190-F196)/(E394+E386+E380+E381)*100</f>
        <v>12.102078633875369</v>
      </c>
      <c r="G414" s="259">
        <f t="shared" si="121"/>
        <v>12.49592320905351</v>
      </c>
      <c r="H414" s="259">
        <f t="shared" si="121"/>
        <v>12.433725471549081</v>
      </c>
      <c r="I414" s="259">
        <f t="shared" si="121"/>
        <v>12.078662809521486</v>
      </c>
      <c r="J414" s="259">
        <f t="shared" si="121"/>
        <v>11.690159891384798</v>
      </c>
      <c r="K414" s="260">
        <f t="shared" si="121"/>
        <v>12.329415215927407</v>
      </c>
      <c r="L414" s="259">
        <f t="shared" si="121"/>
        <v>11.778004983212902</v>
      </c>
      <c r="M414" s="259">
        <f t="shared" si="121"/>
        <v>11.312507416013768</v>
      </c>
      <c r="N414" s="259">
        <f t="shared" si="121"/>
        <v>10.906968245430045</v>
      </c>
      <c r="O414" s="261">
        <f t="shared" si="121"/>
        <v>10.551127337171188</v>
      </c>
      <c r="P414" s="261">
        <f t="shared" si="121"/>
        <v>10.236928500074702</v>
      </c>
      <c r="Q414" s="261">
        <f t="shared" si="121"/>
        <v>9.9579575024990863</v>
      </c>
      <c r="R414" s="261">
        <f t="shared" si="121"/>
        <v>9.7090437335280715</v>
      </c>
      <c r="S414" s="261">
        <f t="shared" si="121"/>
        <v>9.4859724885745074</v>
      </c>
      <c r="T414" s="261">
        <f t="shared" si="121"/>
        <v>9.2852736228605899</v>
      </c>
      <c r="U414" s="261">
        <f t="shared" si="121"/>
        <v>9.104063926027365</v>
      </c>
      <c r="V414" s="261">
        <f t="shared" si="121"/>
        <v>8.9399279343413447</v>
      </c>
      <c r="W414" s="261">
        <f t="shared" si="121"/>
        <v>8.7908266720875119</v>
      </c>
      <c r="X414" s="261">
        <f t="shared" si="121"/>
        <v>8.6550269735410694</v>
      </c>
      <c r="Y414" s="261">
        <f t="shared" si="121"/>
        <v>8.5310461665414916</v>
      </c>
    </row>
    <row r="415" spans="2:25">
      <c r="B415" s="191" t="s">
        <v>245</v>
      </c>
      <c r="F415" s="256">
        <f>+F198/E394*100</f>
        <v>12.102078633875369</v>
      </c>
      <c r="G415" s="256">
        <f>+G198/F394*100</f>
        <v>12.49592320905351</v>
      </c>
      <c r="H415" s="256">
        <f>+H198/G394*100</f>
        <v>12.433725471549081</v>
      </c>
      <c r="I415" s="256">
        <f t="shared" ref="I415:Y415" si="122">+I198/H394*100</f>
        <v>12.078662809521486</v>
      </c>
      <c r="J415" s="256">
        <f t="shared" si="122"/>
        <v>11.690159891384798</v>
      </c>
      <c r="K415" s="256">
        <f t="shared" si="122"/>
        <v>12.329415215927407</v>
      </c>
      <c r="L415" s="256">
        <f t="shared" si="122"/>
        <v>11.778004983212902</v>
      </c>
      <c r="M415" s="256">
        <f t="shared" si="122"/>
        <v>11.312507416013768</v>
      </c>
      <c r="N415" s="256">
        <f t="shared" si="122"/>
        <v>10.906968245430045</v>
      </c>
      <c r="O415" s="258">
        <f t="shared" si="122"/>
        <v>10.551127337171188</v>
      </c>
      <c r="P415" s="258">
        <f t="shared" si="122"/>
        <v>10.236928500074702</v>
      </c>
      <c r="Q415" s="258">
        <f t="shared" si="122"/>
        <v>9.9579575024990863</v>
      </c>
      <c r="R415" s="258">
        <f t="shared" si="122"/>
        <v>9.7090437335280715</v>
      </c>
      <c r="S415" s="258">
        <f t="shared" si="122"/>
        <v>9.4859724885745074</v>
      </c>
      <c r="T415" s="258">
        <f t="shared" si="122"/>
        <v>9.2852736228605899</v>
      </c>
      <c r="U415" s="258">
        <f t="shared" si="122"/>
        <v>9.104063926027365</v>
      </c>
      <c r="V415" s="258">
        <f t="shared" si="122"/>
        <v>8.9399279343413447</v>
      </c>
      <c r="W415" s="258">
        <f t="shared" si="122"/>
        <v>8.7908266720875119</v>
      </c>
      <c r="X415" s="258">
        <f t="shared" si="122"/>
        <v>8.6550269735410694</v>
      </c>
      <c r="Y415" s="258">
        <f t="shared" si="122"/>
        <v>8.5310461665414916</v>
      </c>
    </row>
    <row r="416" spans="2:25">
      <c r="B416" s="191"/>
      <c r="F416" s="259"/>
      <c r="G416" s="259"/>
      <c r="H416" s="259"/>
      <c r="I416" s="259"/>
      <c r="J416" s="259"/>
      <c r="K416" s="260"/>
      <c r="L416" s="259"/>
      <c r="M416" s="259"/>
      <c r="N416" s="259"/>
      <c r="O416" s="261"/>
      <c r="P416" s="261"/>
      <c r="Q416" s="261"/>
      <c r="R416" s="261"/>
      <c r="S416" s="261"/>
      <c r="T416" s="261"/>
      <c r="U416" s="261"/>
      <c r="V416" s="261"/>
      <c r="W416" s="261"/>
      <c r="X416" s="261"/>
      <c r="Y416" s="261"/>
    </row>
    <row r="417" spans="2:25">
      <c r="B417" s="254" t="s">
        <v>246</v>
      </c>
      <c r="F417" s="259"/>
      <c r="G417" s="259"/>
      <c r="H417" s="259"/>
      <c r="I417" s="259"/>
      <c r="J417" s="260"/>
      <c r="K417" s="260"/>
      <c r="L417" s="260"/>
      <c r="M417" s="260"/>
      <c r="N417" s="260"/>
      <c r="O417" s="261"/>
      <c r="P417" s="261"/>
      <c r="Q417" s="261"/>
      <c r="R417" s="261"/>
      <c r="S417" s="261"/>
      <c r="T417" s="261"/>
      <c r="U417" s="261"/>
      <c r="V417" s="261"/>
      <c r="W417" s="261"/>
      <c r="X417" s="261"/>
      <c r="Y417" s="261"/>
    </row>
    <row r="418" spans="2:25">
      <c r="B418" s="191" t="s">
        <v>247</v>
      </c>
      <c r="F418" s="259">
        <f t="shared" ref="F418:Y418" si="123">+F185/F181*100</f>
        <v>15.000000000000002</v>
      </c>
      <c r="G418" s="259">
        <f t="shared" si="123"/>
        <v>15.000000000000005</v>
      </c>
      <c r="H418" s="259">
        <f t="shared" si="123"/>
        <v>15.000000000000007</v>
      </c>
      <c r="I418" s="259">
        <f t="shared" si="123"/>
        <v>15</v>
      </c>
      <c r="J418" s="259">
        <f t="shared" si="123"/>
        <v>15</v>
      </c>
      <c r="K418" s="260">
        <f t="shared" si="123"/>
        <v>15.000000000000007</v>
      </c>
      <c r="L418" s="259">
        <f t="shared" si="123"/>
        <v>15.000000000000007</v>
      </c>
      <c r="M418" s="259">
        <f t="shared" si="123"/>
        <v>15.000000000000002</v>
      </c>
      <c r="N418" s="259">
        <f t="shared" si="123"/>
        <v>15</v>
      </c>
      <c r="O418" s="261">
        <f t="shared" si="123"/>
        <v>15.000000000000002</v>
      </c>
      <c r="P418" s="261">
        <f t="shared" si="123"/>
        <v>15.000000000000005</v>
      </c>
      <c r="Q418" s="261">
        <f t="shared" si="123"/>
        <v>15.000000000000002</v>
      </c>
      <c r="R418" s="261">
        <f t="shared" si="123"/>
        <v>15.000000000000005</v>
      </c>
      <c r="S418" s="261">
        <f t="shared" si="123"/>
        <v>15.000000000000005</v>
      </c>
      <c r="T418" s="261">
        <f t="shared" si="123"/>
        <v>15.000000000000011</v>
      </c>
      <c r="U418" s="261">
        <f t="shared" si="123"/>
        <v>15.000000000000007</v>
      </c>
      <c r="V418" s="261">
        <f t="shared" si="123"/>
        <v>15.000000000000007</v>
      </c>
      <c r="W418" s="261">
        <f t="shared" si="123"/>
        <v>15.000000000000007</v>
      </c>
      <c r="X418" s="261">
        <f t="shared" si="123"/>
        <v>15.000000000000005</v>
      </c>
      <c r="Y418" s="261">
        <f t="shared" si="123"/>
        <v>15</v>
      </c>
    </row>
    <row r="419" spans="2:25">
      <c r="B419" s="191" t="s">
        <v>248</v>
      </c>
      <c r="F419" s="259">
        <f t="shared" ref="F419:Y419" si="124">+F190/F181*100</f>
        <v>4.033306801398524</v>
      </c>
      <c r="G419" s="259">
        <f t="shared" si="124"/>
        <v>4.1027170934651869</v>
      </c>
      <c r="H419" s="259">
        <f t="shared" si="124"/>
        <v>4.1471126959376479</v>
      </c>
      <c r="I419" s="259">
        <f t="shared" si="124"/>
        <v>4.178423647190268</v>
      </c>
      <c r="J419" s="260">
        <f t="shared" si="124"/>
        <v>4.2052952982855567</v>
      </c>
      <c r="K419" s="260">
        <f t="shared" si="124"/>
        <v>4.6059819721387667</v>
      </c>
      <c r="L419" s="260">
        <f t="shared" si="124"/>
        <v>4.6059819721387685</v>
      </c>
      <c r="M419" s="260">
        <f t="shared" si="124"/>
        <v>4.6059819721387605</v>
      </c>
      <c r="N419" s="260">
        <f t="shared" si="124"/>
        <v>4.6059819721387596</v>
      </c>
      <c r="O419" s="261">
        <f t="shared" si="124"/>
        <v>4.6059819721387614</v>
      </c>
      <c r="P419" s="261">
        <f t="shared" si="124"/>
        <v>4.605981972138764</v>
      </c>
      <c r="Q419" s="261">
        <f t="shared" si="124"/>
        <v>4.6059819721387623</v>
      </c>
      <c r="R419" s="261">
        <f t="shared" si="124"/>
        <v>4.6059819721387658</v>
      </c>
      <c r="S419" s="261">
        <f t="shared" si="124"/>
        <v>4.6059819721387658</v>
      </c>
      <c r="T419" s="261">
        <f t="shared" si="124"/>
        <v>4.6059819721387694</v>
      </c>
      <c r="U419" s="261">
        <f t="shared" si="124"/>
        <v>4.6059819721387685</v>
      </c>
      <c r="V419" s="261">
        <f t="shared" si="124"/>
        <v>4.6059819721387676</v>
      </c>
      <c r="W419" s="261">
        <f t="shared" si="124"/>
        <v>4.6059819721387667</v>
      </c>
      <c r="X419" s="261">
        <f t="shared" si="124"/>
        <v>4.6059819721387685</v>
      </c>
      <c r="Y419" s="261">
        <f t="shared" si="124"/>
        <v>4.6059819721387587</v>
      </c>
    </row>
    <row r="420" spans="2:25">
      <c r="B420" s="191" t="s">
        <v>249</v>
      </c>
      <c r="F420" s="259">
        <f t="shared" ref="F420:Y420" si="125">+F198/F181*100</f>
        <v>2.6216494209090406</v>
      </c>
      <c r="G420" s="259">
        <f t="shared" si="125"/>
        <v>2.6667661107523717</v>
      </c>
      <c r="H420" s="259">
        <f t="shared" si="125"/>
        <v>2.6956232523594714</v>
      </c>
      <c r="I420" s="259">
        <f t="shared" si="125"/>
        <v>2.7159753706736742</v>
      </c>
      <c r="J420" s="260">
        <f t="shared" si="125"/>
        <v>2.7334419438856115</v>
      </c>
      <c r="K420" s="260">
        <f t="shared" si="125"/>
        <v>2.9938882818901984</v>
      </c>
      <c r="L420" s="260">
        <f t="shared" si="125"/>
        <v>2.9938882818901993</v>
      </c>
      <c r="M420" s="260">
        <f t="shared" si="125"/>
        <v>2.993888281890194</v>
      </c>
      <c r="N420" s="260">
        <f t="shared" si="125"/>
        <v>2.9938882818901944</v>
      </c>
      <c r="O420" s="261">
        <f t="shared" si="125"/>
        <v>2.9938882818901948</v>
      </c>
      <c r="P420" s="261">
        <f t="shared" si="125"/>
        <v>2.9938882818901962</v>
      </c>
      <c r="Q420" s="261">
        <f t="shared" si="125"/>
        <v>2.9938882818901957</v>
      </c>
      <c r="R420" s="261">
        <f t="shared" si="125"/>
        <v>2.9938882818901984</v>
      </c>
      <c r="S420" s="261">
        <f t="shared" si="125"/>
        <v>2.993888281890198</v>
      </c>
      <c r="T420" s="261">
        <f t="shared" si="125"/>
        <v>2.9938882818902002</v>
      </c>
      <c r="U420" s="261">
        <f t="shared" si="125"/>
        <v>2.9938882818901993</v>
      </c>
      <c r="V420" s="261">
        <f t="shared" si="125"/>
        <v>2.9938882818901984</v>
      </c>
      <c r="W420" s="261">
        <f t="shared" si="125"/>
        <v>2.993888281890198</v>
      </c>
      <c r="X420" s="261">
        <f t="shared" si="125"/>
        <v>2.9938882818901993</v>
      </c>
      <c r="Y420" s="261">
        <f t="shared" si="125"/>
        <v>2.9938882818901931</v>
      </c>
    </row>
    <row r="421" spans="2:25">
      <c r="B421" s="191"/>
      <c r="F421" s="259"/>
      <c r="G421" s="259"/>
      <c r="H421" s="259"/>
      <c r="I421" s="259"/>
      <c r="J421" s="260"/>
      <c r="K421" s="260"/>
      <c r="L421" s="260"/>
      <c r="M421" s="260"/>
      <c r="N421" s="260"/>
      <c r="O421" s="261"/>
      <c r="P421" s="261"/>
      <c r="Q421" s="261"/>
      <c r="R421" s="261"/>
      <c r="S421" s="261"/>
      <c r="T421" s="261"/>
      <c r="U421" s="261"/>
      <c r="V421" s="261"/>
      <c r="W421" s="261"/>
      <c r="X421" s="261"/>
      <c r="Y421" s="261"/>
    </row>
    <row r="422" spans="2:25">
      <c r="B422" s="254" t="s">
        <v>250</v>
      </c>
      <c r="F422" s="259"/>
      <c r="G422" s="259"/>
      <c r="H422" s="259"/>
      <c r="I422" s="259"/>
      <c r="J422" s="260"/>
      <c r="K422" s="260"/>
      <c r="L422" s="260"/>
      <c r="M422" s="260"/>
      <c r="N422" s="260"/>
      <c r="O422" s="261"/>
      <c r="P422" s="261"/>
      <c r="Q422" s="261"/>
      <c r="R422" s="261"/>
      <c r="S422" s="261"/>
      <c r="T422" s="261"/>
      <c r="U422" s="261"/>
      <c r="V422" s="261"/>
      <c r="W422" s="261"/>
      <c r="X422" s="261"/>
      <c r="Y422" s="261"/>
    </row>
    <row r="423" spans="2:25">
      <c r="B423" s="191" t="s">
        <v>251</v>
      </c>
      <c r="F423" s="259">
        <f t="shared" ref="F423:Y423" si="126">+F388/F375*100</f>
        <v>27.816001218380926</v>
      </c>
      <c r="G423" s="259">
        <f t="shared" si="126"/>
        <v>28.29416985157086</v>
      </c>
      <c r="H423" s="259">
        <f t="shared" si="126"/>
        <v>28.027888188261684</v>
      </c>
      <c r="I423" s="259">
        <f t="shared" si="126"/>
        <v>27.38346961800077</v>
      </c>
      <c r="J423" s="260">
        <f t="shared" si="126"/>
        <v>26.695881174796565</v>
      </c>
      <c r="K423" s="260">
        <f t="shared" si="126"/>
        <v>26.131502752540197</v>
      </c>
      <c r="L423" s="260">
        <f t="shared" si="126"/>
        <v>25.360638362772846</v>
      </c>
      <c r="M423" s="260">
        <f t="shared" si="126"/>
        <v>24.675830934957528</v>
      </c>
      <c r="N423" s="260">
        <f t="shared" si="126"/>
        <v>24.064511216892111</v>
      </c>
      <c r="O423" s="261">
        <f t="shared" si="126"/>
        <v>23.516422390668783</v>
      </c>
      <c r="P423" s="261">
        <f t="shared" si="126"/>
        <v>23.023111172246416</v>
      </c>
      <c r="Q423" s="261">
        <f t="shared" si="126"/>
        <v>22.577547693461391</v>
      </c>
      <c r="R423" s="261">
        <f t="shared" si="126"/>
        <v>22.17383768373119</v>
      </c>
      <c r="S423" s="261">
        <f t="shared" si="126"/>
        <v>21.807001820701849</v>
      </c>
      <c r="T423" s="261">
        <f t="shared" si="126"/>
        <v>21.472804646040053</v>
      </c>
      <c r="U423" s="261">
        <f t="shared" si="126"/>
        <v>21.1676205248475</v>
      </c>
      <c r="V423" s="261">
        <f t="shared" si="126"/>
        <v>20.88832761627701</v>
      </c>
      <c r="W423" s="261">
        <f t="shared" si="126"/>
        <v>20.632223255095141</v>
      </c>
      <c r="X423" s="261">
        <f t="shared" si="126"/>
        <v>20.396955863328085</v>
      </c>
      <c r="Y423" s="261">
        <f t="shared" si="126"/>
        <v>20.180469742523748</v>
      </c>
    </row>
    <row r="424" spans="2:25">
      <c r="B424" s="191" t="s">
        <v>252</v>
      </c>
      <c r="F424" s="259">
        <f t="shared" ref="F424:Y424" si="127">+(F386+F380+F381)/F375*100</f>
        <v>0</v>
      </c>
      <c r="G424" s="259">
        <f t="shared" si="127"/>
        <v>0</v>
      </c>
      <c r="H424" s="259">
        <f t="shared" si="127"/>
        <v>0</v>
      </c>
      <c r="I424" s="259">
        <f t="shared" si="127"/>
        <v>0</v>
      </c>
      <c r="J424" s="259">
        <f t="shared" si="127"/>
        <v>0</v>
      </c>
      <c r="K424" s="260">
        <f t="shared" si="127"/>
        <v>0</v>
      </c>
      <c r="L424" s="259">
        <f t="shared" si="127"/>
        <v>0</v>
      </c>
      <c r="M424" s="259">
        <f t="shared" si="127"/>
        <v>0</v>
      </c>
      <c r="N424" s="259">
        <f t="shared" si="127"/>
        <v>0</v>
      </c>
      <c r="O424" s="261">
        <f t="shared" si="127"/>
        <v>0</v>
      </c>
      <c r="P424" s="261">
        <f t="shared" si="127"/>
        <v>0</v>
      </c>
      <c r="Q424" s="261">
        <f t="shared" si="127"/>
        <v>0</v>
      </c>
      <c r="R424" s="261">
        <f t="shared" si="127"/>
        <v>0</v>
      </c>
      <c r="S424" s="261">
        <f t="shared" si="127"/>
        <v>0</v>
      </c>
      <c r="T424" s="261">
        <f t="shared" si="127"/>
        <v>0</v>
      </c>
      <c r="U424" s="261">
        <f t="shared" si="127"/>
        <v>0</v>
      </c>
      <c r="V424" s="261">
        <f t="shared" si="127"/>
        <v>0</v>
      </c>
      <c r="W424" s="261">
        <f t="shared" si="127"/>
        <v>0</v>
      </c>
      <c r="X424" s="261">
        <f t="shared" si="127"/>
        <v>0</v>
      </c>
      <c r="Y424" s="261">
        <f t="shared" si="127"/>
        <v>0</v>
      </c>
    </row>
    <row r="425" spans="2:25">
      <c r="B425" s="191"/>
      <c r="F425" s="259"/>
      <c r="G425" s="259"/>
      <c r="H425" s="259"/>
      <c r="I425" s="259"/>
      <c r="J425" s="260"/>
      <c r="K425" s="260"/>
      <c r="L425" s="260"/>
      <c r="M425" s="260"/>
      <c r="N425" s="260"/>
      <c r="O425" s="261"/>
      <c r="P425" s="261"/>
      <c r="Q425" s="261"/>
      <c r="R425" s="261"/>
      <c r="S425" s="261"/>
      <c r="T425" s="261"/>
      <c r="U425" s="261"/>
      <c r="V425" s="261"/>
      <c r="W425" s="261"/>
      <c r="X425" s="261"/>
      <c r="Y425" s="261"/>
    </row>
    <row r="426" spans="2:25">
      <c r="B426" s="254" t="s">
        <v>253</v>
      </c>
      <c r="F426" s="259"/>
      <c r="G426" s="259"/>
      <c r="H426" s="259"/>
      <c r="I426" s="259"/>
      <c r="J426" s="260"/>
      <c r="K426" s="260"/>
      <c r="L426" s="260"/>
      <c r="M426" s="260"/>
      <c r="N426" s="260"/>
      <c r="O426" s="261"/>
      <c r="P426" s="261"/>
      <c r="Q426" s="261"/>
      <c r="R426" s="261"/>
      <c r="S426" s="261"/>
      <c r="T426" s="261"/>
      <c r="U426" s="261"/>
      <c r="V426" s="261"/>
      <c r="W426" s="261"/>
      <c r="X426" s="261"/>
      <c r="Y426" s="261"/>
    </row>
    <row r="427" spans="2:25">
      <c r="B427" s="191" t="s">
        <v>254</v>
      </c>
      <c r="F427" s="259">
        <f t="shared" ref="F427:Y427" si="128">+F181/F375</f>
        <v>2.9724367808493621</v>
      </c>
      <c r="G427" s="259">
        <f t="shared" si="128"/>
        <v>3.0157053416827635</v>
      </c>
      <c r="H427" s="259">
        <f t="shared" si="128"/>
        <v>2.9823847015995661</v>
      </c>
      <c r="I427" s="259">
        <f t="shared" si="128"/>
        <v>2.9104197128146367</v>
      </c>
      <c r="J427" s="260">
        <f t="shared" si="128"/>
        <v>2.8345067930593579</v>
      </c>
      <c r="K427" s="260">
        <f t="shared" si="128"/>
        <v>2.7338739404959127</v>
      </c>
      <c r="L427" s="260">
        <f t="shared" si="128"/>
        <v>2.6532262224217438</v>
      </c>
      <c r="M427" s="260">
        <f t="shared" si="128"/>
        <v>2.5815817709375928</v>
      </c>
      <c r="N427" s="260">
        <f t="shared" si="128"/>
        <v>2.5176255927431379</v>
      </c>
      <c r="O427" s="261">
        <f t="shared" si="128"/>
        <v>2.4602846210708025</v>
      </c>
      <c r="P427" s="261">
        <f t="shared" si="128"/>
        <v>2.4086744745985298</v>
      </c>
      <c r="Q427" s="261">
        <f t="shared" si="128"/>
        <v>2.3620596895621557</v>
      </c>
      <c r="R427" s="261">
        <f t="shared" si="128"/>
        <v>2.3198236082479471</v>
      </c>
      <c r="S427" s="261">
        <f t="shared" si="128"/>
        <v>2.2814452946900801</v>
      </c>
      <c r="T427" s="261">
        <f t="shared" si="128"/>
        <v>2.2464816358661945</v>
      </c>
      <c r="U427" s="261">
        <f t="shared" si="128"/>
        <v>2.2145533183912125</v>
      </c>
      <c r="V427" s="261">
        <f t="shared" si="128"/>
        <v>2.1853337357389315</v>
      </c>
      <c r="W427" s="261">
        <f t="shared" si="128"/>
        <v>2.1585401354736571</v>
      </c>
      <c r="X427" s="261">
        <f t="shared" si="128"/>
        <v>2.1339264958567057</v>
      </c>
      <c r="Y427" s="261">
        <f t="shared" si="128"/>
        <v>2.11127775002105</v>
      </c>
    </row>
    <row r="428" spans="2:25">
      <c r="B428" s="191" t="s">
        <v>255</v>
      </c>
      <c r="F428" s="259">
        <f t="shared" ref="F428:Y428" si="129">+F181/(F371+F373)</f>
        <v>13.031273134328359</v>
      </c>
      <c r="G428" s="259">
        <f t="shared" si="129"/>
        <v>18.398381551407407</v>
      </c>
      <c r="H428" s="259">
        <f t="shared" si="129"/>
        <v>26.576462151007998</v>
      </c>
      <c r="I428" s="259">
        <f t="shared" si="129"/>
        <v>41.765396239902692</v>
      </c>
      <c r="J428" s="259">
        <f t="shared" si="129"/>
        <v>83.190521443559646</v>
      </c>
      <c r="K428" s="260">
        <f t="shared" si="129"/>
        <v>110.74946143477487</v>
      </c>
      <c r="L428" s="259">
        <f t="shared" si="129"/>
        <v>156.96299670227774</v>
      </c>
      <c r="M428" s="259">
        <f t="shared" si="129"/>
        <v>250.26808046197971</v>
      </c>
      <c r="N428" s="259">
        <f t="shared" si="129"/>
        <v>532.04991761573194</v>
      </c>
      <c r="O428" s="262" t="e">
        <f t="shared" si="129"/>
        <v>#DIV/0!</v>
      </c>
      <c r="P428" s="262" t="e">
        <f t="shared" si="129"/>
        <v>#DIV/0!</v>
      </c>
      <c r="Q428" s="262" t="e">
        <f t="shared" si="129"/>
        <v>#DIV/0!</v>
      </c>
      <c r="R428" s="262" t="e">
        <f t="shared" si="129"/>
        <v>#DIV/0!</v>
      </c>
      <c r="S428" s="262" t="e">
        <f t="shared" si="129"/>
        <v>#DIV/0!</v>
      </c>
      <c r="T428" s="262" t="e">
        <f t="shared" si="129"/>
        <v>#DIV/0!</v>
      </c>
      <c r="U428" s="262" t="e">
        <f t="shared" si="129"/>
        <v>#DIV/0!</v>
      </c>
      <c r="V428" s="262" t="e">
        <f t="shared" si="129"/>
        <v>#DIV/0!</v>
      </c>
      <c r="W428" s="262" t="e">
        <f t="shared" si="129"/>
        <v>#DIV/0!</v>
      </c>
      <c r="X428" s="262" t="e">
        <f t="shared" si="129"/>
        <v>#DIV/0!</v>
      </c>
      <c r="Y428" s="262" t="e">
        <f t="shared" si="129"/>
        <v>#DIV/0!</v>
      </c>
    </row>
    <row r="429" spans="2:25">
      <c r="B429" s="191" t="s">
        <v>256</v>
      </c>
      <c r="F429" s="259">
        <f t="shared" ref="F429:Y429" si="130">+F181/F359</f>
        <v>3.8508068134913853</v>
      </c>
      <c r="G429" s="259">
        <f t="shared" si="130"/>
        <v>3.6069209782769076</v>
      </c>
      <c r="H429" s="259">
        <f t="shared" si="130"/>
        <v>3.3593699228868745</v>
      </c>
      <c r="I429" s="259">
        <f t="shared" si="130"/>
        <v>3.1284237797797712</v>
      </c>
      <c r="J429" s="259">
        <f t="shared" si="130"/>
        <v>2.9344921991903674</v>
      </c>
      <c r="K429" s="260">
        <f t="shared" si="130"/>
        <v>2.8030682752757752</v>
      </c>
      <c r="L429" s="259">
        <f t="shared" si="130"/>
        <v>2.6988462072448391</v>
      </c>
      <c r="M429" s="259">
        <f t="shared" si="130"/>
        <v>2.6084890286010411</v>
      </c>
      <c r="N429" s="259">
        <f t="shared" si="130"/>
        <v>2.5295954739396564</v>
      </c>
      <c r="O429" s="261">
        <f t="shared" si="130"/>
        <v>2.4602846210708025</v>
      </c>
      <c r="P429" s="261">
        <f t="shared" si="130"/>
        <v>2.4086744745985298</v>
      </c>
      <c r="Q429" s="261">
        <f t="shared" si="130"/>
        <v>2.3620596895621557</v>
      </c>
      <c r="R429" s="261">
        <f t="shared" si="130"/>
        <v>2.3198236082479471</v>
      </c>
      <c r="S429" s="261">
        <f t="shared" si="130"/>
        <v>2.2814452946900801</v>
      </c>
      <c r="T429" s="261">
        <f t="shared" si="130"/>
        <v>2.2464816358661945</v>
      </c>
      <c r="U429" s="261">
        <f t="shared" si="130"/>
        <v>2.2145533183912125</v>
      </c>
      <c r="V429" s="261">
        <f t="shared" si="130"/>
        <v>2.1853337357389315</v>
      </c>
      <c r="W429" s="261">
        <f t="shared" si="130"/>
        <v>2.1585401354736571</v>
      </c>
      <c r="X429" s="261">
        <f t="shared" si="130"/>
        <v>2.1339264958567057</v>
      </c>
      <c r="Y429" s="261">
        <f t="shared" si="130"/>
        <v>2.11127775002105</v>
      </c>
    </row>
    <row r="430" spans="2:25">
      <c r="B430" s="191"/>
      <c r="F430" s="263"/>
      <c r="G430" s="263"/>
      <c r="H430" s="263"/>
      <c r="I430" s="263"/>
      <c r="J430" s="264"/>
      <c r="K430" s="264"/>
      <c r="L430" s="264"/>
      <c r="M430" s="264"/>
      <c r="N430" s="264"/>
      <c r="O430" s="265"/>
      <c r="P430" s="265"/>
      <c r="Q430" s="265"/>
      <c r="R430" s="265"/>
      <c r="S430" s="265"/>
      <c r="T430" s="265"/>
      <c r="U430" s="265"/>
      <c r="V430" s="265"/>
      <c r="W430" s="265"/>
      <c r="X430" s="265"/>
      <c r="Y430" s="265"/>
    </row>
    <row r="431" spans="2:25">
      <c r="B431" s="254" t="s">
        <v>257</v>
      </c>
      <c r="F431" s="266"/>
      <c r="G431" s="266"/>
      <c r="H431" s="266"/>
      <c r="I431" s="266"/>
      <c r="J431" s="267"/>
      <c r="K431" s="267"/>
      <c r="L431" s="267"/>
      <c r="M431" s="267"/>
      <c r="N431" s="267"/>
      <c r="O431" s="268"/>
      <c r="P431" s="268"/>
      <c r="Q431" s="268"/>
      <c r="R431" s="268"/>
      <c r="S431" s="268"/>
      <c r="T431" s="268"/>
      <c r="U431" s="268"/>
      <c r="V431" s="268"/>
      <c r="W431" s="268"/>
      <c r="X431" s="268"/>
      <c r="Y431" s="268"/>
    </row>
    <row r="432" spans="2:25">
      <c r="B432" s="254" t="s">
        <v>258</v>
      </c>
      <c r="F432" s="266"/>
      <c r="G432" s="266"/>
      <c r="H432" s="266"/>
      <c r="I432" s="266"/>
      <c r="J432" s="267"/>
      <c r="K432" s="267"/>
      <c r="L432" s="267"/>
      <c r="M432" s="267"/>
      <c r="N432" s="267"/>
      <c r="O432" s="268"/>
      <c r="P432" s="268"/>
      <c r="Q432" s="268"/>
      <c r="R432" s="268"/>
      <c r="S432" s="268"/>
      <c r="T432" s="268"/>
      <c r="U432" s="268"/>
      <c r="V432" s="268"/>
      <c r="W432" s="268"/>
      <c r="X432" s="268"/>
      <c r="Y432" s="268"/>
    </row>
    <row r="433" spans="2:25">
      <c r="B433" s="191"/>
      <c r="F433" s="266"/>
      <c r="G433" s="266"/>
      <c r="H433" s="266"/>
      <c r="I433" s="266"/>
      <c r="J433" s="267"/>
      <c r="K433" s="267"/>
      <c r="L433" s="267"/>
      <c r="M433" s="267"/>
      <c r="N433" s="267"/>
      <c r="O433" s="268"/>
      <c r="P433" s="268"/>
      <c r="Q433" s="268"/>
      <c r="R433" s="268"/>
      <c r="S433" s="268"/>
      <c r="T433" s="268"/>
      <c r="U433" s="268"/>
      <c r="V433" s="268"/>
      <c r="W433" s="268"/>
      <c r="X433" s="268"/>
      <c r="Y433" s="268"/>
    </row>
    <row r="434" spans="2:25">
      <c r="B434" s="191" t="s">
        <v>259</v>
      </c>
      <c r="F434" s="269">
        <f>+F420/100</f>
        <v>2.6216494209090405E-2</v>
      </c>
      <c r="G434" s="269">
        <f t="shared" ref="G434:Y434" si="131">+G420/100</f>
        <v>2.6667661107523718E-2</v>
      </c>
      <c r="H434" s="269">
        <f t="shared" si="131"/>
        <v>2.6956232523594713E-2</v>
      </c>
      <c r="I434" s="269">
        <f t="shared" si="131"/>
        <v>2.7159753706736744E-2</v>
      </c>
      <c r="J434" s="270">
        <f t="shared" si="131"/>
        <v>2.7334419438856113E-2</v>
      </c>
      <c r="K434" s="270">
        <f t="shared" si="131"/>
        <v>2.9938882818901984E-2</v>
      </c>
      <c r="L434" s="270">
        <f t="shared" si="131"/>
        <v>2.9938882818901991E-2</v>
      </c>
      <c r="M434" s="270">
        <f t="shared" si="131"/>
        <v>2.9938882818901939E-2</v>
      </c>
      <c r="N434" s="270">
        <f t="shared" si="131"/>
        <v>2.9938882818901943E-2</v>
      </c>
      <c r="O434" s="271">
        <f t="shared" si="131"/>
        <v>2.993888281890195E-2</v>
      </c>
      <c r="P434" s="271">
        <f t="shared" si="131"/>
        <v>2.993888281890196E-2</v>
      </c>
      <c r="Q434" s="271">
        <f t="shared" si="131"/>
        <v>2.9938882818901957E-2</v>
      </c>
      <c r="R434" s="271">
        <f t="shared" si="131"/>
        <v>2.9938882818901984E-2</v>
      </c>
      <c r="S434" s="271">
        <f t="shared" si="131"/>
        <v>2.9938882818901981E-2</v>
      </c>
      <c r="T434" s="271">
        <f t="shared" si="131"/>
        <v>2.9938882818902002E-2</v>
      </c>
      <c r="U434" s="271">
        <f t="shared" si="131"/>
        <v>2.9938882818901991E-2</v>
      </c>
      <c r="V434" s="271">
        <f t="shared" si="131"/>
        <v>2.9938882818901984E-2</v>
      </c>
      <c r="W434" s="271">
        <f t="shared" si="131"/>
        <v>2.9938882818901981E-2</v>
      </c>
      <c r="X434" s="271">
        <f t="shared" si="131"/>
        <v>2.9938882818901991E-2</v>
      </c>
      <c r="Y434" s="271">
        <f t="shared" si="131"/>
        <v>2.9938882818901932E-2</v>
      </c>
    </row>
    <row r="435" spans="2:25">
      <c r="B435" s="191" t="s">
        <v>260</v>
      </c>
      <c r="F435" s="272">
        <f>+F427</f>
        <v>2.9724367808493621</v>
      </c>
      <c r="G435" s="272">
        <f t="shared" ref="G435:Y435" si="132">+G427</f>
        <v>3.0157053416827635</v>
      </c>
      <c r="H435" s="272">
        <f t="shared" si="132"/>
        <v>2.9823847015995661</v>
      </c>
      <c r="I435" s="272">
        <f t="shared" si="132"/>
        <v>2.9104197128146367</v>
      </c>
      <c r="J435" s="273">
        <f t="shared" si="132"/>
        <v>2.8345067930593579</v>
      </c>
      <c r="K435" s="273">
        <f t="shared" si="132"/>
        <v>2.7338739404959127</v>
      </c>
      <c r="L435" s="273">
        <f t="shared" si="132"/>
        <v>2.6532262224217438</v>
      </c>
      <c r="M435" s="273">
        <f t="shared" si="132"/>
        <v>2.5815817709375928</v>
      </c>
      <c r="N435" s="273">
        <f t="shared" si="132"/>
        <v>2.5176255927431379</v>
      </c>
      <c r="O435" s="274">
        <f t="shared" si="132"/>
        <v>2.4602846210708025</v>
      </c>
      <c r="P435" s="274">
        <f t="shared" si="132"/>
        <v>2.4086744745985298</v>
      </c>
      <c r="Q435" s="274">
        <f t="shared" si="132"/>
        <v>2.3620596895621557</v>
      </c>
      <c r="R435" s="274">
        <f t="shared" si="132"/>
        <v>2.3198236082479471</v>
      </c>
      <c r="S435" s="274">
        <f t="shared" si="132"/>
        <v>2.2814452946900801</v>
      </c>
      <c r="T435" s="274">
        <f t="shared" si="132"/>
        <v>2.2464816358661945</v>
      </c>
      <c r="U435" s="274">
        <f t="shared" si="132"/>
        <v>2.2145533183912125</v>
      </c>
      <c r="V435" s="274">
        <f t="shared" si="132"/>
        <v>2.1853337357389315</v>
      </c>
      <c r="W435" s="274">
        <f t="shared" si="132"/>
        <v>2.1585401354736571</v>
      </c>
      <c r="X435" s="274">
        <f t="shared" si="132"/>
        <v>2.1339264958567057</v>
      </c>
      <c r="Y435" s="274">
        <f t="shared" si="132"/>
        <v>2.11127775002105</v>
      </c>
    </row>
    <row r="436" spans="2:25">
      <c r="B436" s="191" t="s">
        <v>261</v>
      </c>
      <c r="F436" s="272">
        <f>+F375/E394</f>
        <v>1.5530045512305566</v>
      </c>
      <c r="G436" s="272">
        <f t="shared" ref="G436:Y436" si="133">+G375/F394</f>
        <v>1.5537978455982036</v>
      </c>
      <c r="H436" s="272">
        <f t="shared" si="133"/>
        <v>1.5466014654466955</v>
      </c>
      <c r="I436" s="272">
        <f t="shared" si="133"/>
        <v>1.5280494432861338</v>
      </c>
      <c r="J436" s="272">
        <f t="shared" si="133"/>
        <v>1.5088049313556804</v>
      </c>
      <c r="K436" s="272">
        <f t="shared" si="133"/>
        <v>1.506358709374273</v>
      </c>
      <c r="L436" s="272">
        <f t="shared" si="133"/>
        <v>1.482729275211228</v>
      </c>
      <c r="M436" s="272">
        <f t="shared" si="133"/>
        <v>1.4636505514760201</v>
      </c>
      <c r="N436" s="272">
        <f t="shared" si="133"/>
        <v>1.4470292620331417</v>
      </c>
      <c r="O436" s="274">
        <f t="shared" si="133"/>
        <v>1.4324448885353267</v>
      </c>
      <c r="P436" s="274">
        <f t="shared" si="133"/>
        <v>1.4195672426929302</v>
      </c>
      <c r="Q436" s="274">
        <f t="shared" si="133"/>
        <v>1.4081334330064366</v>
      </c>
      <c r="R436" s="274">
        <f t="shared" si="133"/>
        <v>1.3979315385891107</v>
      </c>
      <c r="S436" s="274">
        <f t="shared" si="133"/>
        <v>1.3887888170033769</v>
      </c>
      <c r="T436" s="274">
        <f t="shared" si="133"/>
        <v>1.380563042084799</v>
      </c>
      <c r="U436" s="274">
        <f t="shared" si="133"/>
        <v>1.3731360435618551</v>
      </c>
      <c r="V436" s="274">
        <f t="shared" si="133"/>
        <v>1.3664088220658888</v>
      </c>
      <c r="W436" s="274">
        <f t="shared" si="133"/>
        <v>1.360297808837124</v>
      </c>
      <c r="X436" s="274">
        <f t="shared" si="133"/>
        <v>1.3547319689392243</v>
      </c>
      <c r="Y436" s="274">
        <f t="shared" si="133"/>
        <v>1.3496505340792198</v>
      </c>
    </row>
    <row r="437" spans="2:25">
      <c r="B437" s="191"/>
      <c r="F437" s="269"/>
      <c r="G437" s="269"/>
      <c r="H437" s="269"/>
      <c r="I437" s="269"/>
      <c r="J437" s="270"/>
      <c r="K437" s="270"/>
      <c r="L437" s="270"/>
      <c r="M437" s="270"/>
      <c r="N437" s="270"/>
      <c r="O437" s="271"/>
      <c r="P437" s="271"/>
      <c r="Q437" s="271"/>
      <c r="R437" s="271"/>
      <c r="S437" s="271"/>
      <c r="T437" s="271"/>
      <c r="U437" s="271"/>
      <c r="V437" s="271"/>
      <c r="W437" s="271"/>
      <c r="X437" s="271"/>
      <c r="Y437" s="271"/>
    </row>
    <row r="438" spans="2:25">
      <c r="B438" s="191" t="s">
        <v>262</v>
      </c>
      <c r="F438" s="269">
        <f>+F434*F435*F436</f>
        <v>0.12102078633875368</v>
      </c>
      <c r="G438" s="269">
        <f t="shared" ref="G438:Y438" si="134">+G434*G435*G436</f>
        <v>0.12495923209053508</v>
      </c>
      <c r="H438" s="269">
        <f t="shared" si="134"/>
        <v>0.12433725471549081</v>
      </c>
      <c r="I438" s="269">
        <f t="shared" si="134"/>
        <v>0.12078662809521486</v>
      </c>
      <c r="J438" s="270">
        <f t="shared" si="134"/>
        <v>0.11690159891384798</v>
      </c>
      <c r="K438" s="270">
        <f t="shared" si="134"/>
        <v>0.12329415215927407</v>
      </c>
      <c r="L438" s="270">
        <f t="shared" si="134"/>
        <v>0.117780049832129</v>
      </c>
      <c r="M438" s="270">
        <f t="shared" si="134"/>
        <v>0.11312507416013765</v>
      </c>
      <c r="N438" s="270">
        <f t="shared" si="134"/>
        <v>0.10906968245430046</v>
      </c>
      <c r="O438" s="271">
        <f t="shared" si="134"/>
        <v>0.10551127337171189</v>
      </c>
      <c r="P438" s="271">
        <f t="shared" si="134"/>
        <v>0.102369285000747</v>
      </c>
      <c r="Q438" s="271">
        <f t="shared" si="134"/>
        <v>9.957957502499086E-2</v>
      </c>
      <c r="R438" s="271">
        <f t="shared" si="134"/>
        <v>9.7090437335280722E-2</v>
      </c>
      <c r="S438" s="271">
        <f t="shared" si="134"/>
        <v>9.4859724885745067E-2</v>
      </c>
      <c r="T438" s="271">
        <f t="shared" si="134"/>
        <v>9.2852736228605889E-2</v>
      </c>
      <c r="U438" s="271">
        <f t="shared" si="134"/>
        <v>9.1040639260273656E-2</v>
      </c>
      <c r="V438" s="271">
        <f t="shared" si="134"/>
        <v>8.9399279343413462E-2</v>
      </c>
      <c r="W438" s="271">
        <f t="shared" si="134"/>
        <v>8.7908266720875108E-2</v>
      </c>
      <c r="X438" s="271">
        <f t="shared" si="134"/>
        <v>8.655026973541069E-2</v>
      </c>
      <c r="Y438" s="271">
        <f t="shared" si="134"/>
        <v>8.5310461665414936E-2</v>
      </c>
    </row>
    <row r="439" spans="2:25" ht="13.5" thickBot="1">
      <c r="B439" s="202"/>
      <c r="C439" s="207"/>
      <c r="D439" s="207"/>
      <c r="E439" s="207"/>
      <c r="F439" s="208"/>
      <c r="G439" s="208"/>
      <c r="H439" s="208"/>
      <c r="I439" s="208"/>
      <c r="J439" s="209"/>
      <c r="K439" s="209"/>
      <c r="L439" s="209"/>
      <c r="M439" s="209"/>
      <c r="N439" s="209"/>
      <c r="O439" s="210"/>
      <c r="P439" s="210"/>
      <c r="Q439" s="210"/>
      <c r="R439" s="210"/>
      <c r="S439" s="210"/>
      <c r="T439" s="210"/>
      <c r="U439" s="210"/>
      <c r="V439" s="210"/>
      <c r="W439" s="210"/>
      <c r="X439" s="210"/>
      <c r="Y439" s="210"/>
    </row>
    <row r="443" spans="2:25" s="79" customFormat="1">
      <c r="B443" s="275" t="str">
        <f>+B470</f>
        <v>SEM LOGÍSTICA INTEGRAL</v>
      </c>
      <c r="C443" s="276"/>
      <c r="D443" s="276"/>
      <c r="E443" s="276"/>
      <c r="F443" s="276"/>
      <c r="G443" s="276"/>
      <c r="H443" s="276"/>
      <c r="I443" s="276"/>
      <c r="J443" s="276"/>
      <c r="K443" s="276"/>
      <c r="L443" s="276"/>
      <c r="M443" s="276"/>
      <c r="N443" s="276"/>
      <c r="O443" s="277"/>
      <c r="P443" s="277"/>
      <c r="Q443" s="277"/>
      <c r="R443" s="277"/>
      <c r="S443" s="277"/>
      <c r="T443" s="277"/>
      <c r="U443" s="277"/>
      <c r="V443" s="277"/>
      <c r="W443" s="277"/>
      <c r="X443" s="277"/>
      <c r="Y443" s="277"/>
    </row>
    <row r="444" spans="2:25" s="79" customFormat="1">
      <c r="B444" s="278" t="s">
        <v>263</v>
      </c>
      <c r="C444" s="279"/>
      <c r="D444" s="279"/>
      <c r="E444" s="280"/>
      <c r="F444" s="280" t="str">
        <f>+F471</f>
        <v>Año 1</v>
      </c>
      <c r="G444" s="280" t="str">
        <f>+G471</f>
        <v>Año 2</v>
      </c>
      <c r="H444" s="280" t="str">
        <f>+H471</f>
        <v>Año 3</v>
      </c>
      <c r="I444" s="280" t="str">
        <f t="shared" ref="I444:Y444" si="135">+I471</f>
        <v>Año 4</v>
      </c>
      <c r="J444" s="280" t="str">
        <f t="shared" si="135"/>
        <v>Año 5</v>
      </c>
      <c r="K444" s="280" t="str">
        <f t="shared" si="135"/>
        <v>Año 6</v>
      </c>
      <c r="L444" s="280" t="str">
        <f t="shared" si="135"/>
        <v>Año 7</v>
      </c>
      <c r="M444" s="280" t="str">
        <f t="shared" si="135"/>
        <v>Año 8</v>
      </c>
      <c r="N444" s="280" t="str">
        <f t="shared" si="135"/>
        <v>Año 9</v>
      </c>
      <c r="O444" s="281" t="str">
        <f t="shared" si="135"/>
        <v>Año 10</v>
      </c>
      <c r="P444" s="281" t="str">
        <f t="shared" si="135"/>
        <v>Año 11</v>
      </c>
      <c r="Q444" s="281" t="str">
        <f t="shared" si="135"/>
        <v>Año 12</v>
      </c>
      <c r="R444" s="281" t="str">
        <f t="shared" si="135"/>
        <v>Año 13</v>
      </c>
      <c r="S444" s="281" t="str">
        <f t="shared" si="135"/>
        <v>Año 14</v>
      </c>
      <c r="T444" s="281" t="str">
        <f t="shared" si="135"/>
        <v>Año 15</v>
      </c>
      <c r="U444" s="281" t="str">
        <f t="shared" si="135"/>
        <v>Año 16</v>
      </c>
      <c r="V444" s="281" t="str">
        <f t="shared" si="135"/>
        <v>Año 17</v>
      </c>
      <c r="W444" s="281" t="str">
        <f t="shared" si="135"/>
        <v>Año 18</v>
      </c>
      <c r="X444" s="281" t="str">
        <f t="shared" si="135"/>
        <v>Año 19</v>
      </c>
      <c r="Y444" s="281" t="str">
        <f t="shared" si="135"/>
        <v>Año 20</v>
      </c>
    </row>
    <row r="445" spans="2:25" s="79" customFormat="1">
      <c r="B445" s="282" t="s">
        <v>264</v>
      </c>
      <c r="C445" s="283"/>
      <c r="D445" s="283"/>
      <c r="E445" s="283"/>
      <c r="F445" s="283"/>
      <c r="G445" s="283"/>
      <c r="H445" s="283"/>
      <c r="I445" s="283"/>
      <c r="J445" s="283"/>
      <c r="K445" s="283"/>
      <c r="L445" s="283"/>
      <c r="M445" s="283"/>
      <c r="N445" s="283"/>
      <c r="O445" s="284"/>
      <c r="P445" s="284"/>
      <c r="Q445" s="284"/>
      <c r="R445" s="284"/>
      <c r="S445" s="284"/>
      <c r="T445" s="284"/>
      <c r="U445" s="284"/>
      <c r="V445" s="284"/>
      <c r="W445" s="284"/>
      <c r="X445" s="284"/>
      <c r="Y445" s="284"/>
    </row>
    <row r="446" spans="2:25">
      <c r="B446" s="91"/>
      <c r="F446" s="285"/>
      <c r="G446" s="285"/>
      <c r="H446" s="285"/>
      <c r="I446" s="285"/>
      <c r="J446" s="285"/>
      <c r="K446" s="285"/>
      <c r="L446" s="285"/>
      <c r="M446" s="285"/>
      <c r="N446" s="285"/>
      <c r="O446" s="285"/>
      <c r="P446" s="285"/>
      <c r="Q446" s="285"/>
      <c r="R446" s="285"/>
      <c r="S446" s="285"/>
      <c r="T446" s="285"/>
      <c r="U446" s="285"/>
      <c r="V446" s="285"/>
      <c r="W446" s="285"/>
      <c r="X446" s="285"/>
      <c r="Y446" s="285"/>
    </row>
    <row r="447" spans="2:25">
      <c r="B447" s="286" t="s">
        <v>265</v>
      </c>
      <c r="F447" s="89"/>
      <c r="G447" s="89"/>
      <c r="H447" s="89"/>
      <c r="I447" s="89"/>
      <c r="J447" s="89"/>
      <c r="K447" s="89"/>
      <c r="L447" s="89"/>
      <c r="M447" s="89"/>
      <c r="N447" s="89"/>
      <c r="O447" s="89"/>
      <c r="P447" s="89"/>
      <c r="Q447" s="89"/>
      <c r="R447" s="89"/>
      <c r="S447" s="89"/>
      <c r="T447" s="89"/>
      <c r="U447" s="89"/>
      <c r="V447" s="89"/>
      <c r="W447" s="89"/>
      <c r="X447" s="89"/>
      <c r="Y447" s="89"/>
    </row>
    <row r="448" spans="2:25">
      <c r="B448" s="91" t="s">
        <v>227</v>
      </c>
      <c r="C448" s="287"/>
      <c r="D448" s="287"/>
      <c r="E448" s="288"/>
      <c r="F448" s="289">
        <f>+F386+F381</f>
        <v>0</v>
      </c>
      <c r="G448" s="289">
        <f t="shared" ref="G448:Y448" si="136">+G386+G381</f>
        <v>0</v>
      </c>
      <c r="H448" s="289">
        <f t="shared" si="136"/>
        <v>0</v>
      </c>
      <c r="I448" s="289">
        <f t="shared" si="136"/>
        <v>0</v>
      </c>
      <c r="J448" s="289">
        <f t="shared" si="136"/>
        <v>0</v>
      </c>
      <c r="K448" s="289">
        <f t="shared" si="136"/>
        <v>0</v>
      </c>
      <c r="L448" s="289">
        <f t="shared" si="136"/>
        <v>0</v>
      </c>
      <c r="M448" s="289">
        <f t="shared" si="136"/>
        <v>0</v>
      </c>
      <c r="N448" s="289">
        <f t="shared" si="136"/>
        <v>0</v>
      </c>
      <c r="O448" s="289">
        <f t="shared" si="136"/>
        <v>0</v>
      </c>
      <c r="P448" s="289">
        <f t="shared" si="136"/>
        <v>0</v>
      </c>
      <c r="Q448" s="289">
        <f t="shared" si="136"/>
        <v>0</v>
      </c>
      <c r="R448" s="289">
        <f t="shared" si="136"/>
        <v>0</v>
      </c>
      <c r="S448" s="289">
        <f t="shared" si="136"/>
        <v>0</v>
      </c>
      <c r="T448" s="289">
        <f t="shared" si="136"/>
        <v>0</v>
      </c>
      <c r="U448" s="289">
        <f t="shared" si="136"/>
        <v>0</v>
      </c>
      <c r="V448" s="289">
        <f t="shared" si="136"/>
        <v>0</v>
      </c>
      <c r="W448" s="289">
        <f t="shared" si="136"/>
        <v>0</v>
      </c>
      <c r="X448" s="289">
        <f t="shared" si="136"/>
        <v>0</v>
      </c>
      <c r="Y448" s="289">
        <f t="shared" si="136"/>
        <v>0</v>
      </c>
    </row>
    <row r="449" spans="2:25">
      <c r="B449" s="91" t="s">
        <v>266</v>
      </c>
      <c r="C449" s="287"/>
      <c r="D449" s="287"/>
      <c r="E449" s="288"/>
      <c r="F449" s="380">
        <f>+F394</f>
        <v>2120264.1037643403</v>
      </c>
      <c r="G449" s="380">
        <f t="shared" ref="G449:Y449" si="137">+G394</f>
        <v>2362321.1801234251</v>
      </c>
      <c r="H449" s="380">
        <f t="shared" si="137"/>
        <v>2629551.0529926782</v>
      </c>
      <c r="I449" s="380">
        <f t="shared" si="137"/>
        <v>2917793.2050586049</v>
      </c>
      <c r="J449" s="380">
        <f t="shared" si="137"/>
        <v>3227126.4355203966</v>
      </c>
      <c r="K449" s="380">
        <f t="shared" si="137"/>
        <v>3590902.7842015326</v>
      </c>
      <c r="L449" s="380">
        <f t="shared" si="137"/>
        <v>3974050.9112892933</v>
      </c>
      <c r="M449" s="380">
        <f t="shared" si="137"/>
        <v>4381322.0444584992</v>
      </c>
      <c r="N449" s="380">
        <f t="shared" si="137"/>
        <v>4814234.968172038</v>
      </c>
      <c r="O449" s="380">
        <f t="shared" si="137"/>
        <v>5274404.08956258</v>
      </c>
      <c r="P449" s="380">
        <f t="shared" si="137"/>
        <v>5763545.4588358719</v>
      </c>
      <c r="Q449" s="380">
        <f t="shared" si="137"/>
        <v>6283483.1687186109</v>
      </c>
      <c r="R449" s="380">
        <f t="shared" si="137"/>
        <v>6836156.1568155671</v>
      </c>
      <c r="S449" s="380">
        <f t="shared" si="137"/>
        <v>7423625.4362431075</v>
      </c>
      <c r="T449" s="380">
        <f t="shared" si="137"/>
        <v>8048081.7815034064</v>
      </c>
      <c r="U449" s="380">
        <f t="shared" si="137"/>
        <v>8711853.8982612938</v>
      </c>
      <c r="V449" s="380">
        <f t="shared" si="137"/>
        <v>9417417.1074902564</v>
      </c>
      <c r="W449" s="380">
        <f t="shared" si="137"/>
        <v>10167402.576372275</v>
      </c>
      <c r="X449" s="380">
        <f t="shared" si="137"/>
        <v>10964607.130375108</v>
      </c>
      <c r="Y449" s="380">
        <f t="shared" si="137"/>
        <v>11812003.683097953</v>
      </c>
    </row>
    <row r="450" spans="2:25" s="79" customFormat="1">
      <c r="B450" s="88" t="s">
        <v>267</v>
      </c>
      <c r="C450" s="290"/>
      <c r="D450" s="290"/>
      <c r="E450" s="291"/>
      <c r="F450" s="397">
        <f t="shared" ref="F450:Y450" si="138">SUM(F448:F449)</f>
        <v>2120264.1037643403</v>
      </c>
      <c r="G450" s="397">
        <f t="shared" si="138"/>
        <v>2362321.1801234251</v>
      </c>
      <c r="H450" s="397">
        <f t="shared" si="138"/>
        <v>2629551.0529926782</v>
      </c>
      <c r="I450" s="397">
        <f t="shared" si="138"/>
        <v>2917793.2050586049</v>
      </c>
      <c r="J450" s="397">
        <f t="shared" si="138"/>
        <v>3227126.4355203966</v>
      </c>
      <c r="K450" s="397">
        <f t="shared" si="138"/>
        <v>3590902.7842015326</v>
      </c>
      <c r="L450" s="397">
        <f t="shared" si="138"/>
        <v>3974050.9112892933</v>
      </c>
      <c r="M450" s="397">
        <f t="shared" si="138"/>
        <v>4381322.0444584992</v>
      </c>
      <c r="N450" s="397">
        <f t="shared" si="138"/>
        <v>4814234.968172038</v>
      </c>
      <c r="O450" s="397">
        <f t="shared" si="138"/>
        <v>5274404.08956258</v>
      </c>
      <c r="P450" s="397">
        <f t="shared" si="138"/>
        <v>5763545.4588358719</v>
      </c>
      <c r="Q450" s="397">
        <f t="shared" si="138"/>
        <v>6283483.1687186109</v>
      </c>
      <c r="R450" s="292">
        <f t="shared" si="138"/>
        <v>6836156.1568155671</v>
      </c>
      <c r="S450" s="397">
        <f t="shared" si="138"/>
        <v>7423625.4362431075</v>
      </c>
      <c r="T450" s="397">
        <f t="shared" si="138"/>
        <v>8048081.7815034064</v>
      </c>
      <c r="U450" s="397">
        <f t="shared" si="138"/>
        <v>8711853.8982612938</v>
      </c>
      <c r="V450" s="397">
        <f t="shared" si="138"/>
        <v>9417417.1074902564</v>
      </c>
      <c r="W450" s="397">
        <f t="shared" si="138"/>
        <v>10167402.576372275</v>
      </c>
      <c r="X450" s="397">
        <f t="shared" si="138"/>
        <v>10964607.130375108</v>
      </c>
      <c r="Y450" s="397">
        <f t="shared" si="138"/>
        <v>11812003.683097953</v>
      </c>
    </row>
    <row r="451" spans="2:25">
      <c r="B451" s="91"/>
      <c r="F451" s="89"/>
      <c r="G451" s="89"/>
      <c r="H451" s="89"/>
      <c r="I451" s="89"/>
      <c r="J451" s="89"/>
      <c r="K451" s="89"/>
      <c r="L451" s="89"/>
      <c r="M451" s="89"/>
      <c r="N451" s="89"/>
      <c r="O451" s="89"/>
      <c r="P451" s="89"/>
      <c r="Q451" s="89"/>
      <c r="R451" s="89"/>
      <c r="S451" s="89"/>
      <c r="T451" s="89"/>
      <c r="U451" s="89"/>
      <c r="V451" s="89"/>
      <c r="W451" s="89"/>
      <c r="X451" s="89"/>
      <c r="Y451" s="89"/>
    </row>
    <row r="452" spans="2:25">
      <c r="B452" s="91"/>
      <c r="F452" s="89"/>
      <c r="G452" s="89"/>
      <c r="H452" s="89"/>
      <c r="I452" s="89"/>
      <c r="J452" s="89"/>
      <c r="K452" s="89"/>
      <c r="L452" s="89"/>
      <c r="M452" s="89"/>
      <c r="N452" s="89"/>
      <c r="O452" s="89"/>
      <c r="P452" s="89"/>
      <c r="Q452" s="89"/>
      <c r="R452" s="89"/>
      <c r="S452" s="89"/>
      <c r="T452" s="89"/>
      <c r="U452" s="89"/>
      <c r="V452" s="89"/>
      <c r="W452" s="89"/>
      <c r="X452" s="89"/>
      <c r="Y452" s="89"/>
    </row>
    <row r="453" spans="2:25">
      <c r="B453" s="286" t="str">
        <f>+B447</f>
        <v>Financiación:</v>
      </c>
      <c r="F453" s="89"/>
      <c r="G453" s="89"/>
      <c r="H453" s="89"/>
      <c r="I453" s="89"/>
      <c r="J453" s="89"/>
      <c r="K453" s="89"/>
      <c r="L453" s="89"/>
      <c r="M453" s="89"/>
      <c r="N453" s="89"/>
      <c r="O453" s="89"/>
      <c r="P453" s="89"/>
      <c r="Q453" s="89"/>
      <c r="R453" s="89"/>
      <c r="S453" s="89"/>
      <c r="T453" s="89"/>
      <c r="U453" s="89"/>
      <c r="V453" s="89"/>
      <c r="W453" s="89"/>
      <c r="X453" s="89"/>
      <c r="Y453" s="89"/>
    </row>
    <row r="454" spans="2:25">
      <c r="B454" s="91" t="str">
        <f>+B448</f>
        <v>Pasivos Financieros</v>
      </c>
      <c r="C454" s="293"/>
      <c r="D454" s="293"/>
      <c r="E454" s="293"/>
      <c r="F454" s="294">
        <f>+F448/F450</f>
        <v>0</v>
      </c>
      <c r="G454" s="294">
        <f t="shared" ref="G454:Y454" si="139">+G448/G450</f>
        <v>0</v>
      </c>
      <c r="H454" s="294">
        <f t="shared" si="139"/>
        <v>0</v>
      </c>
      <c r="I454" s="294">
        <f t="shared" si="139"/>
        <v>0</v>
      </c>
      <c r="J454" s="294">
        <f t="shared" si="139"/>
        <v>0</v>
      </c>
      <c r="K454" s="294">
        <f t="shared" si="139"/>
        <v>0</v>
      </c>
      <c r="L454" s="294">
        <f t="shared" si="139"/>
        <v>0</v>
      </c>
      <c r="M454" s="294">
        <f t="shared" si="139"/>
        <v>0</v>
      </c>
      <c r="N454" s="294">
        <f t="shared" si="139"/>
        <v>0</v>
      </c>
      <c r="O454" s="294">
        <f t="shared" si="139"/>
        <v>0</v>
      </c>
      <c r="P454" s="294">
        <f t="shared" si="139"/>
        <v>0</v>
      </c>
      <c r="Q454" s="294">
        <f t="shared" si="139"/>
        <v>0</v>
      </c>
      <c r="R454" s="294">
        <f t="shared" si="139"/>
        <v>0</v>
      </c>
      <c r="S454" s="294">
        <f t="shared" si="139"/>
        <v>0</v>
      </c>
      <c r="T454" s="294">
        <f t="shared" si="139"/>
        <v>0</v>
      </c>
      <c r="U454" s="294">
        <f t="shared" si="139"/>
        <v>0</v>
      </c>
      <c r="V454" s="294">
        <f t="shared" si="139"/>
        <v>0</v>
      </c>
      <c r="W454" s="294">
        <f t="shared" si="139"/>
        <v>0</v>
      </c>
      <c r="X454" s="294">
        <f t="shared" si="139"/>
        <v>0</v>
      </c>
      <c r="Y454" s="294">
        <f t="shared" si="139"/>
        <v>0</v>
      </c>
    </row>
    <row r="455" spans="2:25">
      <c r="B455" s="91" t="str">
        <f>+B449</f>
        <v>Patrimonio</v>
      </c>
      <c r="C455" s="293"/>
      <c r="D455" s="293"/>
      <c r="E455" s="293"/>
      <c r="F455" s="294">
        <f>+F449/F450</f>
        <v>1</v>
      </c>
      <c r="G455" s="294">
        <f t="shared" ref="G455:Y455" si="140">+G449/G450</f>
        <v>1</v>
      </c>
      <c r="H455" s="294">
        <f t="shared" si="140"/>
        <v>1</v>
      </c>
      <c r="I455" s="294">
        <f t="shared" si="140"/>
        <v>1</v>
      </c>
      <c r="J455" s="294">
        <f t="shared" si="140"/>
        <v>1</v>
      </c>
      <c r="K455" s="294">
        <f t="shared" si="140"/>
        <v>1</v>
      </c>
      <c r="L455" s="294">
        <f t="shared" si="140"/>
        <v>1</v>
      </c>
      <c r="M455" s="294">
        <f t="shared" si="140"/>
        <v>1</v>
      </c>
      <c r="N455" s="294">
        <f t="shared" si="140"/>
        <v>1</v>
      </c>
      <c r="O455" s="294">
        <f t="shared" si="140"/>
        <v>1</v>
      </c>
      <c r="P455" s="294">
        <f t="shared" si="140"/>
        <v>1</v>
      </c>
      <c r="Q455" s="294">
        <f t="shared" si="140"/>
        <v>1</v>
      </c>
      <c r="R455" s="294">
        <f t="shared" si="140"/>
        <v>1</v>
      </c>
      <c r="S455" s="294">
        <f t="shared" si="140"/>
        <v>1</v>
      </c>
      <c r="T455" s="294">
        <f t="shared" si="140"/>
        <v>1</v>
      </c>
      <c r="U455" s="294">
        <f t="shared" si="140"/>
        <v>1</v>
      </c>
      <c r="V455" s="294">
        <f t="shared" si="140"/>
        <v>1</v>
      </c>
      <c r="W455" s="294">
        <f t="shared" si="140"/>
        <v>1</v>
      </c>
      <c r="X455" s="294">
        <f t="shared" si="140"/>
        <v>1</v>
      </c>
      <c r="Y455" s="294">
        <f t="shared" si="140"/>
        <v>1</v>
      </c>
    </row>
    <row r="456" spans="2:25" s="79" customFormat="1">
      <c r="B456" s="88" t="str">
        <f>+B450</f>
        <v>Total Financiación con Costo</v>
      </c>
      <c r="C456" s="295"/>
      <c r="D456" s="295"/>
      <c r="E456" s="296"/>
      <c r="F456" s="297">
        <f t="shared" ref="F456:Y456" si="141">SUM(F454:F455)</f>
        <v>1</v>
      </c>
      <c r="G456" s="297">
        <f t="shared" si="141"/>
        <v>1</v>
      </c>
      <c r="H456" s="297">
        <f t="shared" si="141"/>
        <v>1</v>
      </c>
      <c r="I456" s="297">
        <f t="shared" si="141"/>
        <v>1</v>
      </c>
      <c r="J456" s="297">
        <f t="shared" si="141"/>
        <v>1</v>
      </c>
      <c r="K456" s="297">
        <f t="shared" si="141"/>
        <v>1</v>
      </c>
      <c r="L456" s="297">
        <f t="shared" si="141"/>
        <v>1</v>
      </c>
      <c r="M456" s="297">
        <f t="shared" si="141"/>
        <v>1</v>
      </c>
      <c r="N456" s="297">
        <f t="shared" si="141"/>
        <v>1</v>
      </c>
      <c r="O456" s="297">
        <f t="shared" si="141"/>
        <v>1</v>
      </c>
      <c r="P456" s="297">
        <f t="shared" si="141"/>
        <v>1</v>
      </c>
      <c r="Q456" s="297">
        <f t="shared" si="141"/>
        <v>1</v>
      </c>
      <c r="R456" s="297">
        <f t="shared" si="141"/>
        <v>1</v>
      </c>
      <c r="S456" s="297">
        <f t="shared" si="141"/>
        <v>1</v>
      </c>
      <c r="T456" s="297">
        <f t="shared" si="141"/>
        <v>1</v>
      </c>
      <c r="U456" s="297">
        <f t="shared" si="141"/>
        <v>1</v>
      </c>
      <c r="V456" s="297">
        <f t="shared" si="141"/>
        <v>1</v>
      </c>
      <c r="W456" s="297">
        <f t="shared" si="141"/>
        <v>1</v>
      </c>
      <c r="X456" s="297">
        <f t="shared" si="141"/>
        <v>1</v>
      </c>
      <c r="Y456" s="297">
        <f t="shared" si="141"/>
        <v>1</v>
      </c>
    </row>
    <row r="457" spans="2:25">
      <c r="B457" s="91"/>
      <c r="E457" s="293"/>
      <c r="F457" s="294"/>
      <c r="G457" s="294"/>
      <c r="H457" s="294"/>
      <c r="I457" s="294"/>
      <c r="J457" s="294"/>
      <c r="K457" s="294"/>
      <c r="L457" s="294"/>
      <c r="M457" s="294"/>
      <c r="N457" s="294"/>
      <c r="O457" s="294"/>
      <c r="P457" s="294"/>
      <c r="Q457" s="294"/>
      <c r="R457" s="294"/>
      <c r="S457" s="294"/>
      <c r="T457" s="294"/>
      <c r="U457" s="294"/>
      <c r="V457" s="294"/>
      <c r="W457" s="294"/>
      <c r="X457" s="294"/>
      <c r="Y457" s="294"/>
    </row>
    <row r="458" spans="2:25">
      <c r="B458" s="91"/>
      <c r="E458" s="293"/>
      <c r="F458" s="294"/>
      <c r="G458" s="294"/>
      <c r="H458" s="294"/>
      <c r="I458" s="294"/>
      <c r="J458" s="294"/>
      <c r="K458" s="294"/>
      <c r="L458" s="294"/>
      <c r="M458" s="294"/>
      <c r="N458" s="294"/>
      <c r="O458" s="294"/>
      <c r="P458" s="294"/>
      <c r="Q458" s="294"/>
      <c r="R458" s="294"/>
      <c r="S458" s="294"/>
      <c r="T458" s="294"/>
      <c r="U458" s="294"/>
      <c r="V458" s="294"/>
      <c r="W458" s="294"/>
      <c r="X458" s="294"/>
      <c r="Y458" s="294"/>
    </row>
    <row r="459" spans="2:25">
      <c r="B459" s="286" t="s">
        <v>268</v>
      </c>
      <c r="E459" s="293"/>
      <c r="F459" s="294"/>
      <c r="G459" s="294"/>
      <c r="H459" s="294"/>
      <c r="I459" s="294"/>
      <c r="J459" s="294"/>
      <c r="K459" s="294"/>
      <c r="L459" s="294"/>
      <c r="M459" s="294"/>
      <c r="N459" s="294"/>
      <c r="O459" s="294"/>
      <c r="P459" s="294"/>
      <c r="Q459" s="294"/>
      <c r="R459" s="294"/>
      <c r="S459" s="294"/>
      <c r="T459" s="294"/>
      <c r="U459" s="294"/>
      <c r="V459" s="294"/>
      <c r="W459" s="294"/>
      <c r="X459" s="294"/>
      <c r="Y459" s="294"/>
    </row>
    <row r="460" spans="2:25">
      <c r="B460" s="91" t="str">
        <f>+B448</f>
        <v>Pasivos Financieros</v>
      </c>
      <c r="C460" s="298"/>
      <c r="D460" s="298"/>
      <c r="E460" s="293"/>
      <c r="F460" s="294">
        <f>+Bases!$F$25*(1-Bases!$G$108)</f>
        <v>0.20403500000000002</v>
      </c>
      <c r="G460" s="294">
        <f>+Bases!$F$25*(1-Bases!$G$108)</f>
        <v>0.20403500000000002</v>
      </c>
      <c r="H460" s="294">
        <f>+Bases!$F$25*(1-Bases!$G$108)</f>
        <v>0.20403500000000002</v>
      </c>
      <c r="I460" s="294">
        <f>+Bases!$F$25*(1-Bases!$G$108)</f>
        <v>0.20403500000000002</v>
      </c>
      <c r="J460" s="294">
        <f>+Bases!$F$25*(1-Bases!$G$108)</f>
        <v>0.20403500000000002</v>
      </c>
      <c r="K460" s="294">
        <f>+Bases!$F$25*(1-Bases!$G$108)</f>
        <v>0.20403500000000002</v>
      </c>
      <c r="L460" s="294">
        <f>+Bases!$F$25*(1-Bases!$G$108)</f>
        <v>0.20403500000000002</v>
      </c>
      <c r="M460" s="294">
        <f>+Bases!$F$25*(1-Bases!$G$108)</f>
        <v>0.20403500000000002</v>
      </c>
      <c r="N460" s="294">
        <f>+Bases!$F$25*(1-Bases!$G$108)</f>
        <v>0.20403500000000002</v>
      </c>
      <c r="O460" s="294">
        <f>+Bases!$F$25*(1-Bases!$G$108)</f>
        <v>0.20403500000000002</v>
      </c>
      <c r="P460" s="294">
        <f>+Bases!$F$25*(1-Bases!$G$108)</f>
        <v>0.20403500000000002</v>
      </c>
      <c r="Q460" s="294">
        <f>+Bases!$F$25*(1-Bases!$G$108)</f>
        <v>0.20403500000000002</v>
      </c>
      <c r="R460" s="294">
        <f>+Bases!$F$25*(1-Bases!$G$108)</f>
        <v>0.20403500000000002</v>
      </c>
      <c r="S460" s="294">
        <f>+Bases!$F$25*(1-Bases!$G$108)</f>
        <v>0.20403500000000002</v>
      </c>
      <c r="T460" s="294">
        <f>+Bases!$F$25*(1-Bases!$G$108)</f>
        <v>0.20403500000000002</v>
      </c>
      <c r="U460" s="294">
        <f>+Bases!$F$25*(1-Bases!$G$108)</f>
        <v>0.20403500000000002</v>
      </c>
      <c r="V460" s="294">
        <f>+Bases!$F$25*(1-Bases!$G$108)</f>
        <v>0.20403500000000002</v>
      </c>
      <c r="W460" s="294">
        <f>+Bases!$F$25*(1-Bases!$G$108)</f>
        <v>0.20403500000000002</v>
      </c>
      <c r="X460" s="294">
        <f>+Bases!$F$25*(1-Bases!$G$108)</f>
        <v>0.20403500000000002</v>
      </c>
      <c r="Y460" s="294">
        <f>+Bases!$F$25*(1-Bases!$G$108)</f>
        <v>0.20403500000000002</v>
      </c>
    </row>
    <row r="461" spans="2:25">
      <c r="B461" s="91" t="str">
        <f>+B449</f>
        <v>Patrimonio</v>
      </c>
      <c r="C461" s="299"/>
      <c r="D461" s="299"/>
      <c r="E461" s="293"/>
      <c r="F461" s="294">
        <f>+Bases!$E$113</f>
        <v>0.25</v>
      </c>
      <c r="G461" s="294">
        <f>+Bases!$E$113</f>
        <v>0.25</v>
      </c>
      <c r="H461" s="294">
        <f>+Bases!$E$113</f>
        <v>0.25</v>
      </c>
      <c r="I461" s="294">
        <f>+Bases!$E$113</f>
        <v>0.25</v>
      </c>
      <c r="J461" s="294">
        <f>+Bases!$E$113</f>
        <v>0.25</v>
      </c>
      <c r="K461" s="294">
        <f>+Bases!$E$113</f>
        <v>0.25</v>
      </c>
      <c r="L461" s="294">
        <f>+Bases!$E$113</f>
        <v>0.25</v>
      </c>
      <c r="M461" s="294">
        <f>+Bases!$E$113</f>
        <v>0.25</v>
      </c>
      <c r="N461" s="294">
        <f>+Bases!$E$113</f>
        <v>0.25</v>
      </c>
      <c r="O461" s="294">
        <f>+Bases!$E$113</f>
        <v>0.25</v>
      </c>
      <c r="P461" s="294">
        <f>+Bases!$E$113</f>
        <v>0.25</v>
      </c>
      <c r="Q461" s="294">
        <f>+Bases!$E$113</f>
        <v>0.25</v>
      </c>
      <c r="R461" s="294">
        <f>+Bases!$E$113</f>
        <v>0.25</v>
      </c>
      <c r="S461" s="294">
        <f>+Bases!$E$113</f>
        <v>0.25</v>
      </c>
      <c r="T461" s="294">
        <f>+Bases!$E$113</f>
        <v>0.25</v>
      </c>
      <c r="U461" s="294">
        <f>+Bases!$E$113</f>
        <v>0.25</v>
      </c>
      <c r="V461" s="294">
        <f>+Bases!$E$113</f>
        <v>0.25</v>
      </c>
      <c r="W461" s="294">
        <f>+Bases!$E$113</f>
        <v>0.25</v>
      </c>
      <c r="X461" s="294">
        <f>+Bases!$E$113</f>
        <v>0.25</v>
      </c>
      <c r="Y461" s="294">
        <f>+Bases!$E$113</f>
        <v>0.25</v>
      </c>
    </row>
    <row r="462" spans="2:25">
      <c r="B462" s="91"/>
      <c r="E462" s="293"/>
      <c r="F462" s="294"/>
      <c r="G462" s="294"/>
      <c r="H462" s="294"/>
      <c r="I462" s="294"/>
      <c r="J462" s="294"/>
      <c r="K462" s="294"/>
      <c r="L462" s="294"/>
      <c r="M462" s="294"/>
      <c r="N462" s="294"/>
      <c r="O462" s="294"/>
      <c r="P462" s="294"/>
      <c r="Q462" s="294"/>
      <c r="R462" s="294"/>
      <c r="S462" s="294"/>
      <c r="T462" s="294"/>
      <c r="U462" s="294"/>
      <c r="V462" s="294"/>
      <c r="W462" s="294"/>
      <c r="X462" s="294"/>
      <c r="Y462" s="294"/>
    </row>
    <row r="463" spans="2:25">
      <c r="B463" s="91"/>
      <c r="E463" s="293"/>
      <c r="F463" s="294"/>
      <c r="G463" s="294"/>
      <c r="H463" s="294"/>
      <c r="I463" s="294"/>
      <c r="J463" s="294"/>
      <c r="K463" s="294"/>
      <c r="L463" s="294"/>
      <c r="M463" s="294"/>
      <c r="N463" s="294"/>
      <c r="O463" s="294"/>
      <c r="P463" s="294"/>
      <c r="Q463" s="294"/>
      <c r="R463" s="294"/>
      <c r="S463" s="294"/>
      <c r="T463" s="294"/>
      <c r="U463" s="294"/>
      <c r="V463" s="294"/>
      <c r="W463" s="294"/>
      <c r="X463" s="294"/>
      <c r="Y463" s="294"/>
    </row>
    <row r="464" spans="2:25">
      <c r="B464" s="286" t="s">
        <v>269</v>
      </c>
      <c r="E464" s="293"/>
      <c r="F464" s="294"/>
      <c r="G464" s="294"/>
      <c r="H464" s="294"/>
      <c r="I464" s="294"/>
      <c r="J464" s="294"/>
      <c r="K464" s="294"/>
      <c r="L464" s="294"/>
      <c r="M464" s="294"/>
      <c r="N464" s="294"/>
      <c r="O464" s="294"/>
      <c r="P464" s="294"/>
      <c r="Q464" s="294"/>
      <c r="R464" s="294"/>
      <c r="S464" s="294"/>
      <c r="T464" s="294"/>
      <c r="U464" s="294"/>
      <c r="V464" s="294"/>
      <c r="W464" s="294"/>
      <c r="X464" s="294"/>
      <c r="Y464" s="294"/>
    </row>
    <row r="465" spans="2:25">
      <c r="B465" s="91" t="str">
        <f>+B448</f>
        <v>Pasivos Financieros</v>
      </c>
      <c r="C465" s="298"/>
      <c r="D465" s="298"/>
      <c r="E465" s="293"/>
      <c r="F465" s="294">
        <f>+F460*F454</f>
        <v>0</v>
      </c>
      <c r="G465" s="294">
        <f t="shared" ref="G465:Y466" si="142">+G460*G454</f>
        <v>0</v>
      </c>
      <c r="H465" s="294">
        <f t="shared" si="142"/>
        <v>0</v>
      </c>
      <c r="I465" s="294">
        <f t="shared" si="142"/>
        <v>0</v>
      </c>
      <c r="J465" s="294">
        <f t="shared" si="142"/>
        <v>0</v>
      </c>
      <c r="K465" s="294">
        <f t="shared" si="142"/>
        <v>0</v>
      </c>
      <c r="L465" s="294">
        <f t="shared" si="142"/>
        <v>0</v>
      </c>
      <c r="M465" s="294">
        <f t="shared" si="142"/>
        <v>0</v>
      </c>
      <c r="N465" s="294">
        <f t="shared" si="142"/>
        <v>0</v>
      </c>
      <c r="O465" s="294">
        <f t="shared" si="142"/>
        <v>0</v>
      </c>
      <c r="P465" s="294">
        <f t="shared" si="142"/>
        <v>0</v>
      </c>
      <c r="Q465" s="294">
        <f t="shared" si="142"/>
        <v>0</v>
      </c>
      <c r="R465" s="294">
        <f t="shared" si="142"/>
        <v>0</v>
      </c>
      <c r="S465" s="294">
        <f t="shared" si="142"/>
        <v>0</v>
      </c>
      <c r="T465" s="294">
        <f t="shared" si="142"/>
        <v>0</v>
      </c>
      <c r="U465" s="294">
        <f t="shared" si="142"/>
        <v>0</v>
      </c>
      <c r="V465" s="294">
        <f t="shared" si="142"/>
        <v>0</v>
      </c>
      <c r="W465" s="294">
        <f t="shared" si="142"/>
        <v>0</v>
      </c>
      <c r="X465" s="294">
        <f t="shared" si="142"/>
        <v>0</v>
      </c>
      <c r="Y465" s="294">
        <f t="shared" si="142"/>
        <v>0</v>
      </c>
    </row>
    <row r="466" spans="2:25">
      <c r="B466" s="91" t="str">
        <f>+B449</f>
        <v>Patrimonio</v>
      </c>
      <c r="C466" s="298"/>
      <c r="D466" s="298"/>
      <c r="E466" s="293"/>
      <c r="F466" s="294">
        <f>+F461*F455</f>
        <v>0.25</v>
      </c>
      <c r="G466" s="294">
        <f t="shared" si="142"/>
        <v>0.25</v>
      </c>
      <c r="H466" s="294">
        <f t="shared" si="142"/>
        <v>0.25</v>
      </c>
      <c r="I466" s="294">
        <f t="shared" si="142"/>
        <v>0.25</v>
      </c>
      <c r="J466" s="294">
        <f t="shared" si="142"/>
        <v>0.25</v>
      </c>
      <c r="K466" s="294">
        <f t="shared" si="142"/>
        <v>0.25</v>
      </c>
      <c r="L466" s="294">
        <f t="shared" si="142"/>
        <v>0.25</v>
      </c>
      <c r="M466" s="294">
        <f t="shared" si="142"/>
        <v>0.25</v>
      </c>
      <c r="N466" s="294">
        <f t="shared" si="142"/>
        <v>0.25</v>
      </c>
      <c r="O466" s="294">
        <f t="shared" si="142"/>
        <v>0.25</v>
      </c>
      <c r="P466" s="294">
        <f t="shared" si="142"/>
        <v>0.25</v>
      </c>
      <c r="Q466" s="294">
        <f t="shared" si="142"/>
        <v>0.25</v>
      </c>
      <c r="R466" s="294">
        <f t="shared" si="142"/>
        <v>0.25</v>
      </c>
      <c r="S466" s="294">
        <f t="shared" si="142"/>
        <v>0.25</v>
      </c>
      <c r="T466" s="294">
        <f t="shared" si="142"/>
        <v>0.25</v>
      </c>
      <c r="U466" s="294">
        <f t="shared" si="142"/>
        <v>0.25</v>
      </c>
      <c r="V466" s="294">
        <f t="shared" si="142"/>
        <v>0.25</v>
      </c>
      <c r="W466" s="294">
        <f t="shared" si="142"/>
        <v>0.25</v>
      </c>
      <c r="X466" s="294">
        <f t="shared" si="142"/>
        <v>0.25</v>
      </c>
      <c r="Y466" s="294">
        <f t="shared" si="142"/>
        <v>0.25</v>
      </c>
    </row>
    <row r="467" spans="2:25" s="79" customFormat="1">
      <c r="B467" s="147" t="s">
        <v>270</v>
      </c>
      <c r="C467" s="300"/>
      <c r="D467" s="300"/>
      <c r="E467" s="301"/>
      <c r="F467" s="302">
        <f t="shared" ref="F467:Y467" si="143">SUM(F465:F466)</f>
        <v>0.25</v>
      </c>
      <c r="G467" s="302">
        <f t="shared" si="143"/>
        <v>0.25</v>
      </c>
      <c r="H467" s="302">
        <f t="shared" si="143"/>
        <v>0.25</v>
      </c>
      <c r="I467" s="302">
        <f t="shared" si="143"/>
        <v>0.25</v>
      </c>
      <c r="J467" s="302">
        <f t="shared" si="143"/>
        <v>0.25</v>
      </c>
      <c r="K467" s="302">
        <f t="shared" si="143"/>
        <v>0.25</v>
      </c>
      <c r="L467" s="302">
        <f t="shared" si="143"/>
        <v>0.25</v>
      </c>
      <c r="M467" s="302">
        <f t="shared" si="143"/>
        <v>0.25</v>
      </c>
      <c r="N467" s="302">
        <f t="shared" si="143"/>
        <v>0.25</v>
      </c>
      <c r="O467" s="302">
        <f t="shared" si="143"/>
        <v>0.25</v>
      </c>
      <c r="P467" s="302">
        <f t="shared" si="143"/>
        <v>0.25</v>
      </c>
      <c r="Q467" s="302">
        <f t="shared" si="143"/>
        <v>0.25</v>
      </c>
      <c r="R467" s="302">
        <f t="shared" si="143"/>
        <v>0.25</v>
      </c>
      <c r="S467" s="302">
        <f t="shared" si="143"/>
        <v>0.25</v>
      </c>
      <c r="T467" s="302">
        <f t="shared" si="143"/>
        <v>0.25</v>
      </c>
      <c r="U467" s="302">
        <f t="shared" si="143"/>
        <v>0.25</v>
      </c>
      <c r="V467" s="302">
        <f t="shared" si="143"/>
        <v>0.25</v>
      </c>
      <c r="W467" s="302">
        <f t="shared" si="143"/>
        <v>0.25</v>
      </c>
      <c r="X467" s="302">
        <f t="shared" si="143"/>
        <v>0.25</v>
      </c>
      <c r="Y467" s="302">
        <f t="shared" si="143"/>
        <v>0.25</v>
      </c>
    </row>
    <row r="469" spans="2:25">
      <c r="B469" s="303"/>
      <c r="C469" s="303"/>
      <c r="D469" s="303"/>
      <c r="E469" s="303"/>
      <c r="F469" s="303"/>
      <c r="G469" s="303"/>
      <c r="H469" s="303"/>
    </row>
    <row r="470" spans="2:25" s="304" customFormat="1">
      <c r="B470" s="482" t="str">
        <f>+Bases!B3</f>
        <v>SEM LOGÍSTICA INTEGRAL</v>
      </c>
      <c r="C470" s="483"/>
      <c r="D470" s="306"/>
      <c r="E470" s="306"/>
      <c r="F470" s="306"/>
      <c r="G470" s="306"/>
      <c r="H470" s="306"/>
      <c r="I470" s="306"/>
      <c r="J470" s="306"/>
      <c r="K470" s="306"/>
      <c r="L470" s="306"/>
      <c r="M470" s="306"/>
      <c r="N470" s="306"/>
      <c r="O470" s="307"/>
      <c r="P470" s="307"/>
      <c r="Q470" s="307"/>
      <c r="R470" s="307"/>
      <c r="S470" s="307"/>
      <c r="T470" s="307"/>
      <c r="U470" s="307"/>
      <c r="V470" s="307"/>
      <c r="W470" s="307"/>
      <c r="X470" s="307"/>
      <c r="Y470" s="307"/>
    </row>
    <row r="471" spans="2:25" s="304" customFormat="1">
      <c r="B471" s="484" t="s">
        <v>271</v>
      </c>
      <c r="C471" s="485"/>
      <c r="D471" s="280"/>
      <c r="E471" s="280"/>
      <c r="F471" s="280" t="str">
        <f>+F402</f>
        <v>Año 1</v>
      </c>
      <c r="G471" s="280" t="str">
        <f t="shared" ref="G471:Y471" si="144">+G402</f>
        <v>Año 2</v>
      </c>
      <c r="H471" s="280" t="str">
        <f t="shared" si="144"/>
        <v>Año 3</v>
      </c>
      <c r="I471" s="280" t="str">
        <f t="shared" si="144"/>
        <v>Año 4</v>
      </c>
      <c r="J471" s="280" t="str">
        <f t="shared" si="144"/>
        <v>Año 5</v>
      </c>
      <c r="K471" s="280" t="str">
        <f t="shared" si="144"/>
        <v>Año 6</v>
      </c>
      <c r="L471" s="280" t="str">
        <f t="shared" si="144"/>
        <v>Año 7</v>
      </c>
      <c r="M471" s="280" t="str">
        <f t="shared" si="144"/>
        <v>Año 8</v>
      </c>
      <c r="N471" s="280" t="str">
        <f t="shared" si="144"/>
        <v>Año 9</v>
      </c>
      <c r="O471" s="281" t="str">
        <f t="shared" si="144"/>
        <v>Año 10</v>
      </c>
      <c r="P471" s="281" t="str">
        <f t="shared" si="144"/>
        <v>Año 11</v>
      </c>
      <c r="Q471" s="281" t="str">
        <f t="shared" si="144"/>
        <v>Año 12</v>
      </c>
      <c r="R471" s="281" t="str">
        <f t="shared" si="144"/>
        <v>Año 13</v>
      </c>
      <c r="S471" s="281" t="str">
        <f t="shared" si="144"/>
        <v>Año 14</v>
      </c>
      <c r="T471" s="281" t="str">
        <f t="shared" si="144"/>
        <v>Año 15</v>
      </c>
      <c r="U471" s="281" t="str">
        <f t="shared" si="144"/>
        <v>Año 16</v>
      </c>
      <c r="V471" s="281" t="str">
        <f t="shared" si="144"/>
        <v>Año 17</v>
      </c>
      <c r="W471" s="281" t="str">
        <f t="shared" si="144"/>
        <v>Año 18</v>
      </c>
      <c r="X471" s="281" t="str">
        <f t="shared" si="144"/>
        <v>Año 19</v>
      </c>
      <c r="Y471" s="281" t="str">
        <f t="shared" si="144"/>
        <v>Año 20</v>
      </c>
    </row>
    <row r="472" spans="2:25" s="304" customFormat="1">
      <c r="B472" s="486" t="str">
        <f>+Bases!B5</f>
        <v>($000)</v>
      </c>
      <c r="C472" s="487"/>
      <c r="D472" s="309"/>
      <c r="E472" s="309"/>
      <c r="F472" s="309"/>
      <c r="G472" s="309"/>
      <c r="H472" s="309"/>
      <c r="I472" s="309"/>
      <c r="J472" s="309"/>
      <c r="K472" s="309"/>
      <c r="L472" s="309" t="s">
        <v>272</v>
      </c>
      <c r="M472" s="309"/>
      <c r="N472" s="309"/>
      <c r="O472" s="310"/>
      <c r="P472" s="310"/>
      <c r="Q472" s="310"/>
      <c r="R472" s="310"/>
      <c r="S472" s="310"/>
      <c r="T472" s="310"/>
      <c r="U472" s="310"/>
      <c r="V472" s="310"/>
      <c r="W472" s="310"/>
      <c r="X472" s="310"/>
      <c r="Y472" s="310"/>
    </row>
    <row r="473" spans="2:25" s="304" customFormat="1">
      <c r="B473" s="311"/>
      <c r="C473" s="312"/>
      <c r="D473" s="312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</row>
    <row r="474" spans="2:25" s="304" customFormat="1">
      <c r="B474" s="314" t="s">
        <v>273</v>
      </c>
      <c r="E474" s="315"/>
      <c r="F474" s="387">
        <f>+F190</f>
        <v>352146.12117590848</v>
      </c>
      <c r="G474" s="387">
        <f t="shared" ref="G474:Y474" si="145">+G190</f>
        <v>407610.11420849012</v>
      </c>
      <c r="H474" s="387">
        <f t="shared" si="145"/>
        <v>451883.89275816176</v>
      </c>
      <c r="I474" s="387">
        <f t="shared" si="145"/>
        <v>488637.85399262654</v>
      </c>
      <c r="J474" s="387">
        <f t="shared" si="145"/>
        <v>524761.06303278776</v>
      </c>
      <c r="K474" s="387">
        <f t="shared" si="145"/>
        <v>612132.02735118079</v>
      </c>
      <c r="L474" s="387">
        <f t="shared" si="145"/>
        <v>650671.85979321133</v>
      </c>
      <c r="M474" s="387">
        <f t="shared" si="145"/>
        <v>691638.16008579079</v>
      </c>
      <c r="N474" s="387">
        <f t="shared" si="145"/>
        <v>735183.6986447922</v>
      </c>
      <c r="O474" s="387">
        <f t="shared" si="145"/>
        <v>781470.86431146855</v>
      </c>
      <c r="P474" s="387">
        <f t="shared" si="145"/>
        <v>830672.26992851915</v>
      </c>
      <c r="Q474" s="387">
        <f t="shared" si="145"/>
        <v>882971.39604321844</v>
      </c>
      <c r="R474" s="387">
        <f t="shared" si="145"/>
        <v>938563.27513810061</v>
      </c>
      <c r="S474" s="387">
        <f t="shared" si="145"/>
        <v>997655.2189407954</v>
      </c>
      <c r="T474" s="387">
        <f t="shared" si="145"/>
        <v>1060467.5915253088</v>
      </c>
      <c r="U474" s="387">
        <f t="shared" si="145"/>
        <v>1127234.6310877418</v>
      </c>
      <c r="V474" s="387">
        <f t="shared" si="145"/>
        <v>1198205.323461026</v>
      </c>
      <c r="W474" s="387">
        <f t="shared" si="145"/>
        <v>1273644.330626132</v>
      </c>
      <c r="X474" s="387">
        <f t="shared" si="145"/>
        <v>1353832.9776823539</v>
      </c>
      <c r="Y474" s="387">
        <f t="shared" si="145"/>
        <v>1439070.3019572319</v>
      </c>
    </row>
    <row r="475" spans="2:25" s="304" customFormat="1">
      <c r="B475" s="314" t="s">
        <v>274</v>
      </c>
      <c r="E475" s="315"/>
      <c r="F475" s="387">
        <f>+F474*Bases!$G$108</f>
        <v>123251.14241156795</v>
      </c>
      <c r="G475" s="387">
        <f>+G474*Bases!$G$108</f>
        <v>142663.53997297154</v>
      </c>
      <c r="H475" s="387">
        <f>+H474*Bases!$G$108</f>
        <v>158159.36246535659</v>
      </c>
      <c r="I475" s="387">
        <f>+I474*Bases!$G$108</f>
        <v>171023.24889741928</v>
      </c>
      <c r="J475" s="387">
        <f>+J474*Bases!$G$108</f>
        <v>183666.3720614757</v>
      </c>
      <c r="K475" s="387">
        <f>+K474*Bases!$G$108</f>
        <v>214246.20957291327</v>
      </c>
      <c r="L475" s="387">
        <f>+L474*Bases!$G$108</f>
        <v>227735.15092762397</v>
      </c>
      <c r="M475" s="387">
        <f>+M474*Bases!$G$108</f>
        <v>242073.35603002677</v>
      </c>
      <c r="N475" s="387">
        <f>+N474*Bases!$G$108</f>
        <v>257314.29452567725</v>
      </c>
      <c r="O475" s="387">
        <f>+O474*Bases!$G$108</f>
        <v>273514.80250901397</v>
      </c>
      <c r="P475" s="387">
        <f>+P474*Bases!$G$108</f>
        <v>290735.29447498167</v>
      </c>
      <c r="Q475" s="387">
        <f>+Q474*Bases!$G$108</f>
        <v>309039.98861512641</v>
      </c>
      <c r="R475" s="387">
        <f>+R474*Bases!$G$108</f>
        <v>328497.14629833517</v>
      </c>
      <c r="S475" s="387">
        <f>+S474*Bases!$G$108</f>
        <v>349179.32662927837</v>
      </c>
      <c r="T475" s="387">
        <f>+T474*Bases!$G$108</f>
        <v>371163.65703385806</v>
      </c>
      <c r="U475" s="387">
        <f>+U474*Bases!$G$108</f>
        <v>394532.12088070961</v>
      </c>
      <c r="V475" s="387">
        <f>+V474*Bases!$G$108</f>
        <v>419371.86321135907</v>
      </c>
      <c r="W475" s="387">
        <f>+W474*Bases!$G$108</f>
        <v>445775.51571914618</v>
      </c>
      <c r="X475" s="387">
        <f>+X474*Bases!$G$108</f>
        <v>473841.54218882386</v>
      </c>
      <c r="Y475" s="387">
        <f>+Y474*Bases!$G$108</f>
        <v>503674.60568503116</v>
      </c>
    </row>
    <row r="476" spans="2:25" s="78" customFormat="1">
      <c r="B476" s="316" t="s">
        <v>275</v>
      </c>
      <c r="E476" s="317"/>
      <c r="F476" s="388">
        <f t="shared" ref="F476:Y476" si="146">+F474-F475</f>
        <v>228894.97876434051</v>
      </c>
      <c r="G476" s="388">
        <f t="shared" si="146"/>
        <v>264946.57423551858</v>
      </c>
      <c r="H476" s="388">
        <f t="shared" si="146"/>
        <v>293724.53029280517</v>
      </c>
      <c r="I476" s="388">
        <f t="shared" si="146"/>
        <v>317614.60509520723</v>
      </c>
      <c r="J476" s="388">
        <f t="shared" si="146"/>
        <v>341094.69097131205</v>
      </c>
      <c r="K476" s="388">
        <f t="shared" si="146"/>
        <v>397885.81777826755</v>
      </c>
      <c r="L476" s="388">
        <f t="shared" si="146"/>
        <v>422936.70886558737</v>
      </c>
      <c r="M476" s="388">
        <f t="shared" si="146"/>
        <v>449564.80405576399</v>
      </c>
      <c r="N476" s="388">
        <f t="shared" si="146"/>
        <v>477869.40411911497</v>
      </c>
      <c r="O476" s="388">
        <f t="shared" si="146"/>
        <v>507956.06180245458</v>
      </c>
      <c r="P476" s="388">
        <f t="shared" si="146"/>
        <v>539936.97545353742</v>
      </c>
      <c r="Q476" s="388">
        <f t="shared" si="146"/>
        <v>573931.40742809209</v>
      </c>
      <c r="R476" s="388">
        <f t="shared" si="146"/>
        <v>610066.12883976544</v>
      </c>
      <c r="S476" s="388">
        <f t="shared" si="146"/>
        <v>648475.89231151703</v>
      </c>
      <c r="T476" s="388">
        <f t="shared" si="146"/>
        <v>689303.93449145067</v>
      </c>
      <c r="U476" s="388">
        <f t="shared" si="146"/>
        <v>732702.5102070322</v>
      </c>
      <c r="V476" s="388">
        <f t="shared" si="146"/>
        <v>778833.46024966682</v>
      </c>
      <c r="W476" s="388">
        <f t="shared" si="146"/>
        <v>827868.81490698573</v>
      </c>
      <c r="X476" s="388">
        <f t="shared" si="146"/>
        <v>879991.43549353001</v>
      </c>
      <c r="Y476" s="388">
        <f t="shared" si="146"/>
        <v>935395.69627220079</v>
      </c>
    </row>
    <row r="477" spans="2:25" s="304" customFormat="1">
      <c r="B477" s="314" t="s">
        <v>152</v>
      </c>
      <c r="E477" s="315"/>
      <c r="F477" s="387">
        <f>+D114</f>
        <v>105000</v>
      </c>
      <c r="G477" s="387">
        <f t="shared" ref="G477:Y477" si="147">+E114</f>
        <v>105000</v>
      </c>
      <c r="H477" s="387">
        <f t="shared" si="147"/>
        <v>105000</v>
      </c>
      <c r="I477" s="387">
        <f t="shared" si="147"/>
        <v>105000</v>
      </c>
      <c r="J477" s="387">
        <f t="shared" si="147"/>
        <v>105000</v>
      </c>
      <c r="K477" s="387">
        <f t="shared" si="147"/>
        <v>30000</v>
      </c>
      <c r="L477" s="387">
        <f t="shared" si="147"/>
        <v>30000</v>
      </c>
      <c r="M477" s="387">
        <f t="shared" si="147"/>
        <v>30000</v>
      </c>
      <c r="N477" s="387">
        <f t="shared" si="147"/>
        <v>30000</v>
      </c>
      <c r="O477" s="387">
        <f t="shared" si="147"/>
        <v>30000</v>
      </c>
      <c r="P477" s="387">
        <f t="shared" si="147"/>
        <v>0</v>
      </c>
      <c r="Q477" s="387">
        <f t="shared" si="147"/>
        <v>0</v>
      </c>
      <c r="R477" s="387">
        <f t="shared" si="147"/>
        <v>0</v>
      </c>
      <c r="S477" s="387">
        <f t="shared" si="147"/>
        <v>0</v>
      </c>
      <c r="T477" s="387">
        <f t="shared" si="147"/>
        <v>0</v>
      </c>
      <c r="U477" s="387">
        <f t="shared" si="147"/>
        <v>0</v>
      </c>
      <c r="V477" s="387">
        <f t="shared" si="147"/>
        <v>0</v>
      </c>
      <c r="W477" s="387">
        <f t="shared" si="147"/>
        <v>0</v>
      </c>
      <c r="X477" s="387">
        <f t="shared" si="147"/>
        <v>0</v>
      </c>
      <c r="Y477" s="387">
        <f t="shared" si="147"/>
        <v>0</v>
      </c>
    </row>
    <row r="478" spans="2:25" s="304" customFormat="1">
      <c r="B478" s="314" t="s">
        <v>276</v>
      </c>
      <c r="E478" s="315"/>
      <c r="F478" s="387">
        <f>+D127</f>
        <v>25000</v>
      </c>
      <c r="G478" s="387">
        <f t="shared" ref="G478:Y478" si="148">+E127</f>
        <v>25000</v>
      </c>
      <c r="H478" s="387">
        <f t="shared" si="148"/>
        <v>25000</v>
      </c>
      <c r="I478" s="387">
        <f t="shared" si="148"/>
        <v>25000</v>
      </c>
      <c r="J478" s="387">
        <f t="shared" si="148"/>
        <v>25000</v>
      </c>
      <c r="K478" s="387">
        <f t="shared" si="148"/>
        <v>0</v>
      </c>
      <c r="L478" s="387">
        <f t="shared" si="148"/>
        <v>0</v>
      </c>
      <c r="M478" s="387">
        <f t="shared" si="148"/>
        <v>0</v>
      </c>
      <c r="N478" s="387">
        <f t="shared" si="148"/>
        <v>0</v>
      </c>
      <c r="O478" s="387">
        <f t="shared" si="148"/>
        <v>0</v>
      </c>
      <c r="P478" s="387">
        <f t="shared" si="148"/>
        <v>0</v>
      </c>
      <c r="Q478" s="387">
        <f t="shared" si="148"/>
        <v>0</v>
      </c>
      <c r="R478" s="387">
        <f t="shared" si="148"/>
        <v>0</v>
      </c>
      <c r="S478" s="387">
        <f t="shared" si="148"/>
        <v>0</v>
      </c>
      <c r="T478" s="387">
        <f t="shared" si="148"/>
        <v>0</v>
      </c>
      <c r="U478" s="387">
        <f t="shared" si="148"/>
        <v>0</v>
      </c>
      <c r="V478" s="387">
        <f t="shared" si="148"/>
        <v>0</v>
      </c>
      <c r="W478" s="387">
        <f t="shared" si="148"/>
        <v>0</v>
      </c>
      <c r="X478" s="387">
        <f t="shared" si="148"/>
        <v>0</v>
      </c>
      <c r="Y478" s="387">
        <f t="shared" si="148"/>
        <v>0</v>
      </c>
    </row>
    <row r="479" spans="2:25" s="78" customFormat="1">
      <c r="B479" s="316" t="s">
        <v>277</v>
      </c>
      <c r="E479" s="317"/>
      <c r="F479" s="388">
        <f t="shared" ref="F479:Y479" si="149">+F476+F477+F478</f>
        <v>358894.97876434051</v>
      </c>
      <c r="G479" s="388">
        <f t="shared" si="149"/>
        <v>394946.57423551858</v>
      </c>
      <c r="H479" s="388">
        <f t="shared" si="149"/>
        <v>423724.53029280517</v>
      </c>
      <c r="I479" s="388">
        <f t="shared" si="149"/>
        <v>447614.60509520723</v>
      </c>
      <c r="J479" s="388">
        <f t="shared" si="149"/>
        <v>471094.69097131205</v>
      </c>
      <c r="K479" s="388">
        <f t="shared" si="149"/>
        <v>427885.81777826755</v>
      </c>
      <c r="L479" s="388">
        <f t="shared" si="149"/>
        <v>452936.70886558737</v>
      </c>
      <c r="M479" s="388">
        <f t="shared" si="149"/>
        <v>479564.80405576399</v>
      </c>
      <c r="N479" s="388">
        <f t="shared" si="149"/>
        <v>507869.40411911497</v>
      </c>
      <c r="O479" s="388">
        <f t="shared" si="149"/>
        <v>537956.06180245453</v>
      </c>
      <c r="P479" s="388">
        <f t="shared" si="149"/>
        <v>539936.97545353742</v>
      </c>
      <c r="Q479" s="388">
        <f t="shared" si="149"/>
        <v>573931.40742809209</v>
      </c>
      <c r="R479" s="388">
        <f t="shared" si="149"/>
        <v>610066.12883976544</v>
      </c>
      <c r="S479" s="388">
        <f t="shared" si="149"/>
        <v>648475.89231151703</v>
      </c>
      <c r="T479" s="388">
        <f t="shared" si="149"/>
        <v>689303.93449145067</v>
      </c>
      <c r="U479" s="388">
        <f t="shared" si="149"/>
        <v>732702.5102070322</v>
      </c>
      <c r="V479" s="388">
        <f t="shared" si="149"/>
        <v>778833.46024966682</v>
      </c>
      <c r="W479" s="388">
        <f t="shared" si="149"/>
        <v>827868.81490698573</v>
      </c>
      <c r="X479" s="388">
        <f t="shared" si="149"/>
        <v>879991.43549353001</v>
      </c>
      <c r="Y479" s="388">
        <f t="shared" si="149"/>
        <v>935395.69627220079</v>
      </c>
    </row>
    <row r="480" spans="2:25" s="304" customFormat="1">
      <c r="B480" s="314" t="s">
        <v>278</v>
      </c>
      <c r="E480" s="315"/>
      <c r="F480" s="387">
        <f>+E153</f>
        <v>54834.16629420605</v>
      </c>
      <c r="G480" s="387">
        <f t="shared" ref="G480:Y480" si="150">+F153</f>
        <v>43771.02337437938</v>
      </c>
      <c r="H480" s="387">
        <f t="shared" si="150"/>
        <v>36336.598072150955</v>
      </c>
      <c r="I480" s="387">
        <f t="shared" si="150"/>
        <v>35713.008445407264</v>
      </c>
      <c r="J480" s="387">
        <f t="shared" si="150"/>
        <v>36946.594717870001</v>
      </c>
      <c r="K480" s="387">
        <f t="shared" si="150"/>
        <v>38102.189646456158</v>
      </c>
      <c r="L480" s="387">
        <f t="shared" si="150"/>
        <v>40501.103506596526</v>
      </c>
      <c r="M480" s="387">
        <f t="shared" si="150"/>
        <v>43051.052983372472</v>
      </c>
      <c r="N480" s="387">
        <f t="shared" si="150"/>
        <v>45761.547279205173</v>
      </c>
      <c r="O480" s="387">
        <f t="shared" si="150"/>
        <v>48642.694295904366</v>
      </c>
      <c r="P480" s="387">
        <f t="shared" si="150"/>
        <v>51705.238328774227</v>
      </c>
      <c r="Q480" s="387">
        <f t="shared" si="150"/>
        <v>54960.600133954315</v>
      </c>
      <c r="R480" s="387">
        <f t="shared" si="150"/>
        <v>58420.919518387411</v>
      </c>
      <c r="S480" s="387">
        <f t="shared" si="150"/>
        <v>62099.100611265516</v>
      </c>
      <c r="T480" s="387">
        <f t="shared" si="150"/>
        <v>66008.859985750634</v>
      </c>
      <c r="U480" s="387">
        <f t="shared" si="150"/>
        <v>70164.777810453437</v>
      </c>
      <c r="V480" s="387">
        <f t="shared" si="150"/>
        <v>74582.352221399313</v>
      </c>
      <c r="W480" s="387">
        <f t="shared" si="150"/>
        <v>79278.05711725913</v>
      </c>
      <c r="X480" s="387">
        <f t="shared" si="150"/>
        <v>84269.403593361378</v>
      </c>
      <c r="Y480" s="387">
        <f t="shared" si="150"/>
        <v>0</v>
      </c>
    </row>
    <row r="481" spans="1:25" s="304" customFormat="1">
      <c r="B481" s="314" t="s">
        <v>279</v>
      </c>
      <c r="E481" s="315"/>
      <c r="F481" s="387">
        <f>+F261</f>
        <v>0</v>
      </c>
      <c r="G481" s="387">
        <f t="shared" ref="G481:Y481" si="151">+G261</f>
        <v>0</v>
      </c>
      <c r="H481" s="387">
        <f t="shared" si="151"/>
        <v>0</v>
      </c>
      <c r="I481" s="387">
        <f t="shared" si="151"/>
        <v>0</v>
      </c>
      <c r="J481" s="387">
        <f t="shared" si="151"/>
        <v>0</v>
      </c>
      <c r="K481" s="387">
        <f t="shared" si="151"/>
        <v>0</v>
      </c>
      <c r="L481" s="387">
        <f t="shared" si="151"/>
        <v>0</v>
      </c>
      <c r="M481" s="387">
        <f t="shared" si="151"/>
        <v>0</v>
      </c>
      <c r="N481" s="387">
        <f t="shared" si="151"/>
        <v>0</v>
      </c>
      <c r="O481" s="387">
        <f t="shared" si="151"/>
        <v>0</v>
      </c>
      <c r="P481" s="387">
        <f t="shared" si="151"/>
        <v>0</v>
      </c>
      <c r="Q481" s="387">
        <f t="shared" si="151"/>
        <v>0</v>
      </c>
      <c r="R481" s="387">
        <f t="shared" si="151"/>
        <v>0</v>
      </c>
      <c r="S481" s="387">
        <f t="shared" si="151"/>
        <v>0</v>
      </c>
      <c r="T481" s="387">
        <f t="shared" si="151"/>
        <v>0</v>
      </c>
      <c r="U481" s="387">
        <f t="shared" si="151"/>
        <v>0</v>
      </c>
      <c r="V481" s="387">
        <f t="shared" si="151"/>
        <v>0</v>
      </c>
      <c r="W481" s="387">
        <f t="shared" si="151"/>
        <v>0</v>
      </c>
      <c r="X481" s="387">
        <f t="shared" si="151"/>
        <v>0</v>
      </c>
      <c r="Y481" s="387">
        <f t="shared" si="151"/>
        <v>0</v>
      </c>
    </row>
    <row r="482" spans="1:25" s="78" customFormat="1">
      <c r="B482" s="316" t="s">
        <v>280</v>
      </c>
      <c r="E482" s="317"/>
      <c r="F482" s="388">
        <f t="shared" ref="F482:Y482" si="152">+F479-F480-F481</f>
        <v>304060.81247013446</v>
      </c>
      <c r="G482" s="388">
        <f t="shared" si="152"/>
        <v>351175.5508611392</v>
      </c>
      <c r="H482" s="388">
        <f t="shared" si="152"/>
        <v>387387.93222065421</v>
      </c>
      <c r="I482" s="388">
        <f t="shared" si="152"/>
        <v>411901.59664979996</v>
      </c>
      <c r="J482" s="388">
        <f t="shared" si="152"/>
        <v>434148.09625344205</v>
      </c>
      <c r="K482" s="388">
        <f t="shared" si="152"/>
        <v>389783.62813181139</v>
      </c>
      <c r="L482" s="388">
        <f t="shared" si="152"/>
        <v>412435.60535899084</v>
      </c>
      <c r="M482" s="388">
        <f t="shared" si="152"/>
        <v>436513.75107239152</v>
      </c>
      <c r="N482" s="388">
        <f t="shared" si="152"/>
        <v>462107.8568399098</v>
      </c>
      <c r="O482" s="388">
        <f t="shared" si="152"/>
        <v>489313.36750655016</v>
      </c>
      <c r="P482" s="388">
        <f t="shared" si="152"/>
        <v>488231.7371247632</v>
      </c>
      <c r="Q482" s="388">
        <f t="shared" si="152"/>
        <v>518970.80729413778</v>
      </c>
      <c r="R482" s="388">
        <f t="shared" si="152"/>
        <v>551645.20932137803</v>
      </c>
      <c r="S482" s="388">
        <f t="shared" si="152"/>
        <v>586376.79170025152</v>
      </c>
      <c r="T482" s="388">
        <f t="shared" si="152"/>
        <v>623295.07450570003</v>
      </c>
      <c r="U482" s="388">
        <f t="shared" si="152"/>
        <v>662537.73239657877</v>
      </c>
      <c r="V482" s="388">
        <f t="shared" si="152"/>
        <v>704251.10802826751</v>
      </c>
      <c r="W482" s="388">
        <f t="shared" si="152"/>
        <v>748590.7577897266</v>
      </c>
      <c r="X482" s="388">
        <f t="shared" si="152"/>
        <v>795722.03190016863</v>
      </c>
      <c r="Y482" s="388">
        <f t="shared" si="152"/>
        <v>935395.69627220079</v>
      </c>
    </row>
    <row r="483" spans="1:25" s="304" customFormat="1">
      <c r="B483" s="316" t="s">
        <v>281</v>
      </c>
      <c r="E483" s="317"/>
      <c r="F483" s="387"/>
      <c r="G483" s="387"/>
      <c r="H483" s="387"/>
      <c r="I483" s="387"/>
      <c r="J483" s="387"/>
      <c r="K483" s="387"/>
      <c r="L483" s="387"/>
      <c r="M483" s="387"/>
      <c r="N483" s="387"/>
      <c r="O483" s="387"/>
      <c r="P483" s="387"/>
      <c r="Q483" s="387"/>
      <c r="R483" s="387"/>
      <c r="S483" s="387"/>
      <c r="T483" s="387"/>
      <c r="U483" s="387"/>
      <c r="V483" s="387"/>
      <c r="W483" s="387"/>
      <c r="X483" s="387"/>
      <c r="Y483" s="387"/>
    </row>
    <row r="484" spans="1:25" s="304" customFormat="1">
      <c r="B484" s="314" t="s">
        <v>282</v>
      </c>
      <c r="E484" s="317"/>
      <c r="F484" s="387"/>
      <c r="G484" s="387"/>
      <c r="H484" s="387"/>
      <c r="I484" s="387"/>
      <c r="J484" s="387"/>
      <c r="K484" s="387"/>
      <c r="L484" s="387"/>
      <c r="M484" s="387"/>
      <c r="N484" s="387"/>
      <c r="O484" s="387">
        <v>0</v>
      </c>
      <c r="P484" s="387">
        <v>0</v>
      </c>
      <c r="Q484" s="387">
        <v>0</v>
      </c>
      <c r="R484" s="387">
        <v>0</v>
      </c>
      <c r="S484" s="387">
        <v>0</v>
      </c>
      <c r="T484" s="387">
        <v>0</v>
      </c>
      <c r="U484" s="387">
        <v>0</v>
      </c>
      <c r="V484" s="387">
        <v>0</v>
      </c>
      <c r="W484" s="387">
        <v>0</v>
      </c>
      <c r="X484" s="387">
        <v>0</v>
      </c>
      <c r="Y484" s="387">
        <f t="shared" ref="Y484" si="153">+Y482/Y467</f>
        <v>3741582.7850888032</v>
      </c>
    </row>
    <row r="485" spans="1:25" s="304" customFormat="1">
      <c r="B485" s="318" t="s">
        <v>283</v>
      </c>
      <c r="C485" s="319"/>
      <c r="D485" s="347">
        <f>D27</f>
        <v>1891369.125</v>
      </c>
      <c r="E485" s="348">
        <f>-E27</f>
        <v>0</v>
      </c>
      <c r="F485" s="389">
        <f t="shared" ref="F485:Y485" si="154">+F482+F484</f>
        <v>304060.81247013446</v>
      </c>
      <c r="G485" s="389">
        <f t="shared" si="154"/>
        <v>351175.5508611392</v>
      </c>
      <c r="H485" s="389">
        <f t="shared" si="154"/>
        <v>387387.93222065421</v>
      </c>
      <c r="I485" s="389">
        <f t="shared" si="154"/>
        <v>411901.59664979996</v>
      </c>
      <c r="J485" s="389">
        <f t="shared" si="154"/>
        <v>434148.09625344205</v>
      </c>
      <c r="K485" s="389">
        <f t="shared" si="154"/>
        <v>389783.62813181139</v>
      </c>
      <c r="L485" s="389">
        <f t="shared" si="154"/>
        <v>412435.60535899084</v>
      </c>
      <c r="M485" s="389">
        <f t="shared" si="154"/>
        <v>436513.75107239152</v>
      </c>
      <c r="N485" s="389">
        <f t="shared" si="154"/>
        <v>462107.8568399098</v>
      </c>
      <c r="O485" s="389">
        <f t="shared" si="154"/>
        <v>489313.36750655016</v>
      </c>
      <c r="P485" s="389">
        <f t="shared" si="154"/>
        <v>488231.7371247632</v>
      </c>
      <c r="Q485" s="389">
        <f t="shared" si="154"/>
        <v>518970.80729413778</v>
      </c>
      <c r="R485" s="389">
        <f t="shared" si="154"/>
        <v>551645.20932137803</v>
      </c>
      <c r="S485" s="389">
        <f t="shared" si="154"/>
        <v>586376.79170025152</v>
      </c>
      <c r="T485" s="389">
        <f t="shared" si="154"/>
        <v>623295.07450570003</v>
      </c>
      <c r="U485" s="389">
        <f t="shared" si="154"/>
        <v>662537.73239657877</v>
      </c>
      <c r="V485" s="389">
        <f t="shared" si="154"/>
        <v>704251.10802826751</v>
      </c>
      <c r="W485" s="389">
        <f t="shared" si="154"/>
        <v>748590.7577897266</v>
      </c>
      <c r="X485" s="389">
        <f t="shared" si="154"/>
        <v>795722.03190016863</v>
      </c>
      <c r="Y485" s="389">
        <f t="shared" si="154"/>
        <v>4676978.4813610036</v>
      </c>
    </row>
    <row r="486" spans="1:25" s="304" customFormat="1">
      <c r="B486" s="303"/>
      <c r="E486" s="320"/>
      <c r="F486" s="320"/>
      <c r="G486" s="320"/>
      <c r="H486" s="320"/>
      <c r="I486" s="320"/>
      <c r="J486" s="320"/>
      <c r="K486" s="320"/>
      <c r="L486" s="320"/>
      <c r="M486" s="320"/>
      <c r="N486" s="320"/>
      <c r="O486" s="320"/>
    </row>
    <row r="487" spans="1:25" s="304" customFormat="1">
      <c r="A487" s="303"/>
      <c r="B487" s="303"/>
      <c r="C487" s="320"/>
      <c r="D487" s="320"/>
      <c r="E487" s="320"/>
      <c r="F487" s="320"/>
      <c r="G487" s="320"/>
      <c r="H487" s="320"/>
      <c r="I487" s="320"/>
      <c r="J487" s="320"/>
      <c r="K487" s="320"/>
      <c r="L487" s="320"/>
      <c r="M487" s="320"/>
      <c r="N487" s="320"/>
      <c r="O487" s="320"/>
    </row>
    <row r="488" spans="1:25" s="304" customFormat="1">
      <c r="B488" s="275" t="str">
        <f>+B470</f>
        <v>SEM LOGÍSTICA INTEGRAL</v>
      </c>
      <c r="C488" s="305"/>
      <c r="D488" s="321"/>
      <c r="E488" s="321"/>
      <c r="F488" s="322"/>
      <c r="G488" s="322"/>
      <c r="H488" s="322"/>
      <c r="I488" s="322"/>
      <c r="J488" s="322"/>
      <c r="K488" s="322"/>
      <c r="L488" s="322"/>
      <c r="M488" s="322"/>
      <c r="N488" s="322"/>
      <c r="O488" s="322"/>
      <c r="P488" s="322"/>
      <c r="Q488" s="322"/>
      <c r="R488" s="322"/>
      <c r="S488" s="322"/>
      <c r="T488" s="322"/>
      <c r="U488" s="322"/>
      <c r="V488" s="322"/>
      <c r="W488" s="322"/>
      <c r="X488" s="322"/>
      <c r="Y488" s="322"/>
    </row>
    <row r="489" spans="1:25" s="304" customFormat="1">
      <c r="B489" s="282" t="s">
        <v>284</v>
      </c>
      <c r="C489" s="308"/>
      <c r="D489" s="323"/>
      <c r="E489" s="323"/>
      <c r="F489" s="324" t="str">
        <f>+F471</f>
        <v>Año 1</v>
      </c>
      <c r="G489" s="324" t="str">
        <f>+G471</f>
        <v>Año 2</v>
      </c>
      <c r="H489" s="324" t="str">
        <f t="shared" ref="H489:Y489" si="155">+H471</f>
        <v>Año 3</v>
      </c>
      <c r="I489" s="324" t="str">
        <f t="shared" si="155"/>
        <v>Año 4</v>
      </c>
      <c r="J489" s="324" t="str">
        <f t="shared" si="155"/>
        <v>Año 5</v>
      </c>
      <c r="K489" s="324" t="str">
        <f t="shared" si="155"/>
        <v>Año 6</v>
      </c>
      <c r="L489" s="324" t="str">
        <f t="shared" si="155"/>
        <v>Año 7</v>
      </c>
      <c r="M489" s="324" t="str">
        <f t="shared" si="155"/>
        <v>Año 8</v>
      </c>
      <c r="N489" s="324" t="str">
        <f t="shared" si="155"/>
        <v>Año 9</v>
      </c>
      <c r="O489" s="324" t="str">
        <f t="shared" si="155"/>
        <v>Año 10</v>
      </c>
      <c r="P489" s="324" t="str">
        <f t="shared" si="155"/>
        <v>Año 11</v>
      </c>
      <c r="Q489" s="324" t="str">
        <f t="shared" si="155"/>
        <v>Año 12</v>
      </c>
      <c r="R489" s="324" t="str">
        <f t="shared" si="155"/>
        <v>Año 13</v>
      </c>
      <c r="S489" s="324" t="str">
        <f t="shared" si="155"/>
        <v>Año 14</v>
      </c>
      <c r="T489" s="324" t="str">
        <f t="shared" si="155"/>
        <v>Año 15</v>
      </c>
      <c r="U489" s="324" t="str">
        <f t="shared" si="155"/>
        <v>Año 16</v>
      </c>
      <c r="V489" s="324" t="str">
        <f t="shared" si="155"/>
        <v>Año 17</v>
      </c>
      <c r="W489" s="324" t="str">
        <f t="shared" si="155"/>
        <v>Año 18</v>
      </c>
      <c r="X489" s="324" t="str">
        <f t="shared" si="155"/>
        <v>Año 19</v>
      </c>
      <c r="Y489" s="324" t="str">
        <f t="shared" si="155"/>
        <v>Año 20</v>
      </c>
    </row>
    <row r="490" spans="1:25" s="304" customFormat="1">
      <c r="B490" s="311"/>
      <c r="C490" s="325"/>
      <c r="D490" s="326"/>
      <c r="E490" s="326"/>
      <c r="F490" s="327"/>
      <c r="G490" s="328"/>
      <c r="H490" s="328"/>
      <c r="I490" s="328"/>
      <c r="J490" s="328"/>
      <c r="K490" s="328"/>
      <c r="L490" s="328"/>
      <c r="M490" s="328"/>
      <c r="N490" s="328"/>
      <c r="O490" s="328"/>
      <c r="P490" s="328"/>
      <c r="Q490" s="328"/>
      <c r="R490" s="328"/>
      <c r="S490" s="328"/>
      <c r="T490" s="328"/>
      <c r="U490" s="328"/>
      <c r="V490" s="328"/>
      <c r="W490" s="328"/>
      <c r="X490" s="328"/>
      <c r="Y490" s="328"/>
    </row>
    <row r="491" spans="1:25" s="304" customFormat="1">
      <c r="B491" s="314" t="s">
        <v>285</v>
      </c>
      <c r="C491" s="303"/>
      <c r="F491" s="329">
        <f>1+F467</f>
        <v>1.25</v>
      </c>
      <c r="G491" s="329">
        <f>F491*(1+G467)</f>
        <v>1.5625</v>
      </c>
      <c r="H491" s="329">
        <f t="shared" ref="H491:Y491" si="156">G491*(1+H467)</f>
        <v>1.953125</v>
      </c>
      <c r="I491" s="329">
        <f t="shared" si="156"/>
        <v>2.44140625</v>
      </c>
      <c r="J491" s="329">
        <f t="shared" si="156"/>
        <v>3.0517578125</v>
      </c>
      <c r="K491" s="329">
        <f t="shared" si="156"/>
        <v>3.814697265625</v>
      </c>
      <c r="L491" s="329">
        <f t="shared" si="156"/>
        <v>4.76837158203125</v>
      </c>
      <c r="M491" s="329">
        <f t="shared" si="156"/>
        <v>5.9604644775390625</v>
      </c>
      <c r="N491" s="329">
        <f t="shared" si="156"/>
        <v>7.4505805969238281</v>
      </c>
      <c r="O491" s="329">
        <f t="shared" si="156"/>
        <v>9.3132257461547852</v>
      </c>
      <c r="P491" s="329">
        <f t="shared" si="156"/>
        <v>11.641532182693481</v>
      </c>
      <c r="Q491" s="329">
        <f t="shared" si="156"/>
        <v>14.551915228366852</v>
      </c>
      <c r="R491" s="329">
        <f t="shared" si="156"/>
        <v>18.189894035458565</v>
      </c>
      <c r="S491" s="329">
        <f t="shared" si="156"/>
        <v>22.737367544323206</v>
      </c>
      <c r="T491" s="329">
        <f t="shared" si="156"/>
        <v>28.421709430404007</v>
      </c>
      <c r="U491" s="329">
        <f t="shared" si="156"/>
        <v>35.527136788005009</v>
      </c>
      <c r="V491" s="329">
        <f t="shared" si="156"/>
        <v>44.408920985006262</v>
      </c>
      <c r="W491" s="329">
        <f t="shared" si="156"/>
        <v>55.511151231257827</v>
      </c>
      <c r="X491" s="329">
        <f t="shared" si="156"/>
        <v>69.388939039072284</v>
      </c>
      <c r="Y491" s="329">
        <f t="shared" si="156"/>
        <v>86.736173798840355</v>
      </c>
    </row>
    <row r="492" spans="1:25" s="304" customFormat="1">
      <c r="B492" s="314"/>
      <c r="C492" s="303"/>
      <c r="F492" s="330"/>
      <c r="G492" s="330"/>
      <c r="H492" s="330"/>
      <c r="I492" s="330"/>
      <c r="J492" s="330"/>
      <c r="K492" s="330"/>
      <c r="L492" s="330"/>
      <c r="M492" s="330"/>
      <c r="N492" s="330"/>
      <c r="O492" s="330"/>
      <c r="P492" s="330"/>
      <c r="Q492" s="330"/>
      <c r="R492" s="330"/>
      <c r="S492" s="330"/>
      <c r="T492" s="330"/>
      <c r="U492" s="330"/>
      <c r="V492" s="330"/>
      <c r="W492" s="330"/>
      <c r="X492" s="330"/>
      <c r="Y492" s="330"/>
    </row>
    <row r="493" spans="1:25" s="304" customFormat="1">
      <c r="B493" s="331" t="s">
        <v>286</v>
      </c>
      <c r="C493" s="303"/>
      <c r="F493" s="463">
        <f>+F485/F491</f>
        <v>243248.64997610758</v>
      </c>
      <c r="G493" s="463">
        <f>+G485/G491</f>
        <v>224752.35255112909</v>
      </c>
      <c r="H493" s="463">
        <f t="shared" ref="H493:N493" si="157">+H485/H491</f>
        <v>198342.62129697495</v>
      </c>
      <c r="I493" s="463">
        <f t="shared" si="157"/>
        <v>168714.89398775806</v>
      </c>
      <c r="J493" s="463">
        <f t="shared" si="157"/>
        <v>142261.6481803279</v>
      </c>
      <c r="K493" s="463">
        <f t="shared" si="157"/>
        <v>102179.43941298556</v>
      </c>
      <c r="L493" s="463">
        <f t="shared" si="157"/>
        <v>86494.015464981829</v>
      </c>
      <c r="M493" s="463">
        <f t="shared" si="157"/>
        <v>73234.854887117443</v>
      </c>
      <c r="N493" s="463">
        <f t="shared" si="157"/>
        <v>62023.066636001953</v>
      </c>
      <c r="O493" s="463">
        <f>+O482/O491</f>
        <v>52539.622773406547</v>
      </c>
      <c r="P493" s="463">
        <f t="shared" ref="P493:Y493" si="158">+P482/P491</f>
        <v>41938.786876402541</v>
      </c>
      <c r="Q493" s="463">
        <f t="shared" si="158"/>
        <v>35663.402318512643</v>
      </c>
      <c r="R493" s="463">
        <f t="shared" si="158"/>
        <v>30327.016102789032</v>
      </c>
      <c r="S493" s="463">
        <f t="shared" si="158"/>
        <v>25789.124029296483</v>
      </c>
      <c r="T493" s="463">
        <f t="shared" si="158"/>
        <v>21930.245822544814</v>
      </c>
      <c r="U493" s="463">
        <f t="shared" si="158"/>
        <v>18648.779279625785</v>
      </c>
      <c r="V493" s="463">
        <f t="shared" si="158"/>
        <v>15858.325138456823</v>
      </c>
      <c r="W493" s="463">
        <f t="shared" si="158"/>
        <v>13485.41223133924</v>
      </c>
      <c r="X493" s="463">
        <f t="shared" si="158"/>
        <v>11467.563028339498</v>
      </c>
      <c r="Y493" s="463">
        <f t="shared" si="158"/>
        <v>10784.378135489149</v>
      </c>
    </row>
    <row r="494" spans="1:25" s="304" customFormat="1">
      <c r="B494" s="314"/>
      <c r="C494" s="303"/>
      <c r="F494" s="330"/>
      <c r="G494" s="330"/>
      <c r="H494" s="330"/>
      <c r="I494" s="330"/>
      <c r="J494" s="330"/>
      <c r="K494" s="330"/>
      <c r="L494" s="330"/>
      <c r="M494" s="330"/>
      <c r="N494" s="330"/>
      <c r="O494" s="330"/>
      <c r="P494" s="330"/>
      <c r="Q494" s="330"/>
      <c r="R494" s="330"/>
      <c r="S494" s="330"/>
      <c r="T494" s="330"/>
      <c r="U494" s="330"/>
      <c r="V494" s="330"/>
      <c r="W494" s="330"/>
      <c r="X494" s="330"/>
      <c r="Y494" s="330"/>
    </row>
    <row r="495" spans="1:25" s="304" customFormat="1">
      <c r="B495" s="331" t="s">
        <v>287</v>
      </c>
      <c r="C495" s="332"/>
      <c r="D495" s="395">
        <f>SUM(F493:Y493)</f>
        <v>1579684.1981295866</v>
      </c>
      <c r="F495" s="330"/>
      <c r="G495" s="330"/>
      <c r="H495" s="330"/>
      <c r="I495" s="330"/>
      <c r="J495" s="330"/>
      <c r="K495" s="330"/>
      <c r="L495" s="330"/>
      <c r="M495" s="330"/>
      <c r="N495" s="330"/>
      <c r="O495" s="330"/>
      <c r="P495" s="330"/>
      <c r="Q495" s="330"/>
      <c r="R495" s="330"/>
      <c r="S495" s="330"/>
      <c r="T495" s="330"/>
      <c r="U495" s="330"/>
      <c r="V495" s="330"/>
      <c r="W495" s="330"/>
      <c r="X495" s="330"/>
      <c r="Y495" s="330"/>
    </row>
    <row r="496" spans="1:25" s="304" customFormat="1">
      <c r="B496" s="331"/>
      <c r="C496" s="332"/>
      <c r="D496" s="395"/>
      <c r="F496" s="330"/>
      <c r="G496" s="330"/>
      <c r="H496" s="330"/>
      <c r="I496" s="330"/>
      <c r="J496" s="330"/>
      <c r="K496" s="330"/>
      <c r="L496" s="330"/>
      <c r="M496" s="330"/>
      <c r="N496" s="330"/>
      <c r="O496" s="330"/>
      <c r="P496" s="330"/>
      <c r="Q496" s="330"/>
      <c r="R496" s="330"/>
      <c r="S496" s="330"/>
      <c r="T496" s="330"/>
      <c r="U496" s="330"/>
      <c r="V496" s="330"/>
      <c r="W496" s="330"/>
      <c r="X496" s="330"/>
      <c r="Y496" s="330"/>
    </row>
    <row r="497" spans="1:25" s="304" customFormat="1">
      <c r="B497" s="331" t="s">
        <v>288</v>
      </c>
      <c r="C497" s="332"/>
      <c r="D497" s="395">
        <f>+Y484/Y491</f>
        <v>43137.512541956596</v>
      </c>
      <c r="F497" s="330"/>
      <c r="G497" s="330"/>
      <c r="H497" s="330"/>
      <c r="I497" s="330"/>
      <c r="J497" s="330"/>
      <c r="K497" s="330"/>
      <c r="L497" s="330"/>
      <c r="M497" s="330"/>
      <c r="N497" s="330"/>
      <c r="O497" s="330"/>
      <c r="P497" s="330"/>
      <c r="Q497" s="330"/>
      <c r="R497" s="330"/>
      <c r="S497" s="330"/>
      <c r="T497" s="330"/>
      <c r="U497" s="330"/>
      <c r="V497" s="330"/>
      <c r="W497" s="330"/>
      <c r="X497" s="330"/>
      <c r="Y497" s="330"/>
    </row>
    <row r="498" spans="1:25" s="304" customFormat="1">
      <c r="B498" s="314"/>
      <c r="C498" s="303"/>
      <c r="D498" s="395"/>
      <c r="F498" s="330"/>
      <c r="G498" s="330"/>
      <c r="H498" s="330"/>
      <c r="I498" s="330"/>
      <c r="J498" s="330"/>
      <c r="K498" s="330"/>
      <c r="L498" s="330"/>
      <c r="M498" s="330"/>
      <c r="N498" s="330"/>
      <c r="O498" s="330"/>
      <c r="P498" s="330"/>
      <c r="Q498" s="330"/>
      <c r="R498" s="330"/>
      <c r="S498" s="330"/>
      <c r="T498" s="330"/>
      <c r="U498" s="330"/>
      <c r="V498" s="330"/>
      <c r="W498" s="330"/>
      <c r="X498" s="330"/>
      <c r="Y498" s="330"/>
    </row>
    <row r="499" spans="1:25" s="304" customFormat="1">
      <c r="B499" s="333" t="s">
        <v>289</v>
      </c>
      <c r="C499" s="334"/>
      <c r="D499" s="396">
        <f>SUM(D495:D498)</f>
        <v>1622821.7106715431</v>
      </c>
      <c r="E499" s="319"/>
      <c r="F499" s="335"/>
      <c r="G499" s="335"/>
      <c r="H499" s="335"/>
      <c r="I499" s="335"/>
      <c r="J499" s="335"/>
      <c r="K499" s="335"/>
      <c r="L499" s="335"/>
      <c r="M499" s="335"/>
      <c r="N499" s="335"/>
      <c r="O499" s="335"/>
      <c r="P499" s="335"/>
      <c r="Q499" s="335"/>
      <c r="R499" s="335"/>
      <c r="S499" s="335"/>
      <c r="T499" s="335"/>
      <c r="U499" s="335"/>
      <c r="V499" s="335"/>
      <c r="W499" s="335"/>
      <c r="X499" s="335"/>
      <c r="Y499" s="335"/>
    </row>
    <row r="500" spans="1:25" s="304" customFormat="1">
      <c r="A500" s="303"/>
      <c r="B500" s="303"/>
      <c r="C500" s="320"/>
      <c r="D500" s="320"/>
      <c r="E500" s="320"/>
      <c r="F500" s="320"/>
      <c r="G500" s="320"/>
      <c r="H500" s="320"/>
      <c r="I500" s="320"/>
      <c r="J500" s="320"/>
      <c r="K500" s="320"/>
      <c r="L500" s="320"/>
      <c r="M500" s="320"/>
      <c r="N500" s="320"/>
      <c r="O500" s="320"/>
    </row>
    <row r="501" spans="1:25" s="304" customFormat="1">
      <c r="A501" s="303"/>
      <c r="B501" s="488" t="s">
        <v>290</v>
      </c>
      <c r="C501" s="489"/>
      <c r="D501" s="490"/>
      <c r="E501" s="320"/>
      <c r="F501" s="320"/>
      <c r="G501" s="320"/>
      <c r="H501" s="320"/>
      <c r="I501" s="320"/>
      <c r="J501" s="320"/>
      <c r="K501" s="320"/>
      <c r="L501" s="320"/>
      <c r="M501" s="320"/>
      <c r="N501" s="320"/>
      <c r="O501" s="320"/>
    </row>
    <row r="502" spans="1:25" s="304" customFormat="1">
      <c r="A502" s="303"/>
      <c r="B502" s="336"/>
      <c r="D502" s="337"/>
      <c r="E502" s="320"/>
      <c r="F502" s="320"/>
      <c r="G502" s="320"/>
      <c r="H502" s="320"/>
      <c r="I502" s="320"/>
      <c r="J502" s="320"/>
      <c r="K502" s="320"/>
      <c r="L502" s="320"/>
      <c r="M502" s="320"/>
      <c r="N502" s="320"/>
      <c r="O502" s="320"/>
    </row>
    <row r="503" spans="1:25" s="304" customFormat="1">
      <c r="A503" s="303"/>
      <c r="B503" s="338" t="s">
        <v>291</v>
      </c>
      <c r="D503" s="390">
        <f>+D499</f>
        <v>1622821.7106715431</v>
      </c>
      <c r="E503" s="320"/>
      <c r="F503" s="320"/>
      <c r="G503" s="320"/>
      <c r="H503" s="320"/>
      <c r="I503" s="320"/>
      <c r="J503" s="320"/>
      <c r="K503" s="320"/>
      <c r="L503" s="320"/>
      <c r="M503" s="320"/>
      <c r="N503" s="320"/>
      <c r="O503" s="320"/>
    </row>
    <row r="504" spans="1:25" s="304" customFormat="1">
      <c r="A504" s="303"/>
      <c r="B504" s="338" t="s">
        <v>292</v>
      </c>
      <c r="D504" s="391"/>
      <c r="E504" s="320"/>
      <c r="F504" s="320"/>
      <c r="G504" s="320"/>
      <c r="H504" s="320"/>
      <c r="I504" s="320"/>
      <c r="J504" s="320"/>
      <c r="K504" s="320"/>
      <c r="L504" s="320"/>
      <c r="M504" s="320"/>
      <c r="N504" s="320"/>
      <c r="O504" s="320"/>
    </row>
    <row r="505" spans="1:25" s="304" customFormat="1">
      <c r="A505" s="303"/>
      <c r="B505" s="338" t="s">
        <v>293</v>
      </c>
      <c r="D505" s="390">
        <f>+E381+E386</f>
        <v>0</v>
      </c>
      <c r="E505" s="320"/>
      <c r="F505" s="320"/>
      <c r="G505" s="320"/>
      <c r="H505" s="320"/>
      <c r="I505" s="320"/>
      <c r="J505" s="320"/>
      <c r="K505" s="320"/>
      <c r="L505" s="320"/>
      <c r="M505" s="320"/>
      <c r="N505" s="320"/>
      <c r="O505" s="320"/>
    </row>
    <row r="506" spans="1:25" s="304" customFormat="1">
      <c r="A506" s="303"/>
      <c r="B506" s="338" t="s">
        <v>294</v>
      </c>
      <c r="D506" s="391"/>
      <c r="E506" s="320"/>
      <c r="F506" s="320"/>
      <c r="G506" s="320"/>
      <c r="H506" s="320"/>
      <c r="I506" s="320"/>
      <c r="J506" s="320"/>
      <c r="K506" s="320"/>
      <c r="L506" s="320"/>
      <c r="M506" s="320"/>
      <c r="N506" s="320"/>
      <c r="O506" s="320"/>
    </row>
    <row r="507" spans="1:25" s="304" customFormat="1">
      <c r="A507" s="303"/>
      <c r="B507" s="239" t="s">
        <v>295</v>
      </c>
      <c r="C507" s="339"/>
      <c r="D507" s="392">
        <f>+D503+D504-D505-D506</f>
        <v>1622821.7106715431</v>
      </c>
      <c r="E507" s="320"/>
      <c r="F507" s="320"/>
      <c r="G507" s="320"/>
      <c r="H507" s="320"/>
      <c r="I507" s="320"/>
      <c r="J507" s="320"/>
      <c r="K507" s="320"/>
      <c r="L507" s="320"/>
      <c r="M507" s="320"/>
      <c r="N507" s="320"/>
      <c r="O507" s="320"/>
    </row>
    <row r="508" spans="1:25" s="304" customFormat="1">
      <c r="A508" s="303"/>
      <c r="B508" s="338" t="s">
        <v>296</v>
      </c>
      <c r="D508" s="393">
        <f>+E394</f>
        <v>1891369.125</v>
      </c>
      <c r="E508" s="320"/>
      <c r="F508" s="320"/>
      <c r="G508" s="320"/>
      <c r="H508" s="320"/>
      <c r="I508" s="320"/>
      <c r="J508" s="320"/>
      <c r="K508" s="320"/>
      <c r="L508" s="320"/>
      <c r="M508" s="320"/>
      <c r="N508" s="320"/>
      <c r="O508" s="320"/>
    </row>
    <row r="509" spans="1:25" s="304" customFormat="1">
      <c r="A509" s="303"/>
      <c r="B509" s="340" t="s">
        <v>297</v>
      </c>
      <c r="C509" s="341"/>
      <c r="D509" s="394">
        <f>+D507-D508</f>
        <v>-268547.41432845686</v>
      </c>
      <c r="E509" s="320"/>
      <c r="F509" s="320"/>
      <c r="G509" s="320"/>
      <c r="H509" s="320"/>
      <c r="I509" s="320"/>
      <c r="J509" s="320"/>
      <c r="K509" s="320"/>
      <c r="L509" s="320"/>
      <c r="M509" s="320"/>
      <c r="N509" s="320"/>
      <c r="O509" s="320"/>
    </row>
    <row r="510" spans="1:25" s="304" customFormat="1">
      <c r="A510" s="303"/>
      <c r="B510" s="303"/>
      <c r="C510" s="320"/>
      <c r="D510" s="320"/>
      <c r="E510" s="320"/>
      <c r="F510" s="320"/>
      <c r="G510" s="320"/>
      <c r="H510" s="320"/>
      <c r="I510" s="320"/>
      <c r="J510" s="320"/>
      <c r="K510" s="320"/>
      <c r="L510" s="320"/>
      <c r="M510" s="320"/>
      <c r="N510" s="320"/>
      <c r="O510" s="320"/>
    </row>
  </sheetData>
  <mergeCells count="6">
    <mergeCell ref="B470:C470"/>
    <mergeCell ref="B471:C471"/>
    <mergeCell ref="B472:C472"/>
    <mergeCell ref="B501:D501"/>
    <mergeCell ref="B3:D3"/>
    <mergeCell ref="B30:D30"/>
  </mergeCells>
  <conditionalFormatting sqref="E344:Y344">
    <cfRule type="cellIs" dxfId="2" priority="3" operator="equal">
      <formula>0</formula>
    </cfRule>
  </conditionalFormatting>
  <conditionalFormatting sqref="M398:Y398">
    <cfRule type="cellIs" dxfId="1" priority="2" operator="equal">
      <formula>0</formula>
    </cfRule>
  </conditionalFormatting>
  <conditionalFormatting sqref="E398:L398">
    <cfRule type="cellIs" dxfId="0" priority="1" operator="equal">
      <formula>0</formula>
    </cfRule>
  </conditionalFormatting>
  <printOptions horizontalCentered="1"/>
  <pageMargins left="0.39370078740157483" right="0.39370078740157483" top="0.59055118110236227" bottom="0.59055118110236227" header="0.31496062992125984" footer="0.31496062992125984"/>
  <pageSetup scale="9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I15"/>
  <sheetViews>
    <sheetView showGridLines="0" topLeftCell="A7" workbookViewId="0">
      <selection activeCell="H15" sqref="H15"/>
    </sheetView>
  </sheetViews>
  <sheetFormatPr baseColWidth="10" defaultColWidth="11.42578125" defaultRowHeight="12.75"/>
  <cols>
    <col min="1" max="8" width="11.42578125" style="66"/>
    <col min="9" max="9" width="93.140625" style="66" customWidth="1"/>
    <col min="10" max="16384" width="11.42578125" style="66"/>
  </cols>
  <sheetData>
    <row r="1" spans="9:9">
      <c r="I1" s="198" t="s">
        <v>309</v>
      </c>
    </row>
    <row r="2" spans="9:9" ht="38.25">
      <c r="I2" s="342" t="s">
        <v>298</v>
      </c>
    </row>
    <row r="3" spans="9:9" ht="25.5">
      <c r="I3" s="342" t="s">
        <v>299</v>
      </c>
    </row>
    <row r="4" spans="9:9" ht="26.25" thickBot="1">
      <c r="I4" s="344" t="s">
        <v>300</v>
      </c>
    </row>
    <row r="5" spans="9:9">
      <c r="I5" s="345" t="s">
        <v>310</v>
      </c>
    </row>
    <row r="6" spans="9:9" ht="26.25" thickBot="1">
      <c r="I6" s="344" t="s">
        <v>301</v>
      </c>
    </row>
    <row r="7" spans="9:9">
      <c r="I7" s="345" t="s">
        <v>311</v>
      </c>
    </row>
    <row r="8" spans="9:9" ht="25.5">
      <c r="I8" s="342" t="s">
        <v>302</v>
      </c>
    </row>
    <row r="9" spans="9:9" ht="25.5">
      <c r="I9" s="342" t="s">
        <v>303</v>
      </c>
    </row>
    <row r="10" spans="9:9" ht="25.5">
      <c r="I10" s="342" t="s">
        <v>308</v>
      </c>
    </row>
    <row r="11" spans="9:9">
      <c r="I11" s="342" t="s">
        <v>304</v>
      </c>
    </row>
    <row r="12" spans="9:9" ht="27" customHeight="1">
      <c r="I12" s="342" t="s">
        <v>305</v>
      </c>
    </row>
    <row r="13" spans="9:9" ht="13.5" thickBot="1">
      <c r="I13" s="344" t="s">
        <v>306</v>
      </c>
    </row>
    <row r="14" spans="9:9">
      <c r="I14" s="343" t="s">
        <v>312</v>
      </c>
    </row>
    <row r="15" spans="9:9" ht="51.75" thickBot="1">
      <c r="I15" s="344" t="s">
        <v>307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2:AG38"/>
  <sheetViews>
    <sheetView tabSelected="1" topLeftCell="A15" zoomScaleNormal="100" workbookViewId="0">
      <selection activeCell="AF20" sqref="AF20"/>
    </sheetView>
  </sheetViews>
  <sheetFormatPr baseColWidth="10" defaultColWidth="11.42578125" defaultRowHeight="15"/>
  <cols>
    <col min="1" max="1" width="11.42578125" style="398"/>
    <col min="2" max="2" width="20" style="355" bestFit="1" customWidth="1"/>
    <col min="3" max="4" width="11" style="398" bestFit="1" customWidth="1"/>
    <col min="5" max="5" width="13.140625" style="398" customWidth="1"/>
    <col min="6" max="6" width="11.85546875" style="398" customWidth="1"/>
    <col min="7" max="7" width="12.140625" style="398" customWidth="1"/>
    <col min="8" max="8" width="12.7109375" style="398" customWidth="1"/>
    <col min="9" max="9" width="12.140625" style="398" customWidth="1"/>
    <col min="10" max="10" width="12.7109375" style="398" customWidth="1"/>
    <col min="11" max="22" width="12" style="398" bestFit="1" customWidth="1"/>
    <col min="23" max="25" width="11.42578125" style="398"/>
    <col min="26" max="30" width="10.85546875" style="398" customWidth="1"/>
    <col min="31" max="33" width="10.85546875" style="355" customWidth="1"/>
    <col min="34" max="40" width="10.85546875" style="398" customWidth="1"/>
    <col min="41" max="16384" width="11.42578125" style="398"/>
  </cols>
  <sheetData>
    <row r="2" spans="2:33" ht="31.5">
      <c r="B2" s="497" t="s">
        <v>330</v>
      </c>
      <c r="C2" s="497"/>
      <c r="D2" s="497"/>
      <c r="E2" s="497"/>
      <c r="F2" s="497"/>
      <c r="G2" s="497"/>
      <c r="H2" s="497"/>
      <c r="I2" s="497"/>
      <c r="J2" s="497"/>
      <c r="K2" s="497"/>
      <c r="L2" s="497"/>
      <c r="M2" s="497"/>
      <c r="N2" s="497"/>
      <c r="O2" s="497"/>
      <c r="P2" s="497"/>
      <c r="Q2" s="497"/>
      <c r="R2" s="497"/>
      <c r="S2" s="497"/>
      <c r="T2" s="497"/>
      <c r="U2" s="497"/>
      <c r="V2" s="497"/>
    </row>
    <row r="4" spans="2:33" s="349" customFormat="1">
      <c r="B4" s="352"/>
      <c r="C4" s="352" t="s">
        <v>41</v>
      </c>
      <c r="D4" s="352" t="s">
        <v>42</v>
      </c>
      <c r="E4" s="352" t="s">
        <v>43</v>
      </c>
      <c r="F4" s="352" t="s">
        <v>44</v>
      </c>
      <c r="G4" s="352" t="s">
        <v>45</v>
      </c>
      <c r="H4" s="352" t="s">
        <v>46</v>
      </c>
      <c r="I4" s="352" t="s">
        <v>47</v>
      </c>
      <c r="J4" s="352" t="s">
        <v>48</v>
      </c>
      <c r="K4" s="352" t="s">
        <v>49</v>
      </c>
      <c r="L4" s="352" t="s">
        <v>50</v>
      </c>
      <c r="M4" s="352" t="s">
        <v>51</v>
      </c>
      <c r="N4" s="352" t="s">
        <v>52</v>
      </c>
      <c r="O4" s="352" t="s">
        <v>53</v>
      </c>
      <c r="P4" s="352" t="s">
        <v>54</v>
      </c>
      <c r="Q4" s="352" t="s">
        <v>55</v>
      </c>
      <c r="R4" s="352" t="s">
        <v>56</v>
      </c>
      <c r="S4" s="352" t="s">
        <v>57</v>
      </c>
      <c r="T4" s="352" t="s">
        <v>58</v>
      </c>
      <c r="U4" s="352" t="s">
        <v>59</v>
      </c>
      <c r="V4" s="352" t="s">
        <v>60</v>
      </c>
    </row>
    <row r="5" spans="2:33" ht="12" customHeight="1"/>
    <row r="6" spans="2:33" s="401" customFormat="1">
      <c r="B6" s="399" t="s">
        <v>327</v>
      </c>
      <c r="C6" s="400">
        <f>Bases!E63/1000</f>
        <v>8730.9529999999995</v>
      </c>
      <c r="D6" s="400">
        <f>Bases!F63/1000</f>
        <v>9935.1260377600011</v>
      </c>
      <c r="E6" s="400">
        <f>Bases!G63/1000</f>
        <v>10896.349481913279</v>
      </c>
      <c r="F6" s="400">
        <f>Bases!H63/1000</f>
        <v>11694.310947172753</v>
      </c>
      <c r="G6" s="400">
        <f>Bases!I63/1000</f>
        <v>12478.578216533948</v>
      </c>
      <c r="H6" s="400">
        <f>Bases!J63/1000</f>
        <v>13289.935372172986</v>
      </c>
      <c r="I6" s="400">
        <f>Bases!K63/1000</f>
        <v>14126.669703204996</v>
      </c>
      <c r="J6" s="400">
        <f>Bases!L63/1000</f>
        <v>15016.084827718783</v>
      </c>
      <c r="K6" s="400">
        <f>Bases!M63/1000</f>
        <v>15961.49752847196</v>
      </c>
      <c r="L6" s="400">
        <f>Bases!N63/1000</f>
        <v>16966.433412864553</v>
      </c>
      <c r="M6" s="400">
        <f>Bases!O63/1000</f>
        <v>18034.64006053851</v>
      </c>
      <c r="N6" s="400">
        <f>Bases!P63/1000</f>
        <v>19170.100998750015</v>
      </c>
      <c r="O6" s="400">
        <f>Bases!Q63/1000</f>
        <v>20377.050557631323</v>
      </c>
      <c r="P6" s="400">
        <f>Bases!R63/1000</f>
        <v>21659.98966073979</v>
      </c>
      <c r="Q6" s="400">
        <f>Bases!S63/1000</f>
        <v>23023.702609779968</v>
      </c>
      <c r="R6" s="400">
        <f>Bases!T63/1000</f>
        <v>24473.274926091715</v>
      </c>
      <c r="S6" s="400">
        <f>Bases!U63/1000</f>
        <v>26014.112315438451</v>
      </c>
      <c r="T6" s="400">
        <f>Bases!V63/1000</f>
        <v>27651.96082681846</v>
      </c>
      <c r="U6" s="400">
        <f>Bases!W63/1000</f>
        <v>29392.928280474953</v>
      </c>
      <c r="V6" s="400">
        <f>Bases!X63/1000</f>
        <v>31243.507045013659</v>
      </c>
      <c r="AE6" s="350"/>
      <c r="AF6" s="350"/>
      <c r="AG6" s="350"/>
    </row>
    <row r="7" spans="2:33" s="401" customFormat="1">
      <c r="B7" s="402" t="s">
        <v>325</v>
      </c>
      <c r="C7" s="403"/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3"/>
      <c r="V7" s="403"/>
      <c r="AE7" s="350"/>
      <c r="AF7" s="350"/>
      <c r="AG7" s="350"/>
    </row>
    <row r="8" spans="2:33">
      <c r="B8" s="353" t="s">
        <v>318</v>
      </c>
      <c r="C8" s="404">
        <v>0</v>
      </c>
      <c r="D8" s="404">
        <f>$D$6*$AF8</f>
        <v>119.22151245312001</v>
      </c>
      <c r="E8" s="404">
        <f>$E$6*$AF8</f>
        <v>130.75619378295934</v>
      </c>
      <c r="F8" s="404">
        <f>$F$6*$AF8</f>
        <v>140.33173136607303</v>
      </c>
      <c r="G8" s="404">
        <f>$G$6*$AF8</f>
        <v>149.74293859840736</v>
      </c>
      <c r="H8" s="404">
        <f>$H$6*$AF8</f>
        <v>159.47922446607583</v>
      </c>
      <c r="I8" s="404">
        <f>$I$6*$AF8</f>
        <v>169.52003643845995</v>
      </c>
      <c r="J8" s="404">
        <f>$J$6*$AF8</f>
        <v>180.19301793262539</v>
      </c>
      <c r="K8" s="404">
        <f>$K$6*$AF8</f>
        <v>191.53797034166354</v>
      </c>
      <c r="L8" s="404">
        <f>$L$6*$AF8</f>
        <v>203.59720095437464</v>
      </c>
      <c r="M8" s="404">
        <f>$M$6*$AF8</f>
        <v>216.41568072646211</v>
      </c>
      <c r="N8" s="404">
        <f>$N$6*$AF8</f>
        <v>230.04121198500019</v>
      </c>
      <c r="O8" s="404">
        <f>$O$6*$AF8</f>
        <v>244.52460669157588</v>
      </c>
      <c r="P8" s="404">
        <f>$P$6*$AF8</f>
        <v>259.9198759288775</v>
      </c>
      <c r="Q8" s="404">
        <f>$Q$6*$AF8</f>
        <v>276.28443131735963</v>
      </c>
      <c r="R8" s="404">
        <f>$R$6*$AF8</f>
        <v>293.67929911310057</v>
      </c>
      <c r="S8" s="404">
        <f>$S$6*$AF8</f>
        <v>312.16934778526144</v>
      </c>
      <c r="T8" s="404">
        <f>$T$6*$AF8</f>
        <v>331.82352992182155</v>
      </c>
      <c r="U8" s="404">
        <f>$U$6*$AF8</f>
        <v>352.71513936569943</v>
      </c>
      <c r="V8" s="404">
        <f>$V$6*$AF8</f>
        <v>374.92208454016389</v>
      </c>
      <c r="AE8" s="351"/>
      <c r="AF8" s="405">
        <v>1.2E-2</v>
      </c>
      <c r="AG8" s="355">
        <v>1</v>
      </c>
    </row>
    <row r="9" spans="2:33">
      <c r="B9" s="353" t="s">
        <v>319</v>
      </c>
      <c r="C9" s="404">
        <v>0</v>
      </c>
      <c r="D9" s="404">
        <f>$D$6*$AF9</f>
        <v>298.0537811328</v>
      </c>
      <c r="E9" s="404">
        <f>$E$6*$AF9</f>
        <v>326.89048445739837</v>
      </c>
      <c r="F9" s="404">
        <f t="shared" ref="F9:F19" si="0">$F$6*$AF9</f>
        <v>350.8293284151826</v>
      </c>
      <c r="G9" s="404">
        <f t="shared" ref="G9:G19" si="1">$G$6*$AF9</f>
        <v>374.35734649601841</v>
      </c>
      <c r="H9" s="404">
        <f t="shared" ref="H9:H19" si="2">$H$6*$AF9</f>
        <v>398.69806116518959</v>
      </c>
      <c r="I9" s="404">
        <f t="shared" ref="I9:I19" si="3">$I$6*$AF9</f>
        <v>423.80009109614986</v>
      </c>
      <c r="J9" s="404">
        <f t="shared" ref="J9:J19" si="4">$J$6*$AF9</f>
        <v>450.48254483156347</v>
      </c>
      <c r="K9" s="404">
        <f t="shared" ref="K9:K19" si="5">$K$6*$AF9</f>
        <v>478.84492585415882</v>
      </c>
      <c r="L9" s="404">
        <f t="shared" ref="L9:L19" si="6">$L$6*$AF9</f>
        <v>508.99300238593656</v>
      </c>
      <c r="M9" s="404">
        <f t="shared" ref="M9:M19" si="7">$M$6*$AF9</f>
        <v>541.03920181615524</v>
      </c>
      <c r="N9" s="404">
        <f t="shared" ref="N9:N19" si="8">$N$6*$AF9</f>
        <v>575.10302996250039</v>
      </c>
      <c r="O9" s="404">
        <f t="shared" ref="O9:O19" si="9">$O$6*$AF9</f>
        <v>611.31151672893964</v>
      </c>
      <c r="P9" s="404">
        <f t="shared" ref="P9:P19" si="10">$P$6*$AF9</f>
        <v>649.79968982219361</v>
      </c>
      <c r="Q9" s="404">
        <f t="shared" ref="Q9:Q19" si="11">$Q$6*$AF9</f>
        <v>690.71107829339905</v>
      </c>
      <c r="R9" s="404">
        <f t="shared" ref="R9:R19" si="12">$R$6*$AF9</f>
        <v>734.19824778275142</v>
      </c>
      <c r="S9" s="404">
        <f t="shared" ref="S9:S19" si="13">$S$6*$AF9</f>
        <v>780.42336946315356</v>
      </c>
      <c r="T9" s="404">
        <f t="shared" ref="T9:T19" si="14">$T$6*$AF9</f>
        <v>829.55882480455375</v>
      </c>
      <c r="U9" s="404">
        <f t="shared" ref="U9:U19" si="15">$U$6*$AF9</f>
        <v>881.78784841424851</v>
      </c>
      <c r="V9" s="404">
        <f t="shared" ref="V9:V19" si="16">$V$6*$AF9</f>
        <v>937.30521135040976</v>
      </c>
      <c r="AE9" s="351"/>
      <c r="AF9" s="405">
        <v>0.03</v>
      </c>
      <c r="AG9" s="355">
        <v>2</v>
      </c>
    </row>
    <row r="10" spans="2:33">
      <c r="B10" s="353" t="s">
        <v>320</v>
      </c>
      <c r="C10" s="404">
        <v>0</v>
      </c>
      <c r="D10" s="404">
        <f t="shared" ref="D10:D19" si="17">$D$6*$AF10</f>
        <v>794.81008302080011</v>
      </c>
      <c r="E10" s="404">
        <f t="shared" ref="E10:E19" si="18">$E$6*$AF10</f>
        <v>871.70795855306233</v>
      </c>
      <c r="F10" s="404">
        <f t="shared" si="0"/>
        <v>935.54487577382031</v>
      </c>
      <c r="G10" s="404">
        <f t="shared" si="1"/>
        <v>998.28625732271587</v>
      </c>
      <c r="H10" s="404">
        <f t="shared" si="2"/>
        <v>1063.1948297738388</v>
      </c>
      <c r="I10" s="404">
        <f t="shared" si="3"/>
        <v>1130.1335762563997</v>
      </c>
      <c r="J10" s="404">
        <f t="shared" si="4"/>
        <v>1201.2867862175026</v>
      </c>
      <c r="K10" s="404">
        <f t="shared" si="5"/>
        <v>1276.9198022777568</v>
      </c>
      <c r="L10" s="404">
        <f t="shared" si="6"/>
        <v>1357.3146730291644</v>
      </c>
      <c r="M10" s="404">
        <f t="shared" si="7"/>
        <v>1442.7712048430808</v>
      </c>
      <c r="N10" s="404">
        <f t="shared" si="8"/>
        <v>1533.6080799000013</v>
      </c>
      <c r="O10" s="404">
        <f t="shared" si="9"/>
        <v>1630.1640446105059</v>
      </c>
      <c r="P10" s="404">
        <f t="shared" si="10"/>
        <v>1732.7991728591833</v>
      </c>
      <c r="Q10" s="404">
        <f t="shared" si="11"/>
        <v>1841.8962087823975</v>
      </c>
      <c r="R10" s="404">
        <f t="shared" si="12"/>
        <v>1957.8619940873373</v>
      </c>
      <c r="S10" s="404">
        <f t="shared" si="13"/>
        <v>2081.128985235076</v>
      </c>
      <c r="T10" s="404">
        <f t="shared" si="14"/>
        <v>2212.1568661454767</v>
      </c>
      <c r="U10" s="404">
        <f t="shared" si="15"/>
        <v>2351.4342624379965</v>
      </c>
      <c r="V10" s="404">
        <f t="shared" si="16"/>
        <v>2499.4805636010929</v>
      </c>
      <c r="AE10" s="351"/>
      <c r="AF10" s="405">
        <v>0.08</v>
      </c>
      <c r="AG10" s="355">
        <v>3</v>
      </c>
    </row>
    <row r="11" spans="2:33">
      <c r="B11" s="353" t="s">
        <v>321</v>
      </c>
      <c r="C11" s="404">
        <v>0</v>
      </c>
      <c r="D11" s="404">
        <f t="shared" si="17"/>
        <v>834.55058717184011</v>
      </c>
      <c r="E11" s="404">
        <f t="shared" si="18"/>
        <v>915.29335648071549</v>
      </c>
      <c r="F11" s="404">
        <f t="shared" si="0"/>
        <v>982.32211956251126</v>
      </c>
      <c r="G11" s="404">
        <f t="shared" si="1"/>
        <v>1048.2005701888518</v>
      </c>
      <c r="H11" s="404">
        <f t="shared" si="2"/>
        <v>1116.354571262531</v>
      </c>
      <c r="I11" s="404">
        <f t="shared" si="3"/>
        <v>1186.6402550692198</v>
      </c>
      <c r="J11" s="404">
        <f t="shared" si="4"/>
        <v>1261.3511255283779</v>
      </c>
      <c r="K11" s="404">
        <f t="shared" si="5"/>
        <v>1340.7657923916447</v>
      </c>
      <c r="L11" s="404">
        <f t="shared" si="6"/>
        <v>1425.1804066806226</v>
      </c>
      <c r="M11" s="404">
        <f t="shared" si="7"/>
        <v>1514.909765085235</v>
      </c>
      <c r="N11" s="404">
        <f t="shared" si="8"/>
        <v>1610.2884838950013</v>
      </c>
      <c r="O11" s="404">
        <f t="shared" si="9"/>
        <v>1711.6722468410312</v>
      </c>
      <c r="P11" s="404">
        <f t="shared" si="10"/>
        <v>1819.4391315021423</v>
      </c>
      <c r="Q11" s="404">
        <f t="shared" si="11"/>
        <v>1933.9910192215175</v>
      </c>
      <c r="R11" s="404">
        <f t="shared" si="12"/>
        <v>2055.7550937917044</v>
      </c>
      <c r="S11" s="404">
        <f t="shared" si="13"/>
        <v>2185.1854344968301</v>
      </c>
      <c r="T11" s="404">
        <f t="shared" si="14"/>
        <v>2322.7647094527506</v>
      </c>
      <c r="U11" s="404">
        <f t="shared" si="15"/>
        <v>2469.0059755598963</v>
      </c>
      <c r="V11" s="404">
        <f t="shared" si="16"/>
        <v>2624.4545917811474</v>
      </c>
      <c r="AE11" s="351"/>
      <c r="AF11" s="405">
        <v>8.4000000000000005E-2</v>
      </c>
      <c r="AG11" s="355">
        <v>4</v>
      </c>
    </row>
    <row r="12" spans="2:33">
      <c r="B12" s="353" t="s">
        <v>322</v>
      </c>
      <c r="C12" s="404">
        <v>0</v>
      </c>
      <c r="D12" s="404">
        <f t="shared" si="17"/>
        <v>914.03159547392011</v>
      </c>
      <c r="E12" s="404">
        <f t="shared" si="18"/>
        <v>1002.4641523360217</v>
      </c>
      <c r="F12" s="404">
        <f t="shared" si="0"/>
        <v>1075.8766071398932</v>
      </c>
      <c r="G12" s="404">
        <f t="shared" si="1"/>
        <v>1148.0291959211231</v>
      </c>
      <c r="H12" s="404">
        <f t="shared" si="2"/>
        <v>1222.6740542399148</v>
      </c>
      <c r="I12" s="404">
        <f t="shared" si="3"/>
        <v>1299.6536126948597</v>
      </c>
      <c r="J12" s="404">
        <f t="shared" si="4"/>
        <v>1381.4798041501281</v>
      </c>
      <c r="K12" s="404">
        <f t="shared" si="5"/>
        <v>1468.4577726194202</v>
      </c>
      <c r="L12" s="404">
        <f t="shared" si="6"/>
        <v>1560.911873983539</v>
      </c>
      <c r="M12" s="404">
        <f t="shared" si="7"/>
        <v>1659.1868855695429</v>
      </c>
      <c r="N12" s="404">
        <f t="shared" si="8"/>
        <v>1763.6492918850013</v>
      </c>
      <c r="O12" s="404">
        <f t="shared" si="9"/>
        <v>1874.6886513020816</v>
      </c>
      <c r="P12" s="404">
        <f t="shared" si="10"/>
        <v>1992.7190487880605</v>
      </c>
      <c r="Q12" s="404">
        <f t="shared" si="11"/>
        <v>2118.1806400997571</v>
      </c>
      <c r="R12" s="404">
        <f t="shared" si="12"/>
        <v>2251.5412932004378</v>
      </c>
      <c r="S12" s="404">
        <f t="shared" si="13"/>
        <v>2393.2983330203374</v>
      </c>
      <c r="T12" s="404">
        <f t="shared" si="14"/>
        <v>2543.9803960672984</v>
      </c>
      <c r="U12" s="404">
        <f t="shared" si="15"/>
        <v>2704.1494018036956</v>
      </c>
      <c r="V12" s="404">
        <f t="shared" si="16"/>
        <v>2874.4026481412566</v>
      </c>
      <c r="AE12" s="351"/>
      <c r="AF12" s="405">
        <v>9.1999999999999998E-2</v>
      </c>
      <c r="AG12" s="355">
        <v>5</v>
      </c>
    </row>
    <row r="13" spans="2:33">
      <c r="B13" s="353" t="s">
        <v>323</v>
      </c>
      <c r="C13" s="404">
        <v>0</v>
      </c>
      <c r="D13" s="404">
        <f t="shared" si="17"/>
        <v>894.16134339840005</v>
      </c>
      <c r="E13" s="404">
        <f t="shared" si="18"/>
        <v>980.67145337219506</v>
      </c>
      <c r="F13" s="404">
        <f t="shared" si="0"/>
        <v>1052.4879852455476</v>
      </c>
      <c r="G13" s="404">
        <f t="shared" si="1"/>
        <v>1123.0720394880552</v>
      </c>
      <c r="H13" s="404">
        <f t="shared" si="2"/>
        <v>1196.0941834955686</v>
      </c>
      <c r="I13" s="404">
        <f t="shared" si="3"/>
        <v>1271.4002732884496</v>
      </c>
      <c r="J13" s="404">
        <f t="shared" si="4"/>
        <v>1351.4476344946904</v>
      </c>
      <c r="K13" s="404">
        <f t="shared" si="5"/>
        <v>1436.5347775624764</v>
      </c>
      <c r="L13" s="404">
        <f t="shared" si="6"/>
        <v>1526.9790071578097</v>
      </c>
      <c r="M13" s="404">
        <f t="shared" si="7"/>
        <v>1623.1176054484658</v>
      </c>
      <c r="N13" s="404">
        <f t="shared" si="8"/>
        <v>1725.3090898875012</v>
      </c>
      <c r="O13" s="404">
        <f t="shared" si="9"/>
        <v>1833.934550186819</v>
      </c>
      <c r="P13" s="404">
        <f t="shared" si="10"/>
        <v>1949.3990694665811</v>
      </c>
      <c r="Q13" s="404">
        <f t="shared" si="11"/>
        <v>2072.1332348801971</v>
      </c>
      <c r="R13" s="404">
        <f t="shared" si="12"/>
        <v>2202.5947433482543</v>
      </c>
      <c r="S13" s="404">
        <f t="shared" si="13"/>
        <v>2341.2701083894603</v>
      </c>
      <c r="T13" s="404">
        <f t="shared" si="14"/>
        <v>2488.6764744136613</v>
      </c>
      <c r="U13" s="404">
        <f t="shared" si="15"/>
        <v>2645.3635452427457</v>
      </c>
      <c r="V13" s="404">
        <f t="shared" si="16"/>
        <v>2811.9156340512291</v>
      </c>
      <c r="AE13" s="351"/>
      <c r="AF13" s="405">
        <v>0.09</v>
      </c>
      <c r="AG13" s="355">
        <v>6</v>
      </c>
    </row>
    <row r="14" spans="2:33">
      <c r="B14" s="353" t="s">
        <v>324</v>
      </c>
      <c r="C14" s="404">
        <f>$C$6*AE14</f>
        <v>392.89288499999998</v>
      </c>
      <c r="D14" s="404">
        <f t="shared" si="17"/>
        <v>1092.8638641536002</v>
      </c>
      <c r="E14" s="404">
        <f t="shared" si="18"/>
        <v>1198.5984430104606</v>
      </c>
      <c r="F14" s="404">
        <f t="shared" si="0"/>
        <v>1286.3742041890027</v>
      </c>
      <c r="G14" s="404">
        <f t="shared" si="1"/>
        <v>1372.6436038187342</v>
      </c>
      <c r="H14" s="404">
        <f t="shared" si="2"/>
        <v>1461.8928909390283</v>
      </c>
      <c r="I14" s="404">
        <f t="shared" si="3"/>
        <v>1553.9336673525495</v>
      </c>
      <c r="J14" s="404">
        <f t="shared" si="4"/>
        <v>1651.7693310490661</v>
      </c>
      <c r="K14" s="404">
        <f t="shared" si="5"/>
        <v>1755.7647281319157</v>
      </c>
      <c r="L14" s="404">
        <f t="shared" si="6"/>
        <v>1866.3076754151009</v>
      </c>
      <c r="M14" s="404">
        <f t="shared" si="7"/>
        <v>1983.8104066592362</v>
      </c>
      <c r="N14" s="404">
        <f t="shared" si="8"/>
        <v>2108.7111098625014</v>
      </c>
      <c r="O14" s="404">
        <f t="shared" si="9"/>
        <v>2241.4755613394454</v>
      </c>
      <c r="P14" s="404">
        <f t="shared" si="10"/>
        <v>2382.5988626813769</v>
      </c>
      <c r="Q14" s="404">
        <f t="shared" si="11"/>
        <v>2532.6072870757966</v>
      </c>
      <c r="R14" s="404">
        <f t="shared" si="12"/>
        <v>2692.0602418700887</v>
      </c>
      <c r="S14" s="404">
        <f t="shared" si="13"/>
        <v>2861.5523546982295</v>
      </c>
      <c r="T14" s="404">
        <f t="shared" si="14"/>
        <v>3041.7156909500304</v>
      </c>
      <c r="U14" s="404">
        <f t="shared" si="15"/>
        <v>3233.2221108522449</v>
      </c>
      <c r="V14" s="404">
        <f t="shared" si="16"/>
        <v>3436.7857749515024</v>
      </c>
      <c r="AE14" s="357">
        <v>4.4999999999999998E-2</v>
      </c>
      <c r="AF14" s="405">
        <v>0.11</v>
      </c>
      <c r="AG14" s="355">
        <v>7</v>
      </c>
    </row>
    <row r="15" spans="2:33">
      <c r="B15" s="353" t="s">
        <v>313</v>
      </c>
      <c r="C15" s="404">
        <f t="shared" ref="C15:C19" si="19">$C$6*AE15</f>
        <v>1309.6429499999999</v>
      </c>
      <c r="D15" s="404">
        <f t="shared" si="17"/>
        <v>1142.5394943424001</v>
      </c>
      <c r="E15" s="404">
        <f t="shared" si="18"/>
        <v>1253.0801904200271</v>
      </c>
      <c r="F15" s="404">
        <f t="shared" si="0"/>
        <v>1344.8457589248667</v>
      </c>
      <c r="G15" s="404">
        <f t="shared" si="1"/>
        <v>1435.036494901404</v>
      </c>
      <c r="H15" s="404">
        <f t="shared" si="2"/>
        <v>1528.3425677998935</v>
      </c>
      <c r="I15" s="404">
        <f t="shared" si="3"/>
        <v>1624.5670158685746</v>
      </c>
      <c r="J15" s="404">
        <f t="shared" si="4"/>
        <v>1726.8497551876601</v>
      </c>
      <c r="K15" s="404">
        <f t="shared" si="5"/>
        <v>1835.5722157742755</v>
      </c>
      <c r="L15" s="404">
        <f t="shared" si="6"/>
        <v>1951.1398424794238</v>
      </c>
      <c r="M15" s="404">
        <f t="shared" si="7"/>
        <v>2073.9836069619287</v>
      </c>
      <c r="N15" s="404">
        <f t="shared" si="8"/>
        <v>2204.5616148562517</v>
      </c>
      <c r="O15" s="404">
        <f t="shared" si="9"/>
        <v>2343.3608141276022</v>
      </c>
      <c r="P15" s="404">
        <f t="shared" si="10"/>
        <v>2490.8988109850761</v>
      </c>
      <c r="Q15" s="404">
        <f t="shared" si="11"/>
        <v>2647.7258001246964</v>
      </c>
      <c r="R15" s="404">
        <f t="shared" si="12"/>
        <v>2814.4266165005474</v>
      </c>
      <c r="S15" s="404">
        <f t="shared" si="13"/>
        <v>2991.6229162754221</v>
      </c>
      <c r="T15" s="404">
        <f t="shared" si="14"/>
        <v>3179.9754950841229</v>
      </c>
      <c r="U15" s="404">
        <f t="shared" si="15"/>
        <v>3380.1867522546199</v>
      </c>
      <c r="V15" s="404">
        <f t="shared" si="16"/>
        <v>3593.0033101765712</v>
      </c>
      <c r="AE15" s="357">
        <v>0.15</v>
      </c>
      <c r="AF15" s="405">
        <v>0.115</v>
      </c>
      <c r="AG15" s="355">
        <v>8</v>
      </c>
    </row>
    <row r="16" spans="2:33">
      <c r="B16" s="353" t="s">
        <v>314</v>
      </c>
      <c r="C16" s="404">
        <f t="shared" si="19"/>
        <v>2016.8501429999999</v>
      </c>
      <c r="D16" s="404">
        <f t="shared" si="17"/>
        <v>1241.8907547200001</v>
      </c>
      <c r="E16" s="404">
        <f t="shared" si="18"/>
        <v>1362.0436852391599</v>
      </c>
      <c r="F16" s="404">
        <f t="shared" si="0"/>
        <v>1461.7888683965941</v>
      </c>
      <c r="G16" s="404">
        <f t="shared" si="1"/>
        <v>1559.8222770667435</v>
      </c>
      <c r="H16" s="404">
        <f t="shared" si="2"/>
        <v>1661.2419215216232</v>
      </c>
      <c r="I16" s="404">
        <f t="shared" si="3"/>
        <v>1765.8337129006245</v>
      </c>
      <c r="J16" s="404">
        <f t="shared" si="4"/>
        <v>1877.0106034648479</v>
      </c>
      <c r="K16" s="404">
        <f t="shared" si="5"/>
        <v>1995.187191058995</v>
      </c>
      <c r="L16" s="404">
        <f t="shared" si="6"/>
        <v>2120.8041766080692</v>
      </c>
      <c r="M16" s="404">
        <f t="shared" si="7"/>
        <v>2254.3300075673137</v>
      </c>
      <c r="N16" s="404">
        <f t="shared" si="8"/>
        <v>2396.2626248437518</v>
      </c>
      <c r="O16" s="404">
        <f t="shared" si="9"/>
        <v>2547.1313197039153</v>
      </c>
      <c r="P16" s="404">
        <f t="shared" si="10"/>
        <v>2707.4987075924737</v>
      </c>
      <c r="Q16" s="404">
        <f t="shared" si="11"/>
        <v>2877.962826222496</v>
      </c>
      <c r="R16" s="404">
        <f t="shared" si="12"/>
        <v>3059.1593657614644</v>
      </c>
      <c r="S16" s="404">
        <f t="shared" si="13"/>
        <v>3251.7640394298064</v>
      </c>
      <c r="T16" s="404">
        <f t="shared" si="14"/>
        <v>3456.4951033523075</v>
      </c>
      <c r="U16" s="404">
        <f t="shared" si="15"/>
        <v>3674.1160350593691</v>
      </c>
      <c r="V16" s="404">
        <f t="shared" si="16"/>
        <v>3905.4383806267074</v>
      </c>
      <c r="AE16" s="357">
        <v>0.23100000000000001</v>
      </c>
      <c r="AF16" s="405">
        <v>0.125</v>
      </c>
      <c r="AG16" s="355">
        <v>9</v>
      </c>
    </row>
    <row r="17" spans="2:33">
      <c r="B17" s="353" t="s">
        <v>315</v>
      </c>
      <c r="C17" s="404">
        <f t="shared" si="19"/>
        <v>2095.4287199999999</v>
      </c>
      <c r="D17" s="404">
        <f t="shared" si="17"/>
        <v>1222.0205026444801</v>
      </c>
      <c r="E17" s="404">
        <f t="shared" si="18"/>
        <v>1340.2509862753334</v>
      </c>
      <c r="F17" s="404">
        <f t="shared" si="0"/>
        <v>1438.4002465022486</v>
      </c>
      <c r="G17" s="404">
        <f t="shared" si="1"/>
        <v>1534.8651206336756</v>
      </c>
      <c r="H17" s="404">
        <f t="shared" si="2"/>
        <v>1634.6620507772773</v>
      </c>
      <c r="I17" s="404">
        <f t="shared" si="3"/>
        <v>1737.5803734942144</v>
      </c>
      <c r="J17" s="404">
        <f t="shared" si="4"/>
        <v>1846.9784338094103</v>
      </c>
      <c r="K17" s="404">
        <f t="shared" si="5"/>
        <v>1963.264196002051</v>
      </c>
      <c r="L17" s="404">
        <f t="shared" si="6"/>
        <v>2086.8713097823402</v>
      </c>
      <c r="M17" s="404">
        <f t="shared" si="7"/>
        <v>2218.2607274462366</v>
      </c>
      <c r="N17" s="404">
        <f t="shared" si="8"/>
        <v>2357.9224228462517</v>
      </c>
      <c r="O17" s="404">
        <f t="shared" si="9"/>
        <v>2506.3772185886528</v>
      </c>
      <c r="P17" s="404">
        <f t="shared" si="10"/>
        <v>2664.1787282709943</v>
      </c>
      <c r="Q17" s="404">
        <f t="shared" si="11"/>
        <v>2831.915421002936</v>
      </c>
      <c r="R17" s="404">
        <f t="shared" si="12"/>
        <v>3010.2128159092808</v>
      </c>
      <c r="S17" s="404">
        <f t="shared" si="13"/>
        <v>3199.7358147989294</v>
      </c>
      <c r="T17" s="404">
        <f t="shared" si="14"/>
        <v>3401.1911816986703</v>
      </c>
      <c r="U17" s="404">
        <f t="shared" si="15"/>
        <v>3615.3301784984192</v>
      </c>
      <c r="V17" s="404">
        <f t="shared" si="16"/>
        <v>3842.9513665366799</v>
      </c>
      <c r="AE17" s="357">
        <v>0.24</v>
      </c>
      <c r="AF17" s="405">
        <v>0.123</v>
      </c>
      <c r="AG17" s="355">
        <v>10</v>
      </c>
    </row>
    <row r="18" spans="2:33">
      <c r="B18" s="353" t="s">
        <v>316</v>
      </c>
      <c r="C18" s="404">
        <f t="shared" si="19"/>
        <v>2043.0430020000001</v>
      </c>
      <c r="D18" s="404">
        <f t="shared" si="17"/>
        <v>904.09646943616008</v>
      </c>
      <c r="E18" s="404">
        <f t="shared" si="18"/>
        <v>991.56780285410844</v>
      </c>
      <c r="F18" s="404">
        <f t="shared" si="0"/>
        <v>1064.1822961927205</v>
      </c>
      <c r="G18" s="404">
        <f t="shared" si="1"/>
        <v>1135.5506177045893</v>
      </c>
      <c r="H18" s="404">
        <f t="shared" si="2"/>
        <v>1209.3841188677416</v>
      </c>
      <c r="I18" s="404">
        <f t="shared" si="3"/>
        <v>1285.5269429916546</v>
      </c>
      <c r="J18" s="404">
        <f t="shared" si="4"/>
        <v>1366.4637193224094</v>
      </c>
      <c r="K18" s="404">
        <f t="shared" si="5"/>
        <v>1452.4962750909483</v>
      </c>
      <c r="L18" s="404">
        <f t="shared" si="6"/>
        <v>1543.9454405706742</v>
      </c>
      <c r="M18" s="404">
        <f t="shared" si="7"/>
        <v>1641.1522455090044</v>
      </c>
      <c r="N18" s="404">
        <f t="shared" si="8"/>
        <v>1744.4791908862512</v>
      </c>
      <c r="O18" s="404">
        <f t="shared" si="9"/>
        <v>1854.3116007444503</v>
      </c>
      <c r="P18" s="404">
        <f t="shared" si="10"/>
        <v>1971.0590591273208</v>
      </c>
      <c r="Q18" s="404">
        <f t="shared" si="11"/>
        <v>2095.1569374899768</v>
      </c>
      <c r="R18" s="404">
        <f t="shared" si="12"/>
        <v>2227.0680182743458</v>
      </c>
      <c r="S18" s="404">
        <f t="shared" si="13"/>
        <v>2367.2842207048989</v>
      </c>
      <c r="T18" s="404">
        <f t="shared" si="14"/>
        <v>2516.3284352404798</v>
      </c>
      <c r="U18" s="404">
        <f t="shared" si="15"/>
        <v>2674.7564735232208</v>
      </c>
      <c r="V18" s="404">
        <f t="shared" si="16"/>
        <v>2843.1591410962428</v>
      </c>
      <c r="AE18" s="357">
        <v>0.23400000000000001</v>
      </c>
      <c r="AF18" s="405">
        <v>9.0999999999999998E-2</v>
      </c>
      <c r="AG18" s="355">
        <v>11</v>
      </c>
    </row>
    <row r="19" spans="2:33">
      <c r="B19" s="353" t="s">
        <v>317</v>
      </c>
      <c r="C19" s="404">
        <f t="shared" si="19"/>
        <v>873.09529999999995</v>
      </c>
      <c r="D19" s="404">
        <f t="shared" si="17"/>
        <v>476.88604981248005</v>
      </c>
      <c r="E19" s="404">
        <f t="shared" si="18"/>
        <v>523.02477513183737</v>
      </c>
      <c r="F19" s="404">
        <f t="shared" si="0"/>
        <v>561.32692546429212</v>
      </c>
      <c r="G19" s="404">
        <f t="shared" si="1"/>
        <v>598.97175439362945</v>
      </c>
      <c r="H19" s="404">
        <f t="shared" si="2"/>
        <v>637.91689786430334</v>
      </c>
      <c r="I19" s="404">
        <f t="shared" si="3"/>
        <v>678.08014575383982</v>
      </c>
      <c r="J19" s="404">
        <f t="shared" si="4"/>
        <v>720.77207173050158</v>
      </c>
      <c r="K19" s="404">
        <f t="shared" si="5"/>
        <v>766.15188136665415</v>
      </c>
      <c r="L19" s="404">
        <f t="shared" si="6"/>
        <v>814.38880381749857</v>
      </c>
      <c r="M19" s="404">
        <f t="shared" si="7"/>
        <v>865.66272290584845</v>
      </c>
      <c r="N19" s="404">
        <f t="shared" si="8"/>
        <v>920.16484794000075</v>
      </c>
      <c r="O19" s="404">
        <f t="shared" si="9"/>
        <v>978.09842676630353</v>
      </c>
      <c r="P19" s="404">
        <f t="shared" si="10"/>
        <v>1039.67950371551</v>
      </c>
      <c r="Q19" s="404">
        <f t="shared" si="11"/>
        <v>1105.1377252694385</v>
      </c>
      <c r="R19" s="404">
        <f t="shared" si="12"/>
        <v>1174.7171964524023</v>
      </c>
      <c r="S19" s="404">
        <f t="shared" si="13"/>
        <v>1248.6773911410457</v>
      </c>
      <c r="T19" s="404">
        <f t="shared" si="14"/>
        <v>1327.2941196872862</v>
      </c>
      <c r="U19" s="404">
        <f t="shared" si="15"/>
        <v>1410.8605574627977</v>
      </c>
      <c r="V19" s="404">
        <f t="shared" si="16"/>
        <v>1499.6883381606556</v>
      </c>
      <c r="AE19" s="357">
        <v>0.1</v>
      </c>
      <c r="AF19" s="405">
        <v>4.8000000000000001E-2</v>
      </c>
      <c r="AG19" s="355">
        <v>12</v>
      </c>
    </row>
    <row r="20" spans="2:33">
      <c r="B20" s="406" t="s">
        <v>326</v>
      </c>
      <c r="C20" s="407">
        <f>SUM(C8:C19)</f>
        <v>8730.9530000000013</v>
      </c>
      <c r="D20" s="407">
        <f>SUM(D8:D19)</f>
        <v>9935.1260377599992</v>
      </c>
      <c r="E20" s="407">
        <f t="shared" ref="E20:V20" si="20">SUM(E8:E19)</f>
        <v>10896.349481913279</v>
      </c>
      <c r="F20" s="407">
        <f t="shared" si="20"/>
        <v>11694.310947172753</v>
      </c>
      <c r="G20" s="407">
        <f t="shared" si="20"/>
        <v>12478.57821653395</v>
      </c>
      <c r="H20" s="407">
        <f t="shared" si="20"/>
        <v>13289.935372172984</v>
      </c>
      <c r="I20" s="407">
        <f t="shared" si="20"/>
        <v>14126.669703204998</v>
      </c>
      <c r="J20" s="407">
        <f t="shared" si="20"/>
        <v>15016.084827718785</v>
      </c>
      <c r="K20" s="407">
        <f t="shared" si="20"/>
        <v>15961.497528471959</v>
      </c>
      <c r="L20" s="407">
        <f t="shared" si="20"/>
        <v>16966.433412864553</v>
      </c>
      <c r="M20" s="407">
        <f t="shared" si="20"/>
        <v>18034.64006053851</v>
      </c>
      <c r="N20" s="407">
        <f t="shared" si="20"/>
        <v>19170.100998750011</v>
      </c>
      <c r="O20" s="407">
        <f t="shared" si="20"/>
        <v>20377.050557631326</v>
      </c>
      <c r="P20" s="407">
        <f t="shared" si="20"/>
        <v>21659.98966073979</v>
      </c>
      <c r="Q20" s="407">
        <f t="shared" si="20"/>
        <v>23023.702609779972</v>
      </c>
      <c r="R20" s="407">
        <f t="shared" si="20"/>
        <v>24473.274926091719</v>
      </c>
      <c r="S20" s="407">
        <f t="shared" si="20"/>
        <v>26014.112315438451</v>
      </c>
      <c r="T20" s="407">
        <f t="shared" si="20"/>
        <v>27651.96082681846</v>
      </c>
      <c r="U20" s="407">
        <f t="shared" si="20"/>
        <v>29392.928280474949</v>
      </c>
      <c r="V20" s="407">
        <f t="shared" si="20"/>
        <v>31243.507045013659</v>
      </c>
      <c r="AE20" s="356">
        <f>SUM(AE14:AE19)</f>
        <v>1</v>
      </c>
      <c r="AF20" s="408">
        <f>SUM(AF8:AF19)</f>
        <v>1</v>
      </c>
    </row>
    <row r="22" spans="2:33" s="401" customFormat="1">
      <c r="B22" s="399" t="s">
        <v>328</v>
      </c>
      <c r="C22" s="400">
        <f>(Bases!E75+Bases!E87)/1000</f>
        <v>8328.8068788240907</v>
      </c>
      <c r="D22" s="400">
        <f>(Bases!F75+Bases!F87)/1000</f>
        <v>9477.5159235515112</v>
      </c>
      <c r="E22" s="400">
        <f>(Bases!G75+Bases!G87)/1000</f>
        <v>10394.465589155119</v>
      </c>
      <c r="F22" s="400">
        <f>(Bases!H75+Bases!H87)/1000</f>
        <v>11155.673093180127</v>
      </c>
      <c r="G22" s="400">
        <f>(Bases!I75+Bases!I87)/1000</f>
        <v>11903.817153501161</v>
      </c>
      <c r="H22" s="400">
        <f>(Bases!J75+Bases!J87)/1000</f>
        <v>12677.803344821805</v>
      </c>
      <c r="I22" s="400">
        <f>(Bases!K75+Bases!K87)/1000</f>
        <v>13475.997843411784</v>
      </c>
      <c r="J22" s="400">
        <f>(Bases!L75+Bases!L87)/1000</f>
        <v>14324.446667632994</v>
      </c>
      <c r="K22" s="400">
        <f>(Bases!M75+Bases!M87)/1000</f>
        <v>15226.313829827168</v>
      </c>
      <c r="L22" s="400">
        <f>(Bases!N75+Bases!N87)/1000</f>
        <v>16184.962548553087</v>
      </c>
      <c r="M22" s="400">
        <f>(Bases!O75+Bases!O87)/1000</f>
        <v>17203.96779060999</v>
      </c>
      <c r="N22" s="400">
        <f>(Bases!P75+Bases!P87)/1000</f>
        <v>18287.129602706798</v>
      </c>
      <c r="O22" s="400">
        <f>(Bases!Q75+Bases!Q87)/1000</f>
        <v>19438.487282493217</v>
      </c>
      <c r="P22" s="400">
        <f>(Bases!R75+Bases!R87)/1000</f>
        <v>20662.334441798997</v>
      </c>
      <c r="Q22" s="400">
        <f>(Bases!S75+Bases!S87)/1000</f>
        <v>21963.235018254662</v>
      </c>
      <c r="R22" s="400">
        <f>(Bases!T75+Bases!T87)/1000</f>
        <v>23346.040295003972</v>
      </c>
      <c r="S22" s="400">
        <f>(Bases!U75+Bases!U87)/1000</f>
        <v>24815.906991977427</v>
      </c>
      <c r="T22" s="400">
        <f>(Bases!V75+Bases!V87)/1000</f>
        <v>26378.316496192328</v>
      </c>
      <c r="U22" s="400">
        <f>(Bases!W75+Bases!W87)/1000</f>
        <v>28039.095302792601</v>
      </c>
      <c r="V22" s="400">
        <f>(Bases!X75+Bases!X87)/1000</f>
        <v>29804.436743056427</v>
      </c>
      <c r="AE22" s="350"/>
      <c r="AF22" s="350"/>
      <c r="AG22" s="350"/>
    </row>
    <row r="23" spans="2:33" s="401" customFormat="1">
      <c r="B23" s="402" t="s">
        <v>325</v>
      </c>
      <c r="C23" s="404"/>
      <c r="D23" s="404"/>
      <c r="E23" s="404"/>
      <c r="F23" s="404"/>
      <c r="G23" s="404"/>
      <c r="H23" s="404"/>
      <c r="I23" s="404"/>
      <c r="J23" s="404"/>
      <c r="K23" s="404"/>
      <c r="L23" s="404"/>
      <c r="M23" s="404"/>
      <c r="N23" s="404"/>
      <c r="O23" s="404"/>
      <c r="P23" s="404"/>
      <c r="Q23" s="404"/>
      <c r="R23" s="404"/>
      <c r="S23" s="404"/>
      <c r="T23" s="404"/>
      <c r="U23" s="404"/>
      <c r="V23" s="404"/>
      <c r="AE23" s="350"/>
      <c r="AF23" s="350"/>
      <c r="AG23" s="350"/>
    </row>
    <row r="24" spans="2:33">
      <c r="B24" s="353" t="s">
        <v>318</v>
      </c>
      <c r="C24" s="404">
        <v>0</v>
      </c>
      <c r="D24" s="404">
        <f>$D$22*$AF24</f>
        <v>113.73019108261813</v>
      </c>
      <c r="E24" s="404">
        <f>$E$22*$AF24</f>
        <v>124.73358706986143</v>
      </c>
      <c r="F24" s="404">
        <f>$F$22*$AF24</f>
        <v>133.86807711816152</v>
      </c>
      <c r="G24" s="404">
        <f>$G$22*$AF24</f>
        <v>142.84580584201393</v>
      </c>
      <c r="H24" s="404">
        <f>$H$22*$AF24</f>
        <v>152.13364013786165</v>
      </c>
      <c r="I24" s="404">
        <f>$I$22*$AF24</f>
        <v>161.71197412094142</v>
      </c>
      <c r="J24" s="404">
        <f>$J$22*$AF24</f>
        <v>171.89336001159592</v>
      </c>
      <c r="K24" s="404">
        <f>$K$22*$AF24</f>
        <v>182.71576595792601</v>
      </c>
      <c r="L24" s="404">
        <f>$L$22*$AF24</f>
        <v>194.21955058263705</v>
      </c>
      <c r="M24" s="404">
        <f>$M$22*$AF24</f>
        <v>206.44761348731987</v>
      </c>
      <c r="N24" s="404">
        <f>$N$22*$AF24</f>
        <v>219.44555523248158</v>
      </c>
      <c r="O24" s="404">
        <f>$O$22*$AF24</f>
        <v>233.26184738991861</v>
      </c>
      <c r="P24" s="404">
        <f>$P$22*$AF24</f>
        <v>247.94801330158796</v>
      </c>
      <c r="Q24" s="404">
        <f>$Q$22*$AF24</f>
        <v>263.55882021905592</v>
      </c>
      <c r="R24" s="404">
        <f>$R$22*$AF24</f>
        <v>280.15248354004768</v>
      </c>
      <c r="S24" s="404">
        <f>$S$22*$AF24</f>
        <v>297.79088390372914</v>
      </c>
      <c r="T24" s="404">
        <f>$T$22*$AF24</f>
        <v>316.53979795430797</v>
      </c>
      <c r="U24" s="404">
        <f>$U$22*$AF24</f>
        <v>336.46914363351124</v>
      </c>
      <c r="V24" s="404">
        <f>$V$22*$AF24</f>
        <v>357.65324091667713</v>
      </c>
      <c r="AE24" s="351"/>
      <c r="AF24" s="405">
        <f>AF8</f>
        <v>1.2E-2</v>
      </c>
    </row>
    <row r="25" spans="2:33">
      <c r="B25" s="353" t="s">
        <v>319</v>
      </c>
      <c r="C25" s="404">
        <v>0</v>
      </c>
      <c r="D25" s="404">
        <f t="shared" ref="D25:D35" si="21">$D$22*$AF25</f>
        <v>284.32547770654531</v>
      </c>
      <c r="E25" s="404">
        <f t="shared" ref="E25:E35" si="22">$E$22*$AF25</f>
        <v>311.83396767465359</v>
      </c>
      <c r="F25" s="404">
        <f t="shared" ref="F25:F35" si="23">$F$22*$AF25</f>
        <v>334.67019279540381</v>
      </c>
      <c r="G25" s="404">
        <f t="shared" ref="G25:G35" si="24">$G$22*$AF25</f>
        <v>357.1145146050348</v>
      </c>
      <c r="H25" s="404">
        <f t="shared" ref="H25:H35" si="25">$H$22*$AF25</f>
        <v>380.33410034465413</v>
      </c>
      <c r="I25" s="404">
        <f t="shared" ref="I25:I35" si="26">$I$22*$AF25</f>
        <v>404.27993530235352</v>
      </c>
      <c r="J25" s="404">
        <f t="shared" ref="J25:J35" si="27">$J$22*$AF25</f>
        <v>429.73340002898982</v>
      </c>
      <c r="K25" s="404">
        <f t="shared" ref="K25:K35" si="28">$K$22*$AF25</f>
        <v>456.78941489481502</v>
      </c>
      <c r="L25" s="404">
        <f t="shared" ref="L25:L35" si="29">$L$22*$AF25</f>
        <v>485.54887645659261</v>
      </c>
      <c r="M25" s="404">
        <f t="shared" ref="M25:M35" si="30">$M$22*$AF25</f>
        <v>516.11903371829965</v>
      </c>
      <c r="N25" s="404">
        <f t="shared" ref="N25:N35" si="31">$N$22*$AF25</f>
        <v>548.61388808120398</v>
      </c>
      <c r="O25" s="404">
        <f t="shared" ref="O25:O35" si="32">$O$22*$AF25</f>
        <v>583.15461847479651</v>
      </c>
      <c r="P25" s="404">
        <f t="shared" ref="P25:P35" si="33">$P$22*$AF25</f>
        <v>619.87003325396995</v>
      </c>
      <c r="Q25" s="404">
        <f t="shared" ref="Q25:Q35" si="34">$Q$22*$AF25</f>
        <v>658.89705054763988</v>
      </c>
      <c r="R25" s="404">
        <f t="shared" ref="R25:R35" si="35">$R$22*$AF25</f>
        <v>700.38120885011915</v>
      </c>
      <c r="S25" s="404">
        <f t="shared" ref="S25:S35" si="36">$S$22*$AF25</f>
        <v>744.47720975932282</v>
      </c>
      <c r="T25" s="404">
        <f t="shared" ref="T25:T35" si="37">$T$22*$AF25</f>
        <v>791.34949488576979</v>
      </c>
      <c r="U25" s="404">
        <f t="shared" ref="U25:U35" si="38">$U$22*$AF25</f>
        <v>841.17285908377801</v>
      </c>
      <c r="V25" s="404">
        <f t="shared" ref="V25:V35" si="39">$V$22*$AF25</f>
        <v>894.13310229169281</v>
      </c>
      <c r="AE25" s="351"/>
      <c r="AF25" s="405">
        <f t="shared" ref="AF25:AF35" si="40">AF9</f>
        <v>0.03</v>
      </c>
    </row>
    <row r="26" spans="2:33">
      <c r="B26" s="353" t="s">
        <v>320</v>
      </c>
      <c r="C26" s="404">
        <v>0</v>
      </c>
      <c r="D26" s="404">
        <f t="shared" si="21"/>
        <v>758.20127388412095</v>
      </c>
      <c r="E26" s="404">
        <f t="shared" si="22"/>
        <v>831.55724713240954</v>
      </c>
      <c r="F26" s="404">
        <f t="shared" si="23"/>
        <v>892.45384745441015</v>
      </c>
      <c r="G26" s="404">
        <f t="shared" si="24"/>
        <v>952.30537228009291</v>
      </c>
      <c r="H26" s="404">
        <f t="shared" si="25"/>
        <v>1014.2242675857444</v>
      </c>
      <c r="I26" s="404">
        <f t="shared" si="26"/>
        <v>1078.0798274729427</v>
      </c>
      <c r="J26" s="404">
        <f t="shared" si="27"/>
        <v>1145.9557334106396</v>
      </c>
      <c r="K26" s="404">
        <f t="shared" si="28"/>
        <v>1218.1051063861735</v>
      </c>
      <c r="L26" s="404">
        <f t="shared" si="29"/>
        <v>1294.797003884247</v>
      </c>
      <c r="M26" s="404">
        <f t="shared" si="30"/>
        <v>1376.3174232487993</v>
      </c>
      <c r="N26" s="404">
        <f t="shared" si="31"/>
        <v>1462.9703682165439</v>
      </c>
      <c r="O26" s="404">
        <f t="shared" si="32"/>
        <v>1555.0789825994575</v>
      </c>
      <c r="P26" s="404">
        <f t="shared" si="33"/>
        <v>1652.9867553439199</v>
      </c>
      <c r="Q26" s="404">
        <f t="shared" si="34"/>
        <v>1757.0588014603729</v>
      </c>
      <c r="R26" s="404">
        <f t="shared" si="35"/>
        <v>1867.6832236003177</v>
      </c>
      <c r="S26" s="404">
        <f t="shared" si="36"/>
        <v>1985.2725593581943</v>
      </c>
      <c r="T26" s="404">
        <f t="shared" si="37"/>
        <v>2110.2653196953861</v>
      </c>
      <c r="U26" s="404">
        <f t="shared" si="38"/>
        <v>2243.127624223408</v>
      </c>
      <c r="V26" s="404">
        <f t="shared" si="39"/>
        <v>2384.354939444514</v>
      </c>
      <c r="AE26" s="351"/>
      <c r="AF26" s="405">
        <f t="shared" si="40"/>
        <v>0.08</v>
      </c>
    </row>
    <row r="27" spans="2:33">
      <c r="B27" s="353" t="s">
        <v>321</v>
      </c>
      <c r="C27" s="404">
        <v>0</v>
      </c>
      <c r="D27" s="404">
        <f t="shared" si="21"/>
        <v>796.11133757832704</v>
      </c>
      <c r="E27" s="404">
        <f t="shared" si="22"/>
        <v>873.13510948903001</v>
      </c>
      <c r="F27" s="404">
        <f t="shared" si="23"/>
        <v>937.07653982713066</v>
      </c>
      <c r="G27" s="404">
        <f t="shared" si="24"/>
        <v>999.92064089409757</v>
      </c>
      <c r="H27" s="404">
        <f t="shared" si="25"/>
        <v>1064.9354809650317</v>
      </c>
      <c r="I27" s="404">
        <f t="shared" si="26"/>
        <v>1131.9838188465899</v>
      </c>
      <c r="J27" s="404">
        <f t="shared" si="27"/>
        <v>1203.2535200811715</v>
      </c>
      <c r="K27" s="404">
        <f t="shared" si="28"/>
        <v>1279.0103617054822</v>
      </c>
      <c r="L27" s="404">
        <f t="shared" si="29"/>
        <v>1359.5368540784593</v>
      </c>
      <c r="M27" s="404">
        <f t="shared" si="30"/>
        <v>1445.1332944112391</v>
      </c>
      <c r="N27" s="404">
        <f t="shared" si="31"/>
        <v>1536.1188866273712</v>
      </c>
      <c r="O27" s="404">
        <f t="shared" si="32"/>
        <v>1632.8329317294304</v>
      </c>
      <c r="P27" s="404">
        <f t="shared" si="33"/>
        <v>1735.636093111116</v>
      </c>
      <c r="Q27" s="404">
        <f t="shared" si="34"/>
        <v>1844.9117415333917</v>
      </c>
      <c r="R27" s="404">
        <f t="shared" si="35"/>
        <v>1961.0673847803337</v>
      </c>
      <c r="S27" s="404">
        <f t="shared" si="36"/>
        <v>2084.536187326104</v>
      </c>
      <c r="T27" s="404">
        <f t="shared" si="37"/>
        <v>2215.7785856801556</v>
      </c>
      <c r="U27" s="404">
        <f t="shared" si="38"/>
        <v>2355.2840054345788</v>
      </c>
      <c r="V27" s="404">
        <f t="shared" si="39"/>
        <v>2503.57268641674</v>
      </c>
      <c r="AE27" s="351"/>
      <c r="AF27" s="405">
        <f t="shared" si="40"/>
        <v>8.4000000000000005E-2</v>
      </c>
    </row>
    <row r="28" spans="2:33">
      <c r="B28" s="353" t="s">
        <v>322</v>
      </c>
      <c r="C28" s="404">
        <v>0</v>
      </c>
      <c r="D28" s="404">
        <f t="shared" si="21"/>
        <v>871.93146496673899</v>
      </c>
      <c r="E28" s="404">
        <f t="shared" si="22"/>
        <v>956.29083420227096</v>
      </c>
      <c r="F28" s="404">
        <f t="shared" si="23"/>
        <v>1026.3219245725716</v>
      </c>
      <c r="G28" s="404">
        <f t="shared" si="24"/>
        <v>1095.1511781221068</v>
      </c>
      <c r="H28" s="404">
        <f t="shared" si="25"/>
        <v>1166.3579077236061</v>
      </c>
      <c r="I28" s="404">
        <f t="shared" si="26"/>
        <v>1239.7918015938842</v>
      </c>
      <c r="J28" s="404">
        <f t="shared" si="27"/>
        <v>1317.8490934222355</v>
      </c>
      <c r="K28" s="404">
        <f t="shared" si="28"/>
        <v>1400.8208723440994</v>
      </c>
      <c r="L28" s="404">
        <f t="shared" si="29"/>
        <v>1489.0165544668839</v>
      </c>
      <c r="M28" s="404">
        <f t="shared" si="30"/>
        <v>1582.7650367361191</v>
      </c>
      <c r="N28" s="404">
        <f t="shared" si="31"/>
        <v>1682.4159234490255</v>
      </c>
      <c r="O28" s="404">
        <f t="shared" si="32"/>
        <v>1788.3408299893761</v>
      </c>
      <c r="P28" s="404">
        <f t="shared" si="33"/>
        <v>1900.9347686455078</v>
      </c>
      <c r="Q28" s="404">
        <f t="shared" si="34"/>
        <v>2020.6176216794288</v>
      </c>
      <c r="R28" s="404">
        <f t="shared" si="35"/>
        <v>2147.8357071403652</v>
      </c>
      <c r="S28" s="404">
        <f t="shared" si="36"/>
        <v>2283.0634432619231</v>
      </c>
      <c r="T28" s="404">
        <f t="shared" si="37"/>
        <v>2426.8051176496942</v>
      </c>
      <c r="U28" s="404">
        <f t="shared" si="38"/>
        <v>2579.5967678569191</v>
      </c>
      <c r="V28" s="404">
        <f t="shared" si="39"/>
        <v>2742.0081803611911</v>
      </c>
      <c r="AE28" s="351"/>
      <c r="AF28" s="405">
        <f t="shared" si="40"/>
        <v>9.1999999999999998E-2</v>
      </c>
    </row>
    <row r="29" spans="2:33">
      <c r="B29" s="353" t="s">
        <v>323</v>
      </c>
      <c r="C29" s="404">
        <v>0</v>
      </c>
      <c r="D29" s="404">
        <f t="shared" si="21"/>
        <v>852.976433119636</v>
      </c>
      <c r="E29" s="404">
        <f t="shared" si="22"/>
        <v>935.50190302396072</v>
      </c>
      <c r="F29" s="404">
        <f t="shared" si="23"/>
        <v>1004.0105783862114</v>
      </c>
      <c r="G29" s="404">
        <f t="shared" si="24"/>
        <v>1071.3435438151043</v>
      </c>
      <c r="H29" s="404">
        <f t="shared" si="25"/>
        <v>1141.0023010339623</v>
      </c>
      <c r="I29" s="404">
        <f t="shared" si="26"/>
        <v>1212.8398059070605</v>
      </c>
      <c r="J29" s="404">
        <f t="shared" si="27"/>
        <v>1289.2002000869695</v>
      </c>
      <c r="K29" s="404">
        <f t="shared" si="28"/>
        <v>1370.368244684445</v>
      </c>
      <c r="L29" s="404">
        <f t="shared" si="29"/>
        <v>1456.6466293697777</v>
      </c>
      <c r="M29" s="404">
        <f t="shared" si="30"/>
        <v>1548.3571011548991</v>
      </c>
      <c r="N29" s="404">
        <f t="shared" si="31"/>
        <v>1645.8416642436118</v>
      </c>
      <c r="O29" s="404">
        <f t="shared" si="32"/>
        <v>1749.4638554243895</v>
      </c>
      <c r="P29" s="404">
        <f t="shared" si="33"/>
        <v>1859.6100997619096</v>
      </c>
      <c r="Q29" s="404">
        <f t="shared" si="34"/>
        <v>1976.6911516429195</v>
      </c>
      <c r="R29" s="404">
        <f t="shared" si="35"/>
        <v>2101.1436265503576</v>
      </c>
      <c r="S29" s="404">
        <f t="shared" si="36"/>
        <v>2233.4316292779681</v>
      </c>
      <c r="T29" s="404">
        <f t="shared" si="37"/>
        <v>2374.0484846573095</v>
      </c>
      <c r="U29" s="404">
        <f t="shared" si="38"/>
        <v>2523.5185772513341</v>
      </c>
      <c r="V29" s="404">
        <f t="shared" si="39"/>
        <v>2682.3993068750783</v>
      </c>
      <c r="AE29" s="351"/>
      <c r="AF29" s="405">
        <f t="shared" si="40"/>
        <v>0.09</v>
      </c>
    </row>
    <row r="30" spans="2:33">
      <c r="B30" s="353" t="s">
        <v>324</v>
      </c>
      <c r="C30" s="404">
        <f>$C$22*AE30</f>
        <v>374.79630954708409</v>
      </c>
      <c r="D30" s="404">
        <f t="shared" si="21"/>
        <v>1042.5267515906662</v>
      </c>
      <c r="E30" s="404">
        <f t="shared" si="22"/>
        <v>1143.3912148070631</v>
      </c>
      <c r="F30" s="404">
        <f t="shared" si="23"/>
        <v>1227.124040249814</v>
      </c>
      <c r="G30" s="404">
        <f t="shared" si="24"/>
        <v>1309.4198868851277</v>
      </c>
      <c r="H30" s="404">
        <f t="shared" si="25"/>
        <v>1394.5583679303986</v>
      </c>
      <c r="I30" s="404">
        <f t="shared" si="26"/>
        <v>1482.3597627752963</v>
      </c>
      <c r="J30" s="404">
        <f t="shared" si="27"/>
        <v>1575.6891334396294</v>
      </c>
      <c r="K30" s="404">
        <f t="shared" si="28"/>
        <v>1674.8945212809886</v>
      </c>
      <c r="L30" s="404">
        <f t="shared" si="29"/>
        <v>1780.3458803408396</v>
      </c>
      <c r="M30" s="404">
        <f t="shared" si="30"/>
        <v>1892.4364569670988</v>
      </c>
      <c r="N30" s="404">
        <f t="shared" si="31"/>
        <v>2011.5842562977477</v>
      </c>
      <c r="O30" s="404">
        <f t="shared" si="32"/>
        <v>2138.2336010742538</v>
      </c>
      <c r="P30" s="404">
        <f t="shared" si="33"/>
        <v>2272.8567885978896</v>
      </c>
      <c r="Q30" s="404">
        <f t="shared" si="34"/>
        <v>2415.9558520080127</v>
      </c>
      <c r="R30" s="404">
        <f t="shared" si="35"/>
        <v>2568.0644324504369</v>
      </c>
      <c r="S30" s="404">
        <f t="shared" si="36"/>
        <v>2729.7497691175167</v>
      </c>
      <c r="T30" s="404">
        <f t="shared" si="37"/>
        <v>2901.6148145811562</v>
      </c>
      <c r="U30" s="404">
        <f t="shared" si="38"/>
        <v>3084.3004833071859</v>
      </c>
      <c r="V30" s="404">
        <f t="shared" si="39"/>
        <v>3278.4880417362069</v>
      </c>
      <c r="AE30" s="357">
        <f>AE14</f>
        <v>4.4999999999999998E-2</v>
      </c>
      <c r="AF30" s="405">
        <f t="shared" si="40"/>
        <v>0.11</v>
      </c>
    </row>
    <row r="31" spans="2:33">
      <c r="B31" s="353" t="s">
        <v>313</v>
      </c>
      <c r="C31" s="404">
        <f t="shared" ref="C31:C35" si="41">$C$22*AE31</f>
        <v>1249.3210318236136</v>
      </c>
      <c r="D31" s="404">
        <f t="shared" si="21"/>
        <v>1089.9143312084238</v>
      </c>
      <c r="E31" s="404">
        <f t="shared" si="22"/>
        <v>1195.3635427528388</v>
      </c>
      <c r="F31" s="404">
        <f t="shared" si="23"/>
        <v>1282.9024057157146</v>
      </c>
      <c r="G31" s="404">
        <f t="shared" si="24"/>
        <v>1368.9389726526335</v>
      </c>
      <c r="H31" s="404">
        <f t="shared" si="25"/>
        <v>1457.9473846545077</v>
      </c>
      <c r="I31" s="404">
        <f t="shared" si="26"/>
        <v>1549.7397519923552</v>
      </c>
      <c r="J31" s="404">
        <f t="shared" si="27"/>
        <v>1647.3113667777943</v>
      </c>
      <c r="K31" s="404">
        <f t="shared" si="28"/>
        <v>1751.0260904301244</v>
      </c>
      <c r="L31" s="404">
        <f t="shared" si="29"/>
        <v>1861.270693083605</v>
      </c>
      <c r="M31" s="404">
        <f t="shared" si="30"/>
        <v>1978.4562959201489</v>
      </c>
      <c r="N31" s="404">
        <f t="shared" si="31"/>
        <v>2103.0199043112821</v>
      </c>
      <c r="O31" s="404">
        <f t="shared" si="32"/>
        <v>2235.4260374867199</v>
      </c>
      <c r="P31" s="404">
        <f t="shared" si="33"/>
        <v>2376.1684608068849</v>
      </c>
      <c r="Q31" s="404">
        <f t="shared" si="34"/>
        <v>2525.7720270992863</v>
      </c>
      <c r="R31" s="404">
        <f t="shared" si="35"/>
        <v>2684.7946339254568</v>
      </c>
      <c r="S31" s="404">
        <f t="shared" si="36"/>
        <v>2853.8293040774042</v>
      </c>
      <c r="T31" s="404">
        <f t="shared" si="37"/>
        <v>3033.5063970621177</v>
      </c>
      <c r="U31" s="404">
        <f t="shared" si="38"/>
        <v>3224.4959598211494</v>
      </c>
      <c r="V31" s="404">
        <f t="shared" si="39"/>
        <v>3427.5102254514891</v>
      </c>
      <c r="AE31" s="357">
        <f t="shared" ref="AE31:AE35" si="42">AE15</f>
        <v>0.15</v>
      </c>
      <c r="AF31" s="405">
        <f t="shared" si="40"/>
        <v>0.115</v>
      </c>
    </row>
    <row r="32" spans="2:33">
      <c r="B32" s="353" t="s">
        <v>314</v>
      </c>
      <c r="C32" s="404">
        <f t="shared" si="41"/>
        <v>1923.9543890083651</v>
      </c>
      <c r="D32" s="404">
        <f t="shared" si="21"/>
        <v>1184.6894904439389</v>
      </c>
      <c r="E32" s="404">
        <f t="shared" si="22"/>
        <v>1299.3081986443899</v>
      </c>
      <c r="F32" s="404">
        <f t="shared" si="23"/>
        <v>1394.4591366475158</v>
      </c>
      <c r="G32" s="404">
        <f t="shared" si="24"/>
        <v>1487.9771441876451</v>
      </c>
      <c r="H32" s="404">
        <f t="shared" si="25"/>
        <v>1584.7254181027256</v>
      </c>
      <c r="I32" s="404">
        <f t="shared" si="26"/>
        <v>1684.499730426473</v>
      </c>
      <c r="J32" s="404">
        <f t="shared" si="27"/>
        <v>1790.5558334541242</v>
      </c>
      <c r="K32" s="404">
        <f t="shared" si="28"/>
        <v>1903.289228728396</v>
      </c>
      <c r="L32" s="404">
        <f t="shared" si="29"/>
        <v>2023.1203185691359</v>
      </c>
      <c r="M32" s="404">
        <f t="shared" si="30"/>
        <v>2150.4959738262487</v>
      </c>
      <c r="N32" s="404">
        <f t="shared" si="31"/>
        <v>2285.8912003383498</v>
      </c>
      <c r="O32" s="404">
        <f t="shared" si="32"/>
        <v>2429.8109103116522</v>
      </c>
      <c r="P32" s="404">
        <f t="shared" si="33"/>
        <v>2582.7918052248747</v>
      </c>
      <c r="Q32" s="404">
        <f t="shared" si="34"/>
        <v>2745.4043772818327</v>
      </c>
      <c r="R32" s="404">
        <f t="shared" si="35"/>
        <v>2918.2550368754964</v>
      </c>
      <c r="S32" s="404">
        <f t="shared" si="36"/>
        <v>3101.9883739971783</v>
      </c>
      <c r="T32" s="404">
        <f t="shared" si="37"/>
        <v>3297.2895620240411</v>
      </c>
      <c r="U32" s="404">
        <f t="shared" si="38"/>
        <v>3504.8869128490751</v>
      </c>
      <c r="V32" s="404">
        <f t="shared" si="39"/>
        <v>3725.5545928820534</v>
      </c>
      <c r="AE32" s="357">
        <f t="shared" si="42"/>
        <v>0.23100000000000001</v>
      </c>
      <c r="AF32" s="405">
        <f t="shared" si="40"/>
        <v>0.125</v>
      </c>
    </row>
    <row r="33" spans="2:32">
      <c r="B33" s="353" t="s">
        <v>315</v>
      </c>
      <c r="C33" s="404">
        <f t="shared" si="41"/>
        <v>1998.9136509177818</v>
      </c>
      <c r="D33" s="404">
        <f t="shared" si="21"/>
        <v>1165.7344585968358</v>
      </c>
      <c r="E33" s="404">
        <f t="shared" si="22"/>
        <v>1278.5192674660796</v>
      </c>
      <c r="F33" s="404">
        <f t="shared" si="23"/>
        <v>1372.1477904611556</v>
      </c>
      <c r="G33" s="404">
        <f t="shared" si="24"/>
        <v>1464.1695098806426</v>
      </c>
      <c r="H33" s="404">
        <f t="shared" si="25"/>
        <v>1559.3698114130821</v>
      </c>
      <c r="I33" s="404">
        <f t="shared" si="26"/>
        <v>1657.5477347396493</v>
      </c>
      <c r="J33" s="404">
        <f t="shared" si="27"/>
        <v>1761.9069401188583</v>
      </c>
      <c r="K33" s="404">
        <f t="shared" si="28"/>
        <v>1872.8366010687416</v>
      </c>
      <c r="L33" s="404">
        <f t="shared" si="29"/>
        <v>1990.7503934720296</v>
      </c>
      <c r="M33" s="404">
        <f t="shared" si="30"/>
        <v>2116.0880382450287</v>
      </c>
      <c r="N33" s="404">
        <f t="shared" si="31"/>
        <v>2249.3169411329363</v>
      </c>
      <c r="O33" s="404">
        <f t="shared" si="32"/>
        <v>2390.9339357466656</v>
      </c>
      <c r="P33" s="404">
        <f t="shared" si="33"/>
        <v>2541.4671363412767</v>
      </c>
      <c r="Q33" s="404">
        <f t="shared" si="34"/>
        <v>2701.4779072453234</v>
      </c>
      <c r="R33" s="404">
        <f t="shared" si="35"/>
        <v>2871.5629562854883</v>
      </c>
      <c r="S33" s="404">
        <f t="shared" si="36"/>
        <v>3052.3565600132233</v>
      </c>
      <c r="T33" s="404">
        <f t="shared" si="37"/>
        <v>3244.5329290316563</v>
      </c>
      <c r="U33" s="404">
        <f t="shared" si="38"/>
        <v>3448.8087222434897</v>
      </c>
      <c r="V33" s="404">
        <f t="shared" si="39"/>
        <v>3665.9457193959406</v>
      </c>
      <c r="AE33" s="357">
        <f t="shared" si="42"/>
        <v>0.24</v>
      </c>
      <c r="AF33" s="405">
        <f t="shared" si="40"/>
        <v>0.123</v>
      </c>
    </row>
    <row r="34" spans="2:32">
      <c r="B34" s="353" t="s">
        <v>316</v>
      </c>
      <c r="C34" s="404">
        <f t="shared" si="41"/>
        <v>1948.9408096448374</v>
      </c>
      <c r="D34" s="404">
        <f t="shared" si="21"/>
        <v>862.45394904318744</v>
      </c>
      <c r="E34" s="404">
        <f t="shared" si="22"/>
        <v>945.89636861311578</v>
      </c>
      <c r="F34" s="404">
        <f t="shared" si="23"/>
        <v>1015.1662514793915</v>
      </c>
      <c r="G34" s="404">
        <f t="shared" si="24"/>
        <v>1083.2473609686056</v>
      </c>
      <c r="H34" s="404">
        <f t="shared" si="25"/>
        <v>1153.6801043787841</v>
      </c>
      <c r="I34" s="404">
        <f t="shared" si="26"/>
        <v>1226.3158037504722</v>
      </c>
      <c r="J34" s="404">
        <f t="shared" si="27"/>
        <v>1303.5246467546024</v>
      </c>
      <c r="K34" s="404">
        <f t="shared" si="28"/>
        <v>1385.5945585142722</v>
      </c>
      <c r="L34" s="404">
        <f t="shared" si="29"/>
        <v>1472.8315919183308</v>
      </c>
      <c r="M34" s="404">
        <f t="shared" si="30"/>
        <v>1565.5610689455091</v>
      </c>
      <c r="N34" s="404">
        <f t="shared" si="31"/>
        <v>1664.1287938463186</v>
      </c>
      <c r="O34" s="404">
        <f t="shared" si="32"/>
        <v>1768.9023427068828</v>
      </c>
      <c r="P34" s="404">
        <f t="shared" si="33"/>
        <v>1880.2724342037088</v>
      </c>
      <c r="Q34" s="404">
        <f t="shared" si="34"/>
        <v>1998.6543866611742</v>
      </c>
      <c r="R34" s="404">
        <f t="shared" si="35"/>
        <v>2124.4896668453612</v>
      </c>
      <c r="S34" s="404">
        <f t="shared" si="36"/>
        <v>2258.2475362699456</v>
      </c>
      <c r="T34" s="404">
        <f t="shared" si="37"/>
        <v>2400.4268011535019</v>
      </c>
      <c r="U34" s="404">
        <f t="shared" si="38"/>
        <v>2551.5576725541264</v>
      </c>
      <c r="V34" s="404">
        <f t="shared" si="39"/>
        <v>2712.2037436181349</v>
      </c>
      <c r="AE34" s="357">
        <f t="shared" si="42"/>
        <v>0.23400000000000001</v>
      </c>
      <c r="AF34" s="405">
        <f t="shared" si="40"/>
        <v>9.0999999999999998E-2</v>
      </c>
    </row>
    <row r="35" spans="2:32">
      <c r="B35" s="353" t="s">
        <v>317</v>
      </c>
      <c r="C35" s="404">
        <f t="shared" si="41"/>
        <v>832.88068788240912</v>
      </c>
      <c r="D35" s="404">
        <f t="shared" si="21"/>
        <v>454.92076433047254</v>
      </c>
      <c r="E35" s="404">
        <f t="shared" si="22"/>
        <v>498.93434827944571</v>
      </c>
      <c r="F35" s="404">
        <f t="shared" si="23"/>
        <v>535.47230847264609</v>
      </c>
      <c r="G35" s="404">
        <f t="shared" si="24"/>
        <v>571.38322336805572</v>
      </c>
      <c r="H35" s="404">
        <f t="shared" si="25"/>
        <v>608.53456055144659</v>
      </c>
      <c r="I35" s="404">
        <f t="shared" si="26"/>
        <v>646.84789648376568</v>
      </c>
      <c r="J35" s="404">
        <f t="shared" si="27"/>
        <v>687.57344004638367</v>
      </c>
      <c r="K35" s="404">
        <f t="shared" si="28"/>
        <v>730.86306383170404</v>
      </c>
      <c r="L35" s="404">
        <f t="shared" si="29"/>
        <v>776.87820233054822</v>
      </c>
      <c r="M35" s="404">
        <f t="shared" si="30"/>
        <v>825.79045394927948</v>
      </c>
      <c r="N35" s="404">
        <f t="shared" si="31"/>
        <v>877.78222092992632</v>
      </c>
      <c r="O35" s="404">
        <f t="shared" si="32"/>
        <v>933.04738955967446</v>
      </c>
      <c r="P35" s="404">
        <f t="shared" si="33"/>
        <v>991.79205320635185</v>
      </c>
      <c r="Q35" s="404">
        <f t="shared" si="34"/>
        <v>1054.2352808762237</v>
      </c>
      <c r="R35" s="404">
        <f t="shared" si="35"/>
        <v>1120.6099341601907</v>
      </c>
      <c r="S35" s="404">
        <f t="shared" si="36"/>
        <v>1191.1635356149166</v>
      </c>
      <c r="T35" s="404">
        <f t="shared" si="37"/>
        <v>1266.1591918172319</v>
      </c>
      <c r="U35" s="404">
        <f t="shared" si="38"/>
        <v>1345.8765745340449</v>
      </c>
      <c r="V35" s="404">
        <f t="shared" si="39"/>
        <v>1430.6129636667085</v>
      </c>
      <c r="AE35" s="357">
        <f t="shared" si="42"/>
        <v>0.1</v>
      </c>
      <c r="AF35" s="405">
        <f t="shared" si="40"/>
        <v>4.8000000000000001E-2</v>
      </c>
    </row>
    <row r="36" spans="2:32" ht="30">
      <c r="B36" s="409" t="s">
        <v>329</v>
      </c>
      <c r="C36" s="407">
        <f>SUM(C24:C35)</f>
        <v>8328.8068788240907</v>
      </c>
      <c r="D36" s="407">
        <f>SUM(D24:D35)</f>
        <v>9477.5159235515112</v>
      </c>
      <c r="E36" s="407">
        <f t="shared" ref="E36" si="43">SUM(E24:E35)</f>
        <v>10394.465589155119</v>
      </c>
      <c r="F36" s="407">
        <f t="shared" ref="F36" si="44">SUM(F24:F35)</f>
        <v>11155.673093180127</v>
      </c>
      <c r="G36" s="407">
        <f t="shared" ref="G36" si="45">SUM(G24:G35)</f>
        <v>11903.817153501161</v>
      </c>
      <c r="H36" s="407">
        <f t="shared" ref="H36" si="46">SUM(H24:H35)</f>
        <v>12677.803344821805</v>
      </c>
      <c r="I36" s="407">
        <f t="shared" ref="I36" si="47">SUM(I24:I35)</f>
        <v>13475.997843411784</v>
      </c>
      <c r="J36" s="407">
        <f t="shared" ref="J36" si="48">SUM(J24:J35)</f>
        <v>14324.446667632996</v>
      </c>
      <c r="K36" s="407">
        <f t="shared" ref="K36" si="49">SUM(K24:K35)</f>
        <v>15226.31382982717</v>
      </c>
      <c r="L36" s="407">
        <f t="shared" ref="L36" si="50">SUM(L24:L35)</f>
        <v>16184.962548553087</v>
      </c>
      <c r="M36" s="407">
        <f t="shared" ref="M36" si="51">SUM(M24:M35)</f>
        <v>17203.96779060999</v>
      </c>
      <c r="N36" s="407">
        <f t="shared" ref="N36" si="52">SUM(N24:N35)</f>
        <v>18287.129602706798</v>
      </c>
      <c r="O36" s="407">
        <f t="shared" ref="O36" si="53">SUM(O24:O35)</f>
        <v>19438.487282493217</v>
      </c>
      <c r="P36" s="407">
        <f t="shared" ref="P36" si="54">SUM(P24:P35)</f>
        <v>20662.334441798994</v>
      </c>
      <c r="Q36" s="407">
        <f t="shared" ref="Q36" si="55">SUM(Q24:Q35)</f>
        <v>21963.235018254662</v>
      </c>
      <c r="R36" s="407">
        <f t="shared" ref="R36" si="56">SUM(R24:R35)</f>
        <v>23346.040295003972</v>
      </c>
      <c r="S36" s="407">
        <f t="shared" ref="S36" si="57">SUM(S24:S35)</f>
        <v>24815.906991977423</v>
      </c>
      <c r="T36" s="407">
        <f t="shared" ref="T36" si="58">SUM(T24:T35)</f>
        <v>26378.316496192325</v>
      </c>
      <c r="U36" s="407">
        <f t="shared" ref="U36" si="59">SUM(U24:U35)</f>
        <v>28039.095302792604</v>
      </c>
      <c r="V36" s="407">
        <f t="shared" ref="V36" si="60">SUM(V24:V35)</f>
        <v>29804.436743056431</v>
      </c>
      <c r="AE36" s="356">
        <f>SUM(AE30:AE35)</f>
        <v>1</v>
      </c>
      <c r="AF36" s="408">
        <f>SUM(AF24:AF35)</f>
        <v>1</v>
      </c>
    </row>
    <row r="38" spans="2:32">
      <c r="B38" s="410" t="s">
        <v>140</v>
      </c>
      <c r="C38" s="411">
        <f>C20-C36</f>
        <v>402.14612117591059</v>
      </c>
      <c r="D38" s="411">
        <f t="shared" ref="D38:V38" si="61">D20-D36</f>
        <v>457.61011420848808</v>
      </c>
      <c r="E38" s="411">
        <f t="shared" si="61"/>
        <v>501.88389275816007</v>
      </c>
      <c r="F38" s="411">
        <f t="shared" si="61"/>
        <v>538.63785399262633</v>
      </c>
      <c r="G38" s="411">
        <f t="shared" si="61"/>
        <v>574.76106303278902</v>
      </c>
      <c r="H38" s="411">
        <f t="shared" si="61"/>
        <v>612.1320273511792</v>
      </c>
      <c r="I38" s="411">
        <f t="shared" si="61"/>
        <v>650.67185979321403</v>
      </c>
      <c r="J38" s="411">
        <f t="shared" si="61"/>
        <v>691.63816008578942</v>
      </c>
      <c r="K38" s="411">
        <f t="shared" si="61"/>
        <v>735.18369864478882</v>
      </c>
      <c r="L38" s="411">
        <f t="shared" si="61"/>
        <v>781.47086431146636</v>
      </c>
      <c r="M38" s="411">
        <f t="shared" si="61"/>
        <v>830.67226992852011</v>
      </c>
      <c r="N38" s="411">
        <f t="shared" si="61"/>
        <v>882.97139604321274</v>
      </c>
      <c r="O38" s="411">
        <f t="shared" si="61"/>
        <v>938.56327513810902</v>
      </c>
      <c r="P38" s="411">
        <f t="shared" si="61"/>
        <v>997.65521894079575</v>
      </c>
      <c r="Q38" s="411">
        <f t="shared" si="61"/>
        <v>1060.4675915253101</v>
      </c>
      <c r="R38" s="411">
        <f t="shared" si="61"/>
        <v>1127.2346310877474</v>
      </c>
      <c r="S38" s="411">
        <f t="shared" si="61"/>
        <v>1198.2053234610285</v>
      </c>
      <c r="T38" s="411">
        <f t="shared" si="61"/>
        <v>1273.6443306261353</v>
      </c>
      <c r="U38" s="411">
        <f t="shared" si="61"/>
        <v>1353.8329776823448</v>
      </c>
      <c r="V38" s="411">
        <f t="shared" si="61"/>
        <v>1439.0703019572284</v>
      </c>
    </row>
  </sheetData>
  <mergeCells count="1">
    <mergeCell ref="B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Bases</vt:lpstr>
      <vt:lpstr>Proyecciones</vt:lpstr>
      <vt:lpstr>Estructura Organizacional</vt:lpstr>
      <vt:lpstr>Ingresos_Egresos_Mes</vt:lpstr>
      <vt:lpstr>Bases!Área_de_impresión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Jheiny Vergara Marrugo</cp:lastModifiedBy>
  <dcterms:created xsi:type="dcterms:W3CDTF">2023-04-23T16:45:03Z</dcterms:created>
  <dcterms:modified xsi:type="dcterms:W3CDTF">2023-07-25T16:55:00Z</dcterms:modified>
</cp:coreProperties>
</file>