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defaultThemeVersion="124226"/>
  <mc:AlternateContent xmlns:mc="http://schemas.openxmlformats.org/markup-compatibility/2006">
    <mc:Choice Requires="x15">
      <x15ac:absPath xmlns:x15ac="http://schemas.microsoft.com/office/spreadsheetml/2010/11/ac" url="E:\Ciudad Bolivar\Planeación\Mantenimientos\Contrato\"/>
    </mc:Choice>
  </mc:AlternateContent>
  <xr:revisionPtr revIDLastSave="0" documentId="13_ncr:1_{D8DA8013-0695-4926-916C-7E16E25A743B}" xr6:coauthVersionLast="47" xr6:coauthVersionMax="47" xr10:uidLastSave="{00000000-0000-0000-0000-000000000000}"/>
  <bookViews>
    <workbookView xWindow="-120" yWindow="-120" windowWidth="20730" windowHeight="11160" firstSheet="5" activeTab="10" xr2:uid="{00000000-000D-0000-FFFF-FFFF00000000}"/>
  </bookViews>
  <sheets>
    <sheet name="C3312 - 2019" sheetId="3" r:id="rId1"/>
    <sheet name="S9511 -2019 " sheetId="10" r:id="rId2"/>
    <sheet name="J6209 -2019" sheetId="4" r:id="rId3"/>
    <sheet name="C3312 -2020" sheetId="9" r:id="rId4"/>
    <sheet name="S9511 -2020" sheetId="13" r:id="rId5"/>
    <sheet name="J6209 -2020" sheetId="14" r:id="rId6"/>
    <sheet name="C3312 -2021" sheetId="17" r:id="rId7"/>
    <sheet name="S9511 -2021" sheetId="18" r:id="rId8"/>
    <sheet name="J6209-2021" sheetId="5" r:id="rId9"/>
    <sheet name="ESTADISTICAS" sheetId="6" r:id="rId10"/>
    <sheet name="RESULTADO" sheetId="7" r:id="rId11"/>
  </sheets>
  <definedNames>
    <definedName name="_xlnm._FilterDatabase" localSheetId="3" hidden="1">'C3312 -2020'!$B$16:$K$26</definedName>
    <definedName name="_xlnm._FilterDatabase" localSheetId="6" hidden="1">'C3312 -2021'!$B$4:$K$28</definedName>
    <definedName name="_xlnm._FilterDatabase" localSheetId="7" hidden="1">'S9511 -2021'!$B$4:$K$12</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9" i="6" l="1"/>
  <c r="Q20" i="6"/>
  <c r="Q28" i="6"/>
  <c r="Q27" i="6"/>
  <c r="Q25" i="6"/>
  <c r="Q24" i="6"/>
  <c r="Q23" i="6"/>
  <c r="Q22" i="6"/>
  <c r="Q19" i="6"/>
  <c r="Q9" i="6"/>
  <c r="Q17" i="6"/>
  <c r="Q15" i="6"/>
  <c r="Q14" i="6"/>
  <c r="Q11" i="6"/>
  <c r="Q8" i="6"/>
  <c r="Q6" i="6"/>
  <c r="D17" i="6"/>
  <c r="E17" i="6"/>
  <c r="C9" i="6"/>
  <c r="D9" i="6"/>
  <c r="E9" i="6"/>
  <c r="E25" i="6"/>
  <c r="D25" i="6"/>
  <c r="C25" i="6"/>
  <c r="G28" i="6"/>
  <c r="G27" i="6"/>
  <c r="G24" i="6"/>
  <c r="G20" i="6"/>
  <c r="G19" i="6"/>
  <c r="C6" i="6"/>
  <c r="G16" i="6"/>
  <c r="G12" i="6"/>
  <c r="G11" i="6"/>
  <c r="G9" i="6"/>
  <c r="G8" i="6"/>
  <c r="F31" i="4"/>
  <c r="F35" i="3"/>
  <c r="F30" i="3"/>
  <c r="F29" i="3"/>
  <c r="D13" i="3" l="1"/>
  <c r="E25" i="3"/>
  <c r="D25" i="3"/>
  <c r="G11" i="18"/>
  <c r="F11" i="18"/>
  <c r="E11" i="18"/>
  <c r="D11" i="18"/>
  <c r="D6" i="18"/>
  <c r="E6" i="18"/>
  <c r="F6" i="18"/>
  <c r="G6" i="18"/>
  <c r="H6" i="18"/>
  <c r="I6" i="18"/>
  <c r="J6" i="18"/>
  <c r="K6" i="18"/>
  <c r="H11" i="18"/>
  <c r="I11" i="18"/>
  <c r="J11" i="18"/>
  <c r="K11" i="18"/>
  <c r="K12" i="18" s="1"/>
  <c r="K31" i="14"/>
  <c r="J31" i="14"/>
  <c r="I31" i="14"/>
  <c r="H31" i="14"/>
  <c r="G31" i="14"/>
  <c r="F31" i="14"/>
  <c r="E31" i="14"/>
  <c r="D31" i="14"/>
  <c r="F13" i="4"/>
  <c r="E13" i="4"/>
  <c r="D13" i="4"/>
  <c r="H8" i="10"/>
  <c r="G8" i="10"/>
  <c r="F8" i="10"/>
  <c r="E8" i="10"/>
  <c r="D8" i="10"/>
  <c r="K8" i="10"/>
  <c r="J8" i="10"/>
  <c r="I8" i="10"/>
  <c r="K13" i="3"/>
  <c r="H13" i="3"/>
  <c r="G13" i="3"/>
  <c r="F13" i="3"/>
  <c r="E13" i="3"/>
  <c r="E26" i="3" s="1"/>
  <c r="K25" i="3"/>
  <c r="J25" i="3"/>
  <c r="I25" i="3"/>
  <c r="H25" i="3"/>
  <c r="G25" i="3"/>
  <c r="F25" i="3"/>
  <c r="K27" i="17"/>
  <c r="J27" i="17"/>
  <c r="I27" i="17"/>
  <c r="H27" i="17"/>
  <c r="G27" i="17"/>
  <c r="F27" i="17"/>
  <c r="E27" i="17"/>
  <c r="D27" i="17"/>
  <c r="K14" i="17"/>
  <c r="J14" i="17"/>
  <c r="I14" i="17"/>
  <c r="H14" i="17"/>
  <c r="G14" i="17"/>
  <c r="F14" i="17"/>
  <c r="E14" i="17"/>
  <c r="D14" i="17"/>
  <c r="K16" i="14"/>
  <c r="J16" i="14"/>
  <c r="I16" i="14"/>
  <c r="H16" i="14"/>
  <c r="G16" i="14"/>
  <c r="F16" i="14"/>
  <c r="E16" i="14"/>
  <c r="D16" i="14"/>
  <c r="D15" i="13"/>
  <c r="K15" i="13"/>
  <c r="J15" i="13"/>
  <c r="I15" i="13"/>
  <c r="H15" i="13"/>
  <c r="G15" i="13"/>
  <c r="F15" i="13"/>
  <c r="E15" i="13"/>
  <c r="K8" i="13"/>
  <c r="J8" i="13"/>
  <c r="I8" i="13"/>
  <c r="H8" i="13"/>
  <c r="G8" i="13"/>
  <c r="F8" i="13"/>
  <c r="E8" i="13"/>
  <c r="D8" i="13"/>
  <c r="I15" i="10"/>
  <c r="K15" i="10"/>
  <c r="J15" i="10"/>
  <c r="H15" i="10"/>
  <c r="G15" i="10"/>
  <c r="F15" i="10"/>
  <c r="E15" i="10"/>
  <c r="D15" i="10"/>
  <c r="I13" i="3"/>
  <c r="J13" i="3"/>
  <c r="D25" i="9"/>
  <c r="K25" i="9"/>
  <c r="J25" i="9"/>
  <c r="I25" i="9"/>
  <c r="H25" i="9"/>
  <c r="G25" i="9"/>
  <c r="F25" i="9"/>
  <c r="E25" i="9"/>
  <c r="K13" i="9"/>
  <c r="J13" i="9"/>
  <c r="I13" i="9"/>
  <c r="H13" i="9"/>
  <c r="G13" i="9"/>
  <c r="F13" i="9"/>
  <c r="E13" i="9"/>
  <c r="D13" i="9"/>
  <c r="D12" i="18" l="1"/>
  <c r="H12" i="18"/>
  <c r="E12" i="18"/>
  <c r="I12" i="18"/>
  <c r="F22" i="18" s="1"/>
  <c r="D28" i="6" s="1"/>
  <c r="F12" i="18"/>
  <c r="F15" i="18" s="1"/>
  <c r="D22" i="6" s="1"/>
  <c r="J12" i="18"/>
  <c r="F17" i="18" s="1"/>
  <c r="D24" i="6" s="1"/>
  <c r="G12" i="18"/>
  <c r="F16" i="18" s="1"/>
  <c r="D23" i="6" s="1"/>
  <c r="H28" i="17"/>
  <c r="I28" i="17"/>
  <c r="F28" i="17"/>
  <c r="J28" i="17"/>
  <c r="D28" i="17"/>
  <c r="E28" i="17"/>
  <c r="G28" i="17"/>
  <c r="K28" i="17"/>
  <c r="H32" i="14"/>
  <c r="E32" i="14"/>
  <c r="I32" i="14"/>
  <c r="D32" i="14"/>
  <c r="F32" i="14"/>
  <c r="J32" i="14"/>
  <c r="G32" i="14"/>
  <c r="K32" i="14"/>
  <c r="H16" i="13"/>
  <c r="E16" i="13"/>
  <c r="I16" i="13"/>
  <c r="F16" i="13"/>
  <c r="J16" i="13"/>
  <c r="D16" i="13"/>
  <c r="G16" i="13"/>
  <c r="K16" i="13"/>
  <c r="D26" i="9"/>
  <c r="H16" i="10"/>
  <c r="E16" i="10"/>
  <c r="I16" i="10"/>
  <c r="F16" i="10"/>
  <c r="J16" i="10"/>
  <c r="F21" i="10" s="1"/>
  <c r="D16" i="10"/>
  <c r="G16" i="10"/>
  <c r="F20" i="10" s="1"/>
  <c r="K16" i="10"/>
  <c r="G26" i="9"/>
  <c r="F30" i="9" s="1"/>
  <c r="K26" i="9"/>
  <c r="H26" i="9"/>
  <c r="E26" i="9"/>
  <c r="I26" i="9"/>
  <c r="F26" i="9"/>
  <c r="J26" i="9"/>
  <c r="F31" i="9" s="1"/>
  <c r="F37" i="14" l="1"/>
  <c r="F35" i="14"/>
  <c r="E14" i="6" s="1"/>
  <c r="F38" i="14"/>
  <c r="F36" i="14"/>
  <c r="E15" i="6" s="1"/>
  <c r="F41" i="14"/>
  <c r="E19" i="6" s="1"/>
  <c r="F42" i="14"/>
  <c r="E20" i="6" s="1"/>
  <c r="F19" i="13"/>
  <c r="F22" i="13"/>
  <c r="F20" i="13"/>
  <c r="F21" i="13"/>
  <c r="D16" i="6" s="1"/>
  <c r="F25" i="13"/>
  <c r="D19" i="6" s="1"/>
  <c r="F26" i="13"/>
  <c r="D20" i="6" s="1"/>
  <c r="F35" i="9"/>
  <c r="C19" i="6" s="1"/>
  <c r="F36" i="9"/>
  <c r="C20" i="6" s="1"/>
  <c r="F29" i="9"/>
  <c r="F32" i="9"/>
  <c r="F25" i="10"/>
  <c r="D11" i="6" s="1"/>
  <c r="F26" i="10"/>
  <c r="D12" i="6" s="1"/>
  <c r="F19" i="10"/>
  <c r="F22" i="10"/>
  <c r="F33" i="17"/>
  <c r="C24" i="6" s="1"/>
  <c r="F37" i="17"/>
  <c r="C27" i="6" s="1"/>
  <c r="F38" i="17"/>
  <c r="F32" i="17"/>
  <c r="C23" i="6" s="1"/>
  <c r="F31" i="17"/>
  <c r="C22" i="6" s="1"/>
  <c r="F34" i="17"/>
  <c r="D6" i="6"/>
  <c r="F21" i="18"/>
  <c r="D27" i="6" s="1"/>
  <c r="D7" i="6"/>
  <c r="F18" i="18"/>
  <c r="C28" i="6"/>
  <c r="D15" i="6"/>
  <c r="D14" i="6"/>
  <c r="C15" i="6"/>
  <c r="D8" i="6"/>
  <c r="C17" i="6"/>
  <c r="C14" i="6"/>
  <c r="K31" i="5"/>
  <c r="E31" i="5"/>
  <c r="F31" i="5"/>
  <c r="G31" i="5"/>
  <c r="H31" i="5"/>
  <c r="I31" i="5"/>
  <c r="J31" i="5"/>
  <c r="D31" i="5"/>
  <c r="E25" i="4"/>
  <c r="F25" i="4"/>
  <c r="G25" i="4"/>
  <c r="H25" i="4"/>
  <c r="I25" i="4"/>
  <c r="J25" i="4"/>
  <c r="K25" i="4"/>
  <c r="D25" i="4"/>
  <c r="G13" i="4"/>
  <c r="H13" i="4"/>
  <c r="I13" i="4"/>
  <c r="J13" i="4"/>
  <c r="K13" i="4"/>
  <c r="L17" i="6" l="1"/>
  <c r="G17" i="6"/>
  <c r="I17" i="6"/>
  <c r="J17" i="6"/>
  <c r="F17" i="6"/>
  <c r="K17" i="6"/>
  <c r="L16" i="6"/>
  <c r="J16" i="6"/>
  <c r="F16" i="6"/>
  <c r="Q16" i="6" s="1"/>
  <c r="K16" i="6"/>
  <c r="I16" i="6"/>
  <c r="L19" i="6"/>
  <c r="J19" i="6"/>
  <c r="K19" i="6"/>
  <c r="I19" i="6"/>
  <c r="F19" i="6"/>
  <c r="K14" i="6"/>
  <c r="I14" i="6"/>
  <c r="F14" i="6"/>
  <c r="L14" i="6"/>
  <c r="J14" i="6"/>
  <c r="G14" i="6"/>
  <c r="K20" i="6"/>
  <c r="I20" i="6"/>
  <c r="L20" i="6"/>
  <c r="J20" i="6"/>
  <c r="F20" i="6"/>
  <c r="K15" i="6"/>
  <c r="I15" i="6"/>
  <c r="F15" i="6"/>
  <c r="L15" i="6"/>
  <c r="J15" i="6"/>
  <c r="G15" i="6"/>
  <c r="J16" i="5"/>
  <c r="K16" i="5"/>
  <c r="K32" i="5" s="1"/>
  <c r="I16" i="5"/>
  <c r="H16" i="5"/>
  <c r="G16" i="5"/>
  <c r="F16" i="5"/>
  <c r="E16" i="5"/>
  <c r="D16" i="5"/>
  <c r="D32" i="5" s="1"/>
  <c r="H17" i="6" l="1"/>
  <c r="H15" i="6"/>
  <c r="P20" i="6"/>
  <c r="O20" i="6"/>
  <c r="N20" i="6"/>
  <c r="M20" i="6"/>
  <c r="N14" i="6"/>
  <c r="M14" i="6"/>
  <c r="M16" i="6"/>
  <c r="N16" i="6"/>
  <c r="N15" i="6"/>
  <c r="M15" i="6"/>
  <c r="H14" i="6"/>
  <c r="M19" i="6"/>
  <c r="N19" i="6"/>
  <c r="P19" i="6"/>
  <c r="O19" i="6"/>
  <c r="H16" i="6"/>
  <c r="M17" i="6"/>
  <c r="N17" i="6"/>
  <c r="J26" i="4"/>
  <c r="I26" i="4"/>
  <c r="E32" i="5"/>
  <c r="H32" i="5"/>
  <c r="F32" i="5"/>
  <c r="F38" i="5" s="1"/>
  <c r="I32" i="5"/>
  <c r="J32" i="5"/>
  <c r="G32" i="5"/>
  <c r="D26" i="4"/>
  <c r="E26" i="4"/>
  <c r="H26" i="4"/>
  <c r="G26" i="4"/>
  <c r="F30" i="4" s="1"/>
  <c r="F26" i="4"/>
  <c r="K26" i="4"/>
  <c r="D26" i="3"/>
  <c r="F35" i="4" l="1"/>
  <c r="E11" i="6" s="1"/>
  <c r="F36" i="4"/>
  <c r="F29" i="4"/>
  <c r="F32" i="4"/>
  <c r="G25" i="6"/>
  <c r="L25" i="6"/>
  <c r="I25" i="6"/>
  <c r="J25" i="6"/>
  <c r="K25" i="6"/>
  <c r="F25" i="6"/>
  <c r="F37" i="5"/>
  <c r="E24" i="6" s="1"/>
  <c r="P17" i="6"/>
  <c r="O17" i="6"/>
  <c r="P16" i="6"/>
  <c r="O16" i="6"/>
  <c r="O14" i="6"/>
  <c r="P14" i="6"/>
  <c r="P15" i="6"/>
  <c r="O15" i="6"/>
  <c r="F41" i="5"/>
  <c r="E27" i="6" s="1"/>
  <c r="F36" i="5"/>
  <c r="E23" i="6" s="1"/>
  <c r="E6" i="6"/>
  <c r="E8" i="6"/>
  <c r="F35" i="5"/>
  <c r="E22" i="6" s="1"/>
  <c r="F42" i="5"/>
  <c r="E28" i="6" s="1"/>
  <c r="E7" i="6"/>
  <c r="I26" i="3"/>
  <c r="K26" i="3"/>
  <c r="G26" i="3"/>
  <c r="F26" i="3"/>
  <c r="F32" i="3" s="1"/>
  <c r="H26" i="3"/>
  <c r="J26" i="3"/>
  <c r="F31" i="3" s="1"/>
  <c r="N25" i="6" l="1"/>
  <c r="F36" i="3"/>
  <c r="C12" i="6" s="1"/>
  <c r="C11" i="6"/>
  <c r="F11" i="6" s="1"/>
  <c r="K24" i="6"/>
  <c r="J24" i="6"/>
  <c r="L24" i="6"/>
  <c r="F24" i="6"/>
  <c r="I24" i="6"/>
  <c r="H25" i="6"/>
  <c r="P25" i="6" s="1"/>
  <c r="O25" i="6"/>
  <c r="M25" i="6"/>
  <c r="K28" i="6"/>
  <c r="J28" i="6"/>
  <c r="I28" i="6"/>
  <c r="L28" i="6"/>
  <c r="F28" i="6"/>
  <c r="L27" i="6"/>
  <c r="F27" i="6"/>
  <c r="I27" i="6"/>
  <c r="J27" i="6"/>
  <c r="K27" i="6"/>
  <c r="K22" i="6"/>
  <c r="F22" i="6"/>
  <c r="J22" i="6"/>
  <c r="I22" i="6"/>
  <c r="L22" i="6"/>
  <c r="G22" i="6"/>
  <c r="I23" i="6"/>
  <c r="L23" i="6"/>
  <c r="G23" i="6"/>
  <c r="K23" i="6"/>
  <c r="F23" i="6"/>
  <c r="J23" i="6"/>
  <c r="N24" i="6"/>
  <c r="M24" i="6"/>
  <c r="C8" i="6"/>
  <c r="C7" i="6"/>
  <c r="H24" i="6" l="1"/>
  <c r="P24" i="6" s="1"/>
  <c r="F6" i="6"/>
  <c r="I6" i="6"/>
  <c r="J6" i="6"/>
  <c r="K6" i="6"/>
  <c r="L6" i="6"/>
  <c r="G6" i="6"/>
  <c r="K7" i="6"/>
  <c r="I7" i="6"/>
  <c r="F7" i="6"/>
  <c r="L7" i="6"/>
  <c r="J7" i="6"/>
  <c r="G7" i="6"/>
  <c r="K11" i="6"/>
  <c r="I11" i="6"/>
  <c r="L11" i="6"/>
  <c r="J11" i="6"/>
  <c r="J9" i="6"/>
  <c r="I9" i="6"/>
  <c r="F9" i="6"/>
  <c r="K9" i="6"/>
  <c r="S9" i="6" s="1"/>
  <c r="S11" i="6" s="1"/>
  <c r="L9" i="6"/>
  <c r="N27" i="6"/>
  <c r="M27" i="6"/>
  <c r="P27" i="6"/>
  <c r="O27" i="6"/>
  <c r="P28" i="6"/>
  <c r="O28" i="6"/>
  <c r="K12" i="6"/>
  <c r="I12" i="6"/>
  <c r="Q12" i="6" s="1"/>
  <c r="F12" i="6"/>
  <c r="L12" i="6"/>
  <c r="J12" i="6"/>
  <c r="L8" i="6"/>
  <c r="J8" i="6"/>
  <c r="K8" i="6"/>
  <c r="I8" i="6"/>
  <c r="F8" i="6"/>
  <c r="S6" i="6"/>
  <c r="M28" i="6"/>
  <c r="N28" i="6"/>
  <c r="H23" i="6"/>
  <c r="O23" i="6" s="1"/>
  <c r="O24" i="6"/>
  <c r="N22" i="6"/>
  <c r="M22" i="6"/>
  <c r="H22" i="6"/>
  <c r="M23" i="6"/>
  <c r="N23" i="6"/>
  <c r="N6" i="6" l="1"/>
  <c r="H6" i="6"/>
  <c r="O6" i="6" s="1"/>
  <c r="M6" i="6"/>
  <c r="H9" i="6"/>
  <c r="O9" i="6" s="1"/>
  <c r="P23" i="6"/>
  <c r="S8" i="6"/>
  <c r="H8" i="6"/>
  <c r="P8" i="6" s="1"/>
  <c r="O12" i="6"/>
  <c r="S15" i="6" s="1"/>
  <c r="P12" i="6"/>
  <c r="N12" i="6"/>
  <c r="M12" i="6"/>
  <c r="P6" i="6"/>
  <c r="N9" i="6"/>
  <c r="M9" i="6"/>
  <c r="P11" i="6"/>
  <c r="O11" i="6"/>
  <c r="S14" i="6" s="1"/>
  <c r="N7" i="6"/>
  <c r="M7" i="6"/>
  <c r="M8" i="6"/>
  <c r="N8" i="6"/>
  <c r="O8" i="6"/>
  <c r="M11" i="6"/>
  <c r="N11" i="6"/>
  <c r="S7" i="6"/>
  <c r="H7" i="6"/>
  <c r="P22" i="6"/>
  <c r="O22" i="6"/>
  <c r="P9" i="6" l="1"/>
  <c r="O7" i="6"/>
  <c r="P7" i="6"/>
</calcChain>
</file>

<file path=xl/sharedStrings.xml><?xml version="1.0" encoding="utf-8"?>
<sst xmlns="http://schemas.openxmlformats.org/spreadsheetml/2006/main" count="883" uniqueCount="146">
  <si>
    <t>Activos corrientes totales</t>
  </si>
  <si>
    <t>Total de activos</t>
  </si>
  <si>
    <t>Pasivos corrientes totales</t>
  </si>
  <si>
    <t>Total pasivos</t>
  </si>
  <si>
    <t>Patrimonio total</t>
  </si>
  <si>
    <t>Pymes-Individuales</t>
  </si>
  <si>
    <t>Costos financieros</t>
  </si>
  <si>
    <t>Ganancia (pérdida), antes de impuestos</t>
  </si>
  <si>
    <t>Ganancia (pérdida) por actividades de operación</t>
  </si>
  <si>
    <t>Clasificación Industrial Internacional Uniforme Versión 4 A.C</t>
  </si>
  <si>
    <t xml:space="preserve">PERIODO ANTERIOR </t>
  </si>
  <si>
    <t xml:space="preserve">PERIODO ACTUAL </t>
  </si>
  <si>
    <t>TOTAL</t>
  </si>
  <si>
    <t>SUMATORIA TOTAL PERIODO ACTUAL Y ANTERIOR</t>
  </si>
  <si>
    <t>INDICADORES</t>
  </si>
  <si>
    <t>NOMBRE</t>
  </si>
  <si>
    <t>FÓRMULA</t>
  </si>
  <si>
    <t>UNIDAD</t>
  </si>
  <si>
    <t>VALORES ACEPTABLES</t>
  </si>
  <si>
    <t>LIQUIDEZ</t>
  </si>
  <si>
    <t>RAZÓN CORRIENTE</t>
  </si>
  <si>
    <t>Veces</t>
  </si>
  <si>
    <t>ENDEUDAMIENTO</t>
  </si>
  <si>
    <t>RAZÓN DE ENDEUDAMIENTO</t>
  </si>
  <si>
    <t>ESF- Total Pasivo/Total Activo * 100</t>
  </si>
  <si>
    <t>%</t>
  </si>
  <si>
    <t>RAZÓN COBERTURA DE INTERES</t>
  </si>
  <si>
    <t>RAZON DE COBERTURA</t>
  </si>
  <si>
    <t>RENTABILIDAD</t>
  </si>
  <si>
    <t>Retorno  sobre los Activos (ROA)</t>
  </si>
  <si>
    <t>Retorno Sobre El Patrimonio (RCE)</t>
  </si>
  <si>
    <t>ERI - Ganancia (pérdida), antes de impuestos / ESF - Total de activos *100</t>
  </si>
  <si>
    <t>ERI - Ganancia (pérdida), antes de impuestos / ESF - Patromonio total *100</t>
  </si>
  <si>
    <t xml:space="preserve">ESF - Activos corrientes totales /EFS - Pasivos Corrientes Totales </t>
  </si>
  <si>
    <t xml:space="preserve">ERI- Ganancia(perdida) por actividades de operación / ERI - Costos financieros </t>
  </si>
  <si>
    <t xml:space="preserve">CAPITAL DE  TRABAJO NETO </t>
  </si>
  <si>
    <t xml:space="preserve">ESF - Activos corrientes totales -EFS Pasivos Corrientes Totales </t>
  </si>
  <si>
    <t xml:space="preserve">$ </t>
  </si>
  <si>
    <t>$</t>
  </si>
  <si>
    <t>PERIODO</t>
  </si>
  <si>
    <t>INDICADOR A EXIGIR EN EL PROCESO DE CONTRATACIÓN</t>
  </si>
  <si>
    <t>INDICADOR</t>
  </si>
  <si>
    <t xml:space="preserve">PROMEDIO GENERAL DE INDICADORES </t>
  </si>
  <si>
    <t>MEDIA GEOMETRICA</t>
  </si>
  <si>
    <t>MEDIA ARITMETICA</t>
  </si>
  <si>
    <t>MEDIANA</t>
  </si>
  <si>
    <t>MINIMO</t>
  </si>
  <si>
    <t>MAXIMO</t>
  </si>
  <si>
    <t>DESVIACION ESTANDAR</t>
  </si>
  <si>
    <t>MINIMO DESVIACION ESTANDAR CON MEDIANA</t>
  </si>
  <si>
    <t>MAXIMO DESVIACION ESTANDAR CON MEDIANA</t>
  </si>
  <si>
    <t>MINIMO DESVIACION ESTANDAR CON MEDIA ARITMETICA</t>
  </si>
  <si>
    <t>DATO PARA EL ESTUDIO</t>
  </si>
  <si>
    <t>CAPACIDAD FINANCIERA</t>
  </si>
  <si>
    <t>RAZON COBERTURA DE INTERESES</t>
  </si>
  <si>
    <t xml:space="preserve">CAPACIDAD ORGANIZACIONAL </t>
  </si>
  <si>
    <t>RENTABILIDAD ROA ( ACTIVOS)</t>
  </si>
  <si>
    <t>RENTABILIDAD ROE (PATRIMONIO)</t>
  </si>
  <si>
    <t xml:space="preserve">PERIODOS </t>
  </si>
  <si>
    <t>ÍNDICE</t>
  </si>
  <si>
    <t>OBSERVACIONES</t>
  </si>
  <si>
    <t>ÍNDICE DE LIQUIDEZ</t>
  </si>
  <si>
    <t>Determinar la capacidad que tiene un proponente para cumplir con sus obligaciones a corto plazo. A mayor índice de liquidez, menor es la probabilidad de que el proponente incumpla sus obligaciones de corto plazo</t>
  </si>
  <si>
    <t>ÍNDICE DE ENDEUDAMIENTO</t>
  </si>
  <si>
    <t>Determinar el grado de endeudamiento en la estructura de financiación (pasivos y patrimonios) del proponente. A mayor índice de endeudamiento, mayor es la probabilidad del proponente de no poder cumplir con sus pasivos.</t>
  </si>
  <si>
    <t>RAZÓN DE COBERTURA DE INTERESES</t>
  </si>
  <si>
    <t>Utilidad Operacional / Gastos de Intereses</t>
  </si>
  <si>
    <t>Refleja la capacidad del proponente de cumplir con sus obligaciones financieras. A mayor cobertura de intereses, menor es la probabilidad de que el proponente incumpla sus obligaciones financieras</t>
  </si>
  <si>
    <t xml:space="preserve">ÍNDICE REQUERIDO
</t>
  </si>
  <si>
    <t>FORMULA OFERENTE INDIVIDUAL</t>
  </si>
  <si>
    <t>FORMULA OFERENTE PLURAL</t>
  </si>
  <si>
    <t>Rentabilidad del Activo</t>
  </si>
  <si>
    <t>Utilidad Operacional/ Activo Total</t>
  </si>
  <si>
    <t xml:space="preserve">
Rentabilidad ((U.O.*(% Participación) + (U.O.*(% Participación)
del Activo :  __________________________________________  = XXXXX                         ((A.T.*(% Participación) + (A.T.*(% Participación))
</t>
  </si>
  <si>
    <t>Rentabilidad del Patrimonio</t>
  </si>
  <si>
    <t>Utilidad Operacional/ Patrimonio</t>
  </si>
  <si>
    <t xml:space="preserve">Rentabilidad ((U.O.*(% Participación) + (U.O.*(% Participación))
Patrimonio: __________________________________________  = XXXXX
                   ((P.*(% Participación) + (P.*(% Participación))
</t>
  </si>
  <si>
    <t xml:space="preserve">CAPACIDAD FINANCIERA </t>
  </si>
  <si>
    <r>
      <rPr>
        <b/>
        <u/>
        <sz val="11"/>
        <color theme="1"/>
        <rFont val="Garamond"/>
        <family val="1"/>
      </rPr>
      <t xml:space="preserve">Activo Corriente   </t>
    </r>
    <r>
      <rPr>
        <b/>
        <sz val="11"/>
        <color theme="1"/>
        <rFont val="Garamond"/>
        <family val="1"/>
      </rPr>
      <t xml:space="preserve">                             Pasivo Corriente</t>
    </r>
  </si>
  <si>
    <r>
      <rPr>
        <b/>
        <u/>
        <sz val="11"/>
        <color theme="1"/>
        <rFont val="Garamond"/>
        <family val="1"/>
      </rPr>
      <t xml:space="preserve">Pasivo Total </t>
    </r>
    <r>
      <rPr>
        <b/>
        <sz val="11"/>
        <color theme="1"/>
        <rFont val="Garamond"/>
        <family val="1"/>
      </rPr>
      <t xml:space="preserve">                               Activo Total</t>
    </r>
  </si>
  <si>
    <t>RENTABILIDAD ROA (ACTIVOS)</t>
  </si>
  <si>
    <t xml:space="preserve">RESULTADO </t>
  </si>
  <si>
    <t>PERIODO ANTERIOR 2019</t>
  </si>
  <si>
    <t>PERIODO ACTUAL 2019</t>
  </si>
  <si>
    <t>MAXIMO DESVIACION ESTANDAR CON MEDIA ARITMETICA</t>
  </si>
  <si>
    <t>PERIODO ANTERIOR 2020</t>
  </si>
  <si>
    <t>PERIODO ACTUAL 2020</t>
  </si>
  <si>
    <t>PERIODO ACTUAL 2021</t>
  </si>
  <si>
    <t>PERIODO ANTERIOR 2021</t>
  </si>
  <si>
    <t xml:space="preserve">PRESUPUESTO OFICIAL </t>
  </si>
  <si>
    <t>LIQUIDEZ CAPITAL DE  TRABAJO NETO</t>
  </si>
  <si>
    <t xml:space="preserve"> ESF - Activos corrientes totales -EFS Pasivos Corrientes Totales</t>
  </si>
  <si>
    <t>Este indicador representa la liquidez operativa del proponente, es decir el remanente del proponente luego de liquidar sus activos corrientes (convertirlos en efectivo) y pagar el pasivo de corto plazo. Un capital de trabajo positivo contribuye con el desarrollo eficiente de la actividad económica del proponente. Es recomendable su uso cuando la Entidad Estatal requiere analizar el nivel de liquidez en términos absolutos.</t>
  </si>
  <si>
    <t>Razón social de la sociedad</t>
  </si>
  <si>
    <t>GE ENERGY COLOMBIA SA</t>
  </si>
  <si>
    <t>C3312 - Mantenimiento y reparación especializado de maquinaria y equipo</t>
  </si>
  <si>
    <t>WARTSILA COLOMBIA S.A.</t>
  </si>
  <si>
    <t>KOMATSU COLOMBIA S.A.S.</t>
  </si>
  <si>
    <t>SERVIPARAMO SA</t>
  </si>
  <si>
    <t>TAMETCO SAS</t>
  </si>
  <si>
    <t>NOVATECNICA SAS</t>
  </si>
  <si>
    <t>IMBERA SERVICIOS COLOMBIA SAS</t>
  </si>
  <si>
    <t>POWER TRAIN TECHNOLOGIES COLOMBIA S.A.S</t>
  </si>
  <si>
    <t>Plenas-Individuales</t>
  </si>
  <si>
    <t>S9511 - Mantenimiento y reparación de computadores y de equipo periférico</t>
  </si>
  <si>
    <t>COMPUFACIL SAS</t>
  </si>
  <si>
    <t>DIEBOLD COLOMBIA SA</t>
  </si>
  <si>
    <t>TOSHIBA GLOBAL COMMERCE SOLUTIONS (COLOMBIA), S.A.S.</t>
  </si>
  <si>
    <t>STUDIOCOM COM INC</t>
  </si>
  <si>
    <t>SERVICIOS ARCHIVISTICOS Y TECNOLOGICOS S A S EN REORGANIZACION</t>
  </si>
  <si>
    <t>SUSTS COLOMBIA LIMITADA</t>
  </si>
  <si>
    <t>SOCIEDAD CAMERAL DE CERTIFICACION DIGITAL CERTICAMARA S.A.</t>
  </si>
  <si>
    <t>ROAD TRACK DE COLOMBIA S.A.S</t>
  </si>
  <si>
    <t>ITS INFOCOMUNICACION SAS</t>
  </si>
  <si>
    <t>SAP COLOMBIA SAS</t>
  </si>
  <si>
    <t>IDEAS MUSICALES DE COLOMBIA SAS</t>
  </si>
  <si>
    <t>J6209 - Otras actividades de tecnologías de información y actividades de servicios informáticos</t>
  </si>
  <si>
    <t>Plenass-Individuales</t>
  </si>
  <si>
    <t>ANPALA S.A.S</t>
  </si>
  <si>
    <t>EZENTIS COLOMBIA SAS</t>
  </si>
  <si>
    <t>EGM INGENIERIA SIN FRONTERAS S.A.S.</t>
  </si>
  <si>
    <t>ATOS IT SOLUTIONS AND SERVICES SAS</t>
  </si>
  <si>
    <t>PHILIPS COLOMBIANA S.A.</t>
  </si>
  <si>
    <t>IMBERA SERVICIOS COLOMBIA S.A.S.</t>
  </si>
  <si>
    <t>ANDRITZ HYDRO LTDA</t>
  </si>
  <si>
    <t>WARTSILA COLOMBIA S.A</t>
  </si>
  <si>
    <t>GE Energy Colombia S.A.</t>
  </si>
  <si>
    <t>Komatsu Colombia S.A.S.</t>
  </si>
  <si>
    <t>SERVIPARAMO SAS</t>
  </si>
  <si>
    <t>DIEBOLD NIXDORF COLOMBIA S.A.S.</t>
  </si>
  <si>
    <t>ANPALA SAS</t>
  </si>
  <si>
    <t>COMPUFACIL S A S</t>
  </si>
  <si>
    <t>COMPAÑÍA DE SERVICIOS ARCHISVISTICOS Y TECNOLOGICOS S.A.S</t>
  </si>
  <si>
    <t>SOCIEDAD CAMERAL DE CERTIFICACION DIGITAL CERTICAMARA SA</t>
  </si>
  <si>
    <t>ROAD TRACK DE COLOMBIA S.A.S.</t>
  </si>
  <si>
    <t>Atos It Solutions and Services SAS</t>
  </si>
  <si>
    <t>EVERTEC PLACETOPAY SAS</t>
  </si>
  <si>
    <t>C3312</t>
  </si>
  <si>
    <t>S9511</t>
  </si>
  <si>
    <t>J6209</t>
  </si>
  <si>
    <t>Mayor o igual a 1,45</t>
  </si>
  <si>
    <t>Menor o igual al 48%</t>
  </si>
  <si>
    <t>Mayor o Igual a 1,42</t>
  </si>
  <si>
    <t xml:space="preserve">Mayor o Igual 100 % del P.O. </t>
  </si>
  <si>
    <t>Mayor o igual a 3%</t>
  </si>
  <si>
    <t>Mayor o igual a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</si>
</sst>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
  </numFmts>
  <fonts count="9" x14ac:knownFonts="1">
    <font>
      <sz val="11"/>
      <color theme="1"/>
      <name val="Calibri"/>
      <family val="2"/>
      <scheme val="minor"/>
    </font>
    <font>
      <sz val="11"/>
      <color theme="1"/>
      <name val="Calibri"/>
      <family val="2"/>
      <scheme val="minor"/>
    </font>
    <font>
      <b/>
      <sz val="12"/>
      <name val="Garamond"/>
      <family val="1"/>
    </font>
    <font>
      <b/>
      <sz val="12"/>
      <color theme="1"/>
      <name val="Garamond"/>
      <family val="1"/>
    </font>
    <font>
      <sz val="12"/>
      <color theme="1"/>
      <name val="Garamond"/>
      <family val="1"/>
    </font>
    <font>
      <sz val="11"/>
      <color theme="1"/>
      <name val="Garamond"/>
      <family val="1"/>
    </font>
    <font>
      <b/>
      <sz val="11"/>
      <name val="Garamond"/>
      <family val="1"/>
    </font>
    <font>
      <b/>
      <sz val="11"/>
      <color theme="1"/>
      <name val="Garamond"/>
      <family val="1"/>
    </font>
    <font>
      <b/>
      <u/>
      <sz val="11"/>
      <color theme="1"/>
      <name val="Garamond"/>
      <family val="1"/>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6" tint="0.79998168889431442"/>
        <bgColor indexed="64"/>
      </patternFill>
    </fill>
  </fills>
  <borders count="52">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style="thin">
        <color auto="1"/>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style="thin">
        <color auto="1"/>
      </right>
      <top style="thin">
        <color auto="1"/>
      </top>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right style="medium">
        <color indexed="64"/>
      </right>
      <top style="thin">
        <color auto="1"/>
      </top>
      <bottom style="medium">
        <color indexed="64"/>
      </bottom>
      <diagonal/>
    </border>
    <border>
      <left style="thin">
        <color auto="1"/>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76">
    <xf numFmtId="0" fontId="0" fillId="0" borderId="0" xfId="0"/>
    <xf numFmtId="0" fontId="2" fillId="2" borderId="2" xfId="0" applyFont="1" applyFill="1" applyBorder="1" applyAlignment="1">
      <alignment horizontal="center" vertical="center" wrapText="1"/>
    </xf>
    <xf numFmtId="0" fontId="2" fillId="2" borderId="2" xfId="1"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0" borderId="0" xfId="0" applyFont="1" applyAlignment="1">
      <alignment wrapText="1"/>
    </xf>
    <xf numFmtId="0" fontId="3" fillId="3" borderId="24" xfId="0" applyFont="1" applyFill="1" applyBorder="1" applyAlignment="1">
      <alignment horizontal="left" vertical="center" wrapText="1"/>
    </xf>
    <xf numFmtId="0" fontId="3" fillId="3" borderId="1" xfId="0" applyFont="1" applyFill="1" applyBorder="1" applyAlignment="1">
      <alignment horizontal="center" vertical="center" wrapText="1"/>
    </xf>
    <xf numFmtId="2" fontId="3" fillId="3" borderId="25" xfId="0" applyNumberFormat="1" applyFont="1" applyFill="1" applyBorder="1" applyAlignment="1">
      <alignment horizontal="center" vertical="center" wrapText="1"/>
    </xf>
    <xf numFmtId="0" fontId="3" fillId="3" borderId="26" xfId="0" applyFont="1" applyFill="1" applyBorder="1" applyAlignment="1">
      <alignment horizontal="left" vertical="center" wrapText="1"/>
    </xf>
    <xf numFmtId="0" fontId="3" fillId="3" borderId="27" xfId="0" applyFont="1" applyFill="1" applyBorder="1" applyAlignment="1">
      <alignment horizontal="center" vertical="center" wrapText="1"/>
    </xf>
    <xf numFmtId="0" fontId="3" fillId="3" borderId="17" xfId="0" applyFont="1" applyFill="1" applyBorder="1" applyAlignment="1">
      <alignment horizontal="center" vertical="center" wrapText="1"/>
    </xf>
    <xf numFmtId="2" fontId="3" fillId="3" borderId="18" xfId="0" applyNumberFormat="1" applyFont="1" applyFill="1" applyBorder="1" applyAlignment="1">
      <alignment horizontal="center" vertical="center" wrapText="1"/>
    </xf>
    <xf numFmtId="2" fontId="3" fillId="3" borderId="20" xfId="0" applyNumberFormat="1"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 xfId="0" applyFont="1" applyFill="1" applyBorder="1" applyAlignment="1">
      <alignment vertical="center" wrapText="1"/>
    </xf>
    <xf numFmtId="0" fontId="3" fillId="3" borderId="16" xfId="0" applyFont="1" applyFill="1" applyBorder="1" applyAlignment="1">
      <alignment vertical="center" wrapText="1"/>
    </xf>
    <xf numFmtId="0" fontId="3" fillId="3" borderId="17" xfId="0" applyFont="1" applyFill="1" applyBorder="1" applyAlignment="1">
      <alignment vertical="center" wrapText="1"/>
    </xf>
    <xf numFmtId="0" fontId="3" fillId="3" borderId="19" xfId="0" applyFont="1" applyFill="1" applyBorder="1" applyAlignment="1">
      <alignment vertical="center" wrapText="1"/>
    </xf>
    <xf numFmtId="0" fontId="3" fillId="3" borderId="15" xfId="0" applyFont="1" applyFill="1" applyBorder="1" applyAlignment="1">
      <alignment vertical="center" wrapText="1"/>
    </xf>
    <xf numFmtId="0" fontId="2" fillId="2" borderId="4" xfId="0" applyFont="1" applyFill="1" applyBorder="1" applyAlignment="1">
      <alignment vertical="center" wrapText="1"/>
    </xf>
    <xf numFmtId="0" fontId="3" fillId="3" borderId="26" xfId="0" applyFont="1" applyFill="1" applyBorder="1" applyAlignment="1">
      <alignment vertical="center" wrapText="1"/>
    </xf>
    <xf numFmtId="0" fontId="3" fillId="3" borderId="27" xfId="0" applyFont="1" applyFill="1" applyBorder="1" applyAlignment="1">
      <alignment vertical="center" wrapText="1"/>
    </xf>
    <xf numFmtId="2" fontId="3" fillId="3" borderId="28" xfId="0" applyNumberFormat="1" applyFont="1" applyFill="1" applyBorder="1" applyAlignment="1">
      <alignment horizontal="center" vertical="center" wrapText="1"/>
    </xf>
    <xf numFmtId="44" fontId="3" fillId="3" borderId="28" xfId="1" applyFont="1" applyFill="1" applyBorder="1" applyAlignment="1">
      <alignment horizontal="center" vertical="center" wrapText="1"/>
    </xf>
    <xf numFmtId="0" fontId="5" fillId="0" borderId="0" xfId="0" applyFont="1"/>
    <xf numFmtId="0" fontId="6" fillId="2" borderId="2" xfId="0" applyFont="1" applyFill="1" applyBorder="1" applyAlignment="1">
      <alignment horizontal="center" vertical="center" wrapText="1"/>
    </xf>
    <xf numFmtId="0" fontId="6" fillId="2" borderId="2" xfId="1" applyNumberFormat="1" applyFont="1" applyFill="1" applyBorder="1" applyAlignment="1">
      <alignment horizontal="center" vertical="center" wrapText="1"/>
    </xf>
    <xf numFmtId="0" fontId="7" fillId="0" borderId="29" xfId="0" applyFont="1" applyBorder="1" applyAlignment="1">
      <alignment horizontal="center" vertical="top"/>
    </xf>
    <xf numFmtId="0" fontId="5" fillId="0" borderId="1" xfId="0" applyFont="1" applyBorder="1"/>
    <xf numFmtId="0" fontId="5" fillId="0" borderId="25" xfId="0" applyFont="1" applyBorder="1"/>
    <xf numFmtId="0" fontId="7" fillId="0" borderId="5" xfId="0" applyFont="1" applyBorder="1"/>
    <xf numFmtId="0" fontId="7" fillId="0" borderId="12" xfId="0" applyFont="1" applyBorder="1"/>
    <xf numFmtId="0" fontId="6" fillId="2" borderId="12" xfId="0" applyFont="1" applyFill="1" applyBorder="1"/>
    <xf numFmtId="0" fontId="6" fillId="2" borderId="13" xfId="0" applyFont="1" applyFill="1" applyBorder="1"/>
    <xf numFmtId="0" fontId="6" fillId="2" borderId="14" xfId="0" applyFont="1" applyFill="1" applyBorder="1"/>
    <xf numFmtId="0" fontId="6" fillId="2" borderId="4" xfId="0" applyFont="1" applyFill="1" applyBorder="1" applyAlignment="1">
      <alignment horizontal="center" vertical="center" wrapText="1"/>
    </xf>
    <xf numFmtId="0" fontId="6" fillId="2" borderId="2" xfId="0" applyFont="1" applyFill="1" applyBorder="1" applyAlignment="1">
      <alignment vertical="center" wrapText="1"/>
    </xf>
    <xf numFmtId="0" fontId="7" fillId="3" borderId="16" xfId="0" applyFont="1" applyFill="1" applyBorder="1" applyAlignment="1">
      <alignment vertical="center" wrapText="1"/>
    </xf>
    <xf numFmtId="0" fontId="7" fillId="3" borderId="17" xfId="0" applyFont="1" applyFill="1" applyBorder="1" applyAlignment="1">
      <alignment vertical="center" wrapText="1"/>
    </xf>
    <xf numFmtId="0" fontId="7" fillId="3" borderId="17" xfId="0" applyFont="1" applyFill="1" applyBorder="1" applyAlignment="1">
      <alignment horizontal="center" vertical="center" wrapText="1"/>
    </xf>
    <xf numFmtId="2" fontId="7" fillId="3" borderId="18" xfId="0" applyNumberFormat="1" applyFont="1" applyFill="1" applyBorder="1" applyAlignment="1">
      <alignment horizontal="center" vertical="center" wrapText="1"/>
    </xf>
    <xf numFmtId="0" fontId="7" fillId="3" borderId="19" xfId="0" applyFont="1" applyFill="1" applyBorder="1" applyAlignment="1">
      <alignment vertical="center" wrapText="1"/>
    </xf>
    <xf numFmtId="0" fontId="7" fillId="3" borderId="15" xfId="0" applyFont="1" applyFill="1" applyBorder="1" applyAlignment="1">
      <alignment vertical="center" wrapText="1"/>
    </xf>
    <xf numFmtId="2" fontId="7" fillId="3" borderId="20" xfId="0" applyNumberFormat="1" applyFont="1" applyFill="1" applyBorder="1" applyAlignment="1">
      <alignment horizontal="center" vertical="center" wrapText="1"/>
    </xf>
    <xf numFmtId="0" fontId="6" fillId="2" borderId="4" xfId="0" applyFont="1" applyFill="1" applyBorder="1" applyAlignment="1">
      <alignment vertical="center" wrapText="1"/>
    </xf>
    <xf numFmtId="0" fontId="7" fillId="3" borderId="26" xfId="0" applyFont="1" applyFill="1" applyBorder="1" applyAlignment="1">
      <alignment vertical="center" wrapText="1"/>
    </xf>
    <xf numFmtId="0" fontId="7" fillId="3" borderId="27" xfId="0" applyFont="1" applyFill="1" applyBorder="1" applyAlignment="1">
      <alignment vertical="center" wrapText="1"/>
    </xf>
    <xf numFmtId="2" fontId="7" fillId="3" borderId="28" xfId="0" applyNumberFormat="1" applyFont="1" applyFill="1" applyBorder="1" applyAlignment="1">
      <alignment horizontal="center" vertical="center" wrapText="1"/>
    </xf>
    <xf numFmtId="44" fontId="7" fillId="3" borderId="28" xfId="1" applyFont="1" applyFill="1" applyBorder="1" applyAlignment="1">
      <alignment horizontal="center" vertical="center" wrapText="1"/>
    </xf>
    <xf numFmtId="0" fontId="5" fillId="0" borderId="0" xfId="0" applyFont="1" applyAlignment="1">
      <alignment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4" xfId="0" applyFont="1" applyFill="1" applyBorder="1" applyAlignment="1">
      <alignment horizontal="left" vertical="center" wrapText="1"/>
    </xf>
    <xf numFmtId="0" fontId="7" fillId="3" borderId="24" xfId="0" applyFont="1" applyFill="1" applyBorder="1" applyAlignment="1">
      <alignment horizontal="left" vertical="center" wrapText="1"/>
    </xf>
    <xf numFmtId="0" fontId="7" fillId="3" borderId="1" xfId="0" applyFont="1" applyFill="1" applyBorder="1" applyAlignment="1">
      <alignment horizontal="center" vertical="center" wrapText="1"/>
    </xf>
    <xf numFmtId="2" fontId="7" fillId="3" borderId="25" xfId="0" applyNumberFormat="1" applyFont="1" applyFill="1" applyBorder="1" applyAlignment="1">
      <alignment horizontal="center" vertical="center" wrapText="1"/>
    </xf>
    <xf numFmtId="0" fontId="7" fillId="3" borderId="26" xfId="0" applyFont="1" applyFill="1" applyBorder="1" applyAlignment="1">
      <alignment horizontal="left" vertical="center" wrapText="1"/>
    </xf>
    <xf numFmtId="0" fontId="7" fillId="3" borderId="27" xfId="0" applyFont="1" applyFill="1" applyBorder="1" applyAlignment="1">
      <alignment horizontal="center" vertical="center" wrapText="1"/>
    </xf>
    <xf numFmtId="0" fontId="5" fillId="0" borderId="10" xfId="0" applyFont="1" applyBorder="1"/>
    <xf numFmtId="0" fontId="7" fillId="0" borderId="10" xfId="0" applyFont="1" applyBorder="1"/>
    <xf numFmtId="0" fontId="7" fillId="0" borderId="10" xfId="0" applyFont="1" applyBorder="1" applyAlignment="1">
      <alignment horizontal="center" vertical="top"/>
    </xf>
    <xf numFmtId="0" fontId="5" fillId="0" borderId="33" xfId="0" applyFont="1" applyBorder="1"/>
    <xf numFmtId="0" fontId="5" fillId="0" borderId="11" xfId="0" applyFont="1" applyBorder="1"/>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3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4" xfId="0" applyFont="1" applyFill="1" applyBorder="1" applyAlignment="1">
      <alignment horizontal="left" vertical="center" wrapText="1"/>
    </xf>
    <xf numFmtId="0" fontId="7" fillId="3" borderId="4" xfId="0"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4" xfId="0" applyFont="1" applyFill="1" applyBorder="1" applyAlignment="1">
      <alignment horizontal="left" wrapText="1"/>
    </xf>
    <xf numFmtId="0" fontId="7" fillId="3" borderId="3" xfId="0" applyFont="1" applyFill="1" applyBorder="1" applyAlignment="1">
      <alignment horizontal="left" wrapText="1"/>
    </xf>
    <xf numFmtId="0" fontId="7" fillId="2" borderId="4" xfId="0" applyFont="1" applyFill="1" applyBorder="1" applyAlignment="1">
      <alignment horizontal="left" vertical="center"/>
    </xf>
    <xf numFmtId="0" fontId="8" fillId="3" borderId="4" xfId="0" applyFont="1" applyFill="1" applyBorder="1" applyAlignment="1">
      <alignment horizontal="center" vertical="center"/>
    </xf>
    <xf numFmtId="0" fontId="7" fillId="2" borderId="9" xfId="0" applyFont="1" applyFill="1" applyBorder="1" applyAlignment="1">
      <alignment horizontal="center" vertical="center" wrapText="1"/>
    </xf>
    <xf numFmtId="0" fontId="3" fillId="2" borderId="42"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4" fillId="0" borderId="0" xfId="0" applyFont="1" applyAlignment="1">
      <alignment horizontal="center" vertical="center"/>
    </xf>
    <xf numFmtId="165" fontId="3" fillId="4" borderId="37" xfId="0" applyNumberFormat="1" applyFont="1" applyFill="1" applyBorder="1" applyAlignment="1">
      <alignment horizontal="center" vertical="center"/>
    </xf>
    <xf numFmtId="2" fontId="3" fillId="4" borderId="37" xfId="0" applyNumberFormat="1" applyFont="1" applyFill="1" applyBorder="1" applyAlignment="1">
      <alignment horizontal="center" vertical="center"/>
    </xf>
    <xf numFmtId="165" fontId="4" fillId="2" borderId="37" xfId="0" applyNumberFormat="1" applyFont="1" applyFill="1" applyBorder="1" applyAlignment="1">
      <alignment horizontal="center" vertical="center"/>
    </xf>
    <xf numFmtId="165" fontId="3" fillId="4" borderId="4" xfId="0" applyNumberFormat="1" applyFont="1" applyFill="1" applyBorder="1" applyAlignment="1">
      <alignment horizontal="center" vertical="center"/>
    </xf>
    <xf numFmtId="2" fontId="3" fillId="4" borderId="4" xfId="0" applyNumberFormat="1" applyFont="1" applyFill="1" applyBorder="1" applyAlignment="1">
      <alignment horizontal="center" vertical="center"/>
    </xf>
    <xf numFmtId="165" fontId="4" fillId="2" borderId="4" xfId="0" applyNumberFormat="1" applyFont="1" applyFill="1" applyBorder="1" applyAlignment="1">
      <alignment horizontal="center" vertical="center"/>
    </xf>
    <xf numFmtId="0" fontId="3" fillId="3" borderId="4" xfId="0" applyFont="1" applyFill="1" applyBorder="1" applyAlignment="1">
      <alignment horizontal="center" vertical="center"/>
    </xf>
    <xf numFmtId="0" fontId="0" fillId="0" borderId="1" xfId="0" applyBorder="1"/>
    <xf numFmtId="0" fontId="3" fillId="2" borderId="2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47" xfId="0" applyFont="1" applyFill="1" applyBorder="1" applyAlignment="1">
      <alignment horizontal="center" vertical="center" wrapText="1"/>
    </xf>
    <xf numFmtId="0" fontId="7" fillId="0" borderId="4" xfId="0" applyFont="1" applyBorder="1"/>
    <xf numFmtId="44" fontId="3" fillId="4" borderId="4" xfId="1" applyFont="1" applyFill="1" applyBorder="1" applyAlignment="1">
      <alignment horizontal="center" vertical="center"/>
    </xf>
    <xf numFmtId="0" fontId="3" fillId="2" borderId="45" xfId="0" applyFont="1" applyFill="1" applyBorder="1" applyAlignment="1">
      <alignment horizontal="center" vertical="center" wrapText="1"/>
    </xf>
    <xf numFmtId="0" fontId="3" fillId="2" borderId="48" xfId="0" applyFont="1" applyFill="1" applyBorder="1" applyAlignment="1">
      <alignment horizontal="center" vertical="center" wrapText="1"/>
    </xf>
    <xf numFmtId="165" fontId="3" fillId="4" borderId="7" xfId="0" applyNumberFormat="1" applyFont="1" applyFill="1" applyBorder="1" applyAlignment="1">
      <alignment horizontal="center" vertical="center"/>
    </xf>
    <xf numFmtId="2" fontId="3" fillId="4" borderId="9" xfId="0" applyNumberFormat="1" applyFont="1" applyFill="1" applyBorder="1" applyAlignment="1">
      <alignment horizontal="center" vertical="center"/>
    </xf>
    <xf numFmtId="0" fontId="3" fillId="2" borderId="44" xfId="0" applyFont="1" applyFill="1" applyBorder="1" applyAlignment="1">
      <alignment horizontal="center" vertical="center" wrapText="1"/>
    </xf>
    <xf numFmtId="2" fontId="3" fillId="5" borderId="32" xfId="0" applyNumberFormat="1" applyFont="1" applyFill="1" applyBorder="1" applyAlignment="1">
      <alignment horizontal="center" vertical="center"/>
    </xf>
    <xf numFmtId="2" fontId="3" fillId="5" borderId="22" xfId="0" applyNumberFormat="1" applyFont="1" applyFill="1" applyBorder="1" applyAlignment="1">
      <alignment horizontal="center" vertical="center"/>
    </xf>
    <xf numFmtId="2" fontId="3" fillId="5" borderId="38" xfId="0" applyNumberFormat="1" applyFont="1" applyFill="1" applyBorder="1" applyAlignment="1">
      <alignment horizontal="center" vertical="center"/>
    </xf>
    <xf numFmtId="2" fontId="3" fillId="5" borderId="39" xfId="0" applyNumberFormat="1" applyFont="1" applyFill="1" applyBorder="1" applyAlignment="1">
      <alignment horizontal="center" vertical="center"/>
    </xf>
    <xf numFmtId="164" fontId="3" fillId="5" borderId="12" xfId="1" applyNumberFormat="1" applyFont="1" applyFill="1" applyBorder="1" applyAlignment="1">
      <alignment horizontal="center" vertical="center"/>
    </xf>
    <xf numFmtId="164" fontId="3" fillId="5" borderId="13" xfId="1" applyNumberFormat="1" applyFont="1" applyFill="1" applyBorder="1" applyAlignment="1">
      <alignment horizontal="center" vertical="center"/>
    </xf>
    <xf numFmtId="2" fontId="3" fillId="5" borderId="29" xfId="0" applyNumberFormat="1" applyFont="1" applyFill="1" applyBorder="1" applyAlignment="1">
      <alignment horizontal="center" vertical="center"/>
    </xf>
    <xf numFmtId="2" fontId="3" fillId="5" borderId="1" xfId="0" applyNumberFormat="1" applyFont="1" applyFill="1" applyBorder="1" applyAlignment="1">
      <alignment horizontal="center" vertical="center"/>
    </xf>
    <xf numFmtId="2" fontId="3" fillId="5" borderId="30" xfId="0" applyNumberFormat="1" applyFont="1" applyFill="1" applyBorder="1" applyAlignment="1">
      <alignment horizontal="center" vertical="center"/>
    </xf>
    <xf numFmtId="2" fontId="3" fillId="5" borderId="27" xfId="0" applyNumberFormat="1" applyFont="1" applyFill="1" applyBorder="1" applyAlignment="1">
      <alignment horizontal="center" vertical="center"/>
    </xf>
    <xf numFmtId="44" fontId="3" fillId="4" borderId="7" xfId="1" applyFont="1" applyFill="1" applyBorder="1" applyAlignment="1">
      <alignment horizontal="center" vertical="center"/>
    </xf>
    <xf numFmtId="44" fontId="4" fillId="2" borderId="4" xfId="1" applyFont="1" applyFill="1" applyBorder="1" applyAlignment="1">
      <alignment horizontal="center" vertical="center"/>
    </xf>
    <xf numFmtId="44" fontId="3" fillId="5" borderId="30" xfId="1" applyFont="1" applyFill="1" applyBorder="1" applyAlignment="1">
      <alignment horizontal="center" vertical="center"/>
    </xf>
    <xf numFmtId="44" fontId="3" fillId="5" borderId="27" xfId="1" applyFont="1" applyFill="1" applyBorder="1" applyAlignment="1">
      <alignment horizontal="center" vertical="center"/>
    </xf>
    <xf numFmtId="44" fontId="3" fillId="5" borderId="28" xfId="1" applyFont="1" applyFill="1" applyBorder="1" applyAlignment="1">
      <alignment horizontal="center" vertical="center"/>
    </xf>
    <xf numFmtId="0" fontId="3" fillId="5" borderId="2" xfId="0" applyFont="1" applyFill="1" applyBorder="1" applyAlignment="1">
      <alignment horizontal="center" vertical="center"/>
    </xf>
    <xf numFmtId="0" fontId="3" fillId="2" borderId="49" xfId="0" applyFont="1" applyFill="1" applyBorder="1" applyAlignment="1">
      <alignment horizontal="center" vertical="center" wrapText="1"/>
    </xf>
    <xf numFmtId="44" fontId="3" fillId="4" borderId="6" xfId="1" applyFont="1" applyFill="1" applyBorder="1" applyAlignment="1">
      <alignment horizontal="center" vertical="center"/>
    </xf>
    <xf numFmtId="44" fontId="3" fillId="4" borderId="5" xfId="1" applyFont="1" applyFill="1" applyBorder="1" applyAlignment="1">
      <alignment horizontal="center" vertical="center"/>
    </xf>
    <xf numFmtId="2" fontId="3" fillId="2" borderId="25" xfId="0" applyNumberFormat="1" applyFont="1" applyFill="1" applyBorder="1" applyAlignment="1">
      <alignment horizontal="center" vertical="center"/>
    </xf>
    <xf numFmtId="3" fontId="4" fillId="0" borderId="0" xfId="0" applyNumberFormat="1" applyFont="1" applyAlignment="1">
      <alignment horizontal="center" vertical="center"/>
    </xf>
    <xf numFmtId="0" fontId="3" fillId="2" borderId="4" xfId="0" applyFont="1" applyFill="1" applyBorder="1" applyAlignment="1">
      <alignment horizontal="center" vertical="center" wrapText="1"/>
    </xf>
    <xf numFmtId="9" fontId="4" fillId="0" borderId="7" xfId="2" applyFont="1" applyBorder="1" applyAlignment="1">
      <alignment horizontal="center" vertical="center"/>
    </xf>
    <xf numFmtId="2" fontId="3" fillId="2" borderId="20" xfId="0" applyNumberFormat="1" applyFont="1" applyFill="1" applyBorder="1" applyAlignment="1">
      <alignment horizontal="center" vertical="center"/>
    </xf>
    <xf numFmtId="44" fontId="3" fillId="5" borderId="1" xfId="1" applyFont="1" applyFill="1" applyBorder="1" applyAlignment="1">
      <alignment horizontal="center" vertical="center"/>
    </xf>
    <xf numFmtId="0" fontId="5" fillId="0" borderId="51" xfId="0" applyFont="1" applyBorder="1"/>
    <xf numFmtId="44" fontId="4" fillId="2" borderId="37" xfId="2" applyNumberFormat="1" applyFont="1" applyFill="1" applyBorder="1" applyAlignment="1">
      <alignment horizontal="center" vertical="center"/>
    </xf>
    <xf numFmtId="1" fontId="3" fillId="2" borderId="42" xfId="0" applyNumberFormat="1" applyFont="1" applyFill="1" applyBorder="1" applyAlignment="1">
      <alignment horizontal="center" vertical="center"/>
    </xf>
    <xf numFmtId="9" fontId="3" fillId="2" borderId="11" xfId="2" applyFont="1" applyFill="1" applyBorder="1" applyAlignment="1">
      <alignment horizontal="center" vertical="center"/>
    </xf>
    <xf numFmtId="44" fontId="4" fillId="0" borderId="0" xfId="1" applyFont="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6" fillId="2" borderId="5" xfId="0" applyFont="1" applyFill="1" applyBorder="1" applyAlignment="1">
      <alignment horizontal="center"/>
    </xf>
    <xf numFmtId="0" fontId="6" fillId="2" borderId="7" xfId="0" applyFont="1" applyFill="1" applyBorder="1" applyAlignment="1">
      <alignment horizontal="center"/>
    </xf>
    <xf numFmtId="0" fontId="2" fillId="2" borderId="8"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2" borderId="30" xfId="0" applyFont="1" applyFill="1" applyBorder="1" applyAlignment="1">
      <alignment horizontal="center"/>
    </xf>
    <xf numFmtId="0" fontId="2" fillId="2" borderId="31" xfId="0" applyFont="1" applyFill="1" applyBorder="1" applyAlignment="1">
      <alignment horizontal="center"/>
    </xf>
    <xf numFmtId="0" fontId="2" fillId="2" borderId="49" xfId="0" applyFont="1" applyFill="1" applyBorder="1" applyAlignment="1">
      <alignment horizontal="center"/>
    </xf>
    <xf numFmtId="0" fontId="2" fillId="2" borderId="50" xfId="0" applyFont="1" applyFill="1" applyBorder="1" applyAlignment="1">
      <alignment horizontal="center"/>
    </xf>
    <xf numFmtId="0" fontId="6" fillId="2" borderId="8"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8" xfId="0" applyFont="1" applyFill="1" applyBorder="1" applyAlignment="1">
      <alignment horizontal="center"/>
    </xf>
    <xf numFmtId="0" fontId="6" fillId="2" borderId="9" xfId="0" applyFont="1" applyFill="1" applyBorder="1" applyAlignment="1">
      <alignment horizontal="center"/>
    </xf>
    <xf numFmtId="0" fontId="6" fillId="2" borderId="30" xfId="0" applyFont="1" applyFill="1" applyBorder="1" applyAlignment="1">
      <alignment horizontal="center"/>
    </xf>
    <xf numFmtId="0" fontId="6" fillId="2" borderId="31" xfId="0" applyFont="1" applyFill="1" applyBorder="1" applyAlignment="1">
      <alignment horizontal="center"/>
    </xf>
    <xf numFmtId="0" fontId="3" fillId="2" borderId="36" xfId="0" applyFont="1" applyFill="1" applyBorder="1" applyAlignment="1">
      <alignment horizontal="center" vertical="center"/>
    </xf>
    <xf numFmtId="0" fontId="3" fillId="2" borderId="4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7" xfId="0" applyFont="1" applyFill="1" applyBorder="1" applyAlignment="1">
      <alignment horizontal="center" vertical="center"/>
    </xf>
    <xf numFmtId="0" fontId="3" fillId="2" borderId="34" xfId="0" applyFont="1" applyFill="1" applyBorder="1" applyAlignment="1">
      <alignment horizontal="center" vertical="center"/>
    </xf>
    <xf numFmtId="0" fontId="3" fillId="2" borderId="35"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6" xfId="0" applyFont="1" applyFill="1" applyBorder="1" applyAlignment="1">
      <alignment horizontal="center" vertical="center"/>
    </xf>
    <xf numFmtId="0" fontId="3" fillId="2" borderId="43" xfId="0" applyFont="1" applyFill="1" applyBorder="1" applyAlignment="1">
      <alignment horizontal="center" vertical="center"/>
    </xf>
    <xf numFmtId="0" fontId="3" fillId="3" borderId="35" xfId="0" applyFont="1" applyFill="1" applyBorder="1" applyAlignment="1">
      <alignment horizontal="center" vertical="center"/>
    </xf>
    <xf numFmtId="0" fontId="2" fillId="3" borderId="0" xfId="0" applyFont="1" applyFill="1" applyAlignment="1">
      <alignment horizontal="center" vertical="center"/>
    </xf>
    <xf numFmtId="0" fontId="7" fillId="0" borderId="5"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cellXfs>
  <cellStyles count="3">
    <cellStyle name="Moneda" xfId="1" builtinId="4"/>
    <cellStyle name="Normal" xfId="0" builtinId="0"/>
    <cellStyle name="Porcentaje" xfId="2" builtinId="5"/>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6"/>
  <sheetViews>
    <sheetView topLeftCell="A4" zoomScale="59" zoomScaleNormal="59" workbookViewId="0">
      <selection activeCell="C6" sqref="C6"/>
    </sheetView>
  </sheetViews>
  <sheetFormatPr baseColWidth="10" defaultColWidth="11.42578125" defaultRowHeight="15" x14ac:dyDescent="0.25"/>
  <cols>
    <col min="1" max="1" width="11.42578125" style="27"/>
    <col min="2" max="2" width="52.85546875" style="27" customWidth="1"/>
    <col min="3" max="3" width="84" style="27" customWidth="1"/>
    <col min="4" max="4" width="17.5703125" style="27" customWidth="1"/>
    <col min="5" max="5" width="11.42578125" style="27"/>
    <col min="6" max="6" width="16.42578125" style="27" bestFit="1" customWidth="1"/>
    <col min="7" max="10" width="11.42578125" style="27"/>
    <col min="11" max="11" width="14.42578125" style="27" customWidth="1"/>
    <col min="12" max="16384" width="11.42578125" style="27"/>
  </cols>
  <sheetData>
    <row r="1" spans="2:11" ht="15.75" thickBot="1" x14ac:dyDescent="0.3"/>
    <row r="2" spans="2:11" ht="15.75" thickBot="1" x14ac:dyDescent="0.3">
      <c r="B2" s="137" t="s">
        <v>103</v>
      </c>
      <c r="C2" s="138"/>
      <c r="D2" s="138"/>
      <c r="E2" s="138"/>
      <c r="F2" s="138"/>
      <c r="G2" s="138"/>
      <c r="H2" s="138"/>
      <c r="I2" s="138"/>
      <c r="J2" s="138"/>
      <c r="K2" s="139"/>
    </row>
    <row r="3" spans="2:11" ht="15.75" thickBot="1" x14ac:dyDescent="0.3">
      <c r="B3" s="137" t="s">
        <v>82</v>
      </c>
      <c r="C3" s="138"/>
      <c r="D3" s="138"/>
      <c r="E3" s="138"/>
      <c r="F3" s="138"/>
      <c r="G3" s="138"/>
      <c r="H3" s="138"/>
      <c r="I3" s="138"/>
      <c r="J3" s="138"/>
      <c r="K3" s="139"/>
    </row>
    <row r="4" spans="2:11" ht="90.75" thickBot="1" x14ac:dyDescent="0.3">
      <c r="B4" s="28" t="s">
        <v>93</v>
      </c>
      <c r="C4" s="28" t="s">
        <v>9</v>
      </c>
      <c r="D4" s="28" t="s">
        <v>0</v>
      </c>
      <c r="E4" s="28" t="s">
        <v>1</v>
      </c>
      <c r="F4" s="28" t="s">
        <v>2</v>
      </c>
      <c r="G4" s="29" t="s">
        <v>3</v>
      </c>
      <c r="H4" s="28" t="s">
        <v>4</v>
      </c>
      <c r="I4" s="28" t="s">
        <v>7</v>
      </c>
      <c r="J4" s="28" t="s">
        <v>8</v>
      </c>
      <c r="K4" s="28" t="s">
        <v>6</v>
      </c>
    </row>
    <row r="5" spans="2:11" ht="14.1" customHeight="1" thickBot="1" x14ac:dyDescent="0.3">
      <c r="B5" s="64" t="s">
        <v>94</v>
      </c>
      <c r="C5" s="65" t="s">
        <v>95</v>
      </c>
      <c r="D5" s="65">
        <v>130921574</v>
      </c>
      <c r="E5" s="65">
        <v>131307146</v>
      </c>
      <c r="F5" s="65">
        <v>77982491</v>
      </c>
      <c r="G5" s="65">
        <v>114136284</v>
      </c>
      <c r="H5" s="65">
        <v>17170862</v>
      </c>
      <c r="I5" s="65">
        <v>-13331140</v>
      </c>
      <c r="J5" s="65">
        <v>-17488944</v>
      </c>
      <c r="K5" s="65">
        <v>3372348</v>
      </c>
    </row>
    <row r="6" spans="2:11" ht="14.1" customHeight="1" thickBot="1" x14ac:dyDescent="0.3">
      <c r="B6" s="64" t="s">
        <v>96</v>
      </c>
      <c r="C6" s="65" t="s">
        <v>95</v>
      </c>
      <c r="D6" s="65">
        <v>15949552</v>
      </c>
      <c r="E6" s="65">
        <v>16635587</v>
      </c>
      <c r="F6" s="65">
        <v>15115020</v>
      </c>
      <c r="G6" s="65">
        <v>15115020</v>
      </c>
      <c r="H6" s="65">
        <v>1520567</v>
      </c>
      <c r="I6" s="65">
        <v>-7687245</v>
      </c>
      <c r="J6" s="65">
        <v>-7880278</v>
      </c>
      <c r="K6" s="65">
        <v>193033</v>
      </c>
    </row>
    <row r="7" spans="2:11" ht="14.1" customHeight="1" thickBot="1" x14ac:dyDescent="0.3">
      <c r="B7" s="64" t="s">
        <v>97</v>
      </c>
      <c r="C7" s="65" t="s">
        <v>95</v>
      </c>
      <c r="D7" s="65">
        <v>140729518</v>
      </c>
      <c r="E7" s="65">
        <v>182956801</v>
      </c>
      <c r="F7" s="65">
        <v>129789401</v>
      </c>
      <c r="G7" s="65">
        <v>159757173</v>
      </c>
      <c r="H7" s="65">
        <v>23199628</v>
      </c>
      <c r="I7" s="65">
        <v>16279207</v>
      </c>
      <c r="J7" s="65">
        <v>9796811</v>
      </c>
      <c r="K7" s="65">
        <v>16875735</v>
      </c>
    </row>
    <row r="8" spans="2:11" ht="14.1" customHeight="1" thickBot="1" x14ac:dyDescent="0.3">
      <c r="B8" s="64" t="s">
        <v>98</v>
      </c>
      <c r="C8" s="65" t="s">
        <v>95</v>
      </c>
      <c r="D8" s="65">
        <v>72411634</v>
      </c>
      <c r="E8" s="65">
        <v>79493148</v>
      </c>
      <c r="F8" s="65">
        <v>30123740</v>
      </c>
      <c r="G8" s="65">
        <v>56733297</v>
      </c>
      <c r="H8" s="65">
        <v>22759851</v>
      </c>
      <c r="I8" s="65">
        <v>4573609</v>
      </c>
      <c r="J8" s="65">
        <v>1996708</v>
      </c>
      <c r="K8" s="65">
        <v>2850686</v>
      </c>
    </row>
    <row r="9" spans="2:11" ht="14.1" customHeight="1" thickBot="1" x14ac:dyDescent="0.3">
      <c r="B9" s="64" t="s">
        <v>99</v>
      </c>
      <c r="C9" s="65" t="s">
        <v>95</v>
      </c>
      <c r="D9" s="65">
        <v>4999640</v>
      </c>
      <c r="E9" s="65">
        <v>23098243</v>
      </c>
      <c r="F9" s="65">
        <v>2167507</v>
      </c>
      <c r="G9" s="65">
        <v>14454258</v>
      </c>
      <c r="H9" s="65">
        <v>8643985</v>
      </c>
      <c r="I9" s="65">
        <v>1619086</v>
      </c>
      <c r="J9" s="65">
        <v>1376445</v>
      </c>
      <c r="K9" s="65">
        <v>392843</v>
      </c>
    </row>
    <row r="10" spans="2:11" ht="14.1" customHeight="1" thickBot="1" x14ac:dyDescent="0.3">
      <c r="B10" s="64" t="s">
        <v>100</v>
      </c>
      <c r="C10" s="65" t="s">
        <v>95</v>
      </c>
      <c r="D10" s="65">
        <v>8479183</v>
      </c>
      <c r="E10" s="65">
        <v>9498252</v>
      </c>
      <c r="F10" s="65">
        <v>6231878</v>
      </c>
      <c r="G10" s="65">
        <v>6264344</v>
      </c>
      <c r="H10" s="65">
        <v>3233908</v>
      </c>
      <c r="I10" s="65">
        <v>2372109</v>
      </c>
      <c r="J10" s="65">
        <v>2585276</v>
      </c>
      <c r="K10" s="65">
        <v>27295</v>
      </c>
    </row>
    <row r="11" spans="2:11" ht="14.1" customHeight="1" thickBot="1" x14ac:dyDescent="0.3">
      <c r="B11" s="64" t="s">
        <v>101</v>
      </c>
      <c r="C11" s="65" t="s">
        <v>95</v>
      </c>
      <c r="D11" s="65">
        <v>8603580</v>
      </c>
      <c r="E11" s="65">
        <v>9583331</v>
      </c>
      <c r="F11" s="65">
        <v>5381917</v>
      </c>
      <c r="G11" s="65">
        <v>5381917</v>
      </c>
      <c r="H11" s="65">
        <v>4201414</v>
      </c>
      <c r="I11" s="65">
        <v>2219099</v>
      </c>
      <c r="J11" s="65">
        <v>1875601</v>
      </c>
      <c r="K11" s="65">
        <v>343498</v>
      </c>
    </row>
    <row r="12" spans="2:11" ht="14.1" customHeight="1" thickBot="1" x14ac:dyDescent="0.3">
      <c r="B12" s="64" t="s">
        <v>102</v>
      </c>
      <c r="C12" s="65" t="s">
        <v>95</v>
      </c>
      <c r="D12" s="65">
        <v>5696762</v>
      </c>
      <c r="E12" s="65">
        <v>6369242</v>
      </c>
      <c r="F12" s="65">
        <v>5744757</v>
      </c>
      <c r="G12" s="65">
        <v>5744757</v>
      </c>
      <c r="H12" s="65">
        <v>624485</v>
      </c>
      <c r="I12" s="65">
        <v>-179796</v>
      </c>
      <c r="J12" s="65">
        <v>-274454</v>
      </c>
      <c r="K12" s="65">
        <v>94658</v>
      </c>
    </row>
    <row r="13" spans="2:11" ht="15.75" thickBot="1" x14ac:dyDescent="0.3">
      <c r="B13" s="140" t="s">
        <v>12</v>
      </c>
      <c r="C13" s="141"/>
      <c r="D13" s="33">
        <f t="shared" ref="D13:K13" si="0">SUM(D5:D12)</f>
        <v>387791443</v>
      </c>
      <c r="E13" s="33">
        <f t="shared" si="0"/>
        <v>458941750</v>
      </c>
      <c r="F13" s="33">
        <f t="shared" si="0"/>
        <v>272536711</v>
      </c>
      <c r="G13" s="33">
        <f t="shared" si="0"/>
        <v>377587050</v>
      </c>
      <c r="H13" s="33">
        <f t="shared" si="0"/>
        <v>81354700</v>
      </c>
      <c r="I13" s="33">
        <f t="shared" si="0"/>
        <v>5864929</v>
      </c>
      <c r="J13" s="33">
        <f t="shared" si="0"/>
        <v>-8012835</v>
      </c>
      <c r="K13" s="98">
        <f t="shared" si="0"/>
        <v>24150096</v>
      </c>
    </row>
    <row r="14" spans="2:11" ht="15.75" thickBot="1" x14ac:dyDescent="0.3">
      <c r="B14" s="137" t="s">
        <v>103</v>
      </c>
      <c r="C14" s="138"/>
      <c r="D14" s="138"/>
      <c r="E14" s="138"/>
      <c r="F14" s="138"/>
      <c r="G14" s="138"/>
      <c r="H14" s="138"/>
      <c r="I14" s="138"/>
      <c r="J14" s="138"/>
      <c r="K14" s="139"/>
    </row>
    <row r="15" spans="2:11" ht="15.75" thickBot="1" x14ac:dyDescent="0.3">
      <c r="B15" s="137" t="s">
        <v>83</v>
      </c>
      <c r="C15" s="138"/>
      <c r="D15" s="138"/>
      <c r="E15" s="138"/>
      <c r="F15" s="138"/>
      <c r="G15" s="138"/>
      <c r="H15" s="138"/>
      <c r="I15" s="138"/>
      <c r="J15" s="138"/>
      <c r="K15" s="139"/>
    </row>
    <row r="16" spans="2:11" ht="90.75" thickBot="1" x14ac:dyDescent="0.3">
      <c r="B16" s="28" t="s">
        <v>93</v>
      </c>
      <c r="C16" s="28" t="s">
        <v>9</v>
      </c>
      <c r="D16" s="28" t="s">
        <v>0</v>
      </c>
      <c r="E16" s="28" t="s">
        <v>1</v>
      </c>
      <c r="F16" s="28" t="s">
        <v>2</v>
      </c>
      <c r="G16" s="29" t="s">
        <v>3</v>
      </c>
      <c r="H16" s="28" t="s">
        <v>4</v>
      </c>
      <c r="I16" s="28" t="s">
        <v>7</v>
      </c>
      <c r="J16" s="28" t="s">
        <v>8</v>
      </c>
      <c r="K16" s="28" t="s">
        <v>6</v>
      </c>
    </row>
    <row r="17" spans="2:11" ht="12.6" customHeight="1" thickBot="1" x14ac:dyDescent="0.3">
      <c r="B17" s="64" t="s">
        <v>94</v>
      </c>
      <c r="C17" s="65" t="s">
        <v>95</v>
      </c>
      <c r="D17" s="65">
        <v>146562472</v>
      </c>
      <c r="E17" s="65">
        <v>147295132</v>
      </c>
      <c r="F17" s="65">
        <v>103553690</v>
      </c>
      <c r="G17" s="65">
        <v>124739214</v>
      </c>
      <c r="H17" s="65">
        <v>22555918</v>
      </c>
      <c r="I17" s="65">
        <v>-18128837</v>
      </c>
      <c r="J17" s="65">
        <v>-19774941</v>
      </c>
      <c r="K17" s="66">
        <v>1625094</v>
      </c>
    </row>
    <row r="18" spans="2:11" ht="12.6" customHeight="1" thickBot="1" x14ac:dyDescent="0.3">
      <c r="B18" s="64" t="s">
        <v>96</v>
      </c>
      <c r="C18" s="65" t="s">
        <v>95</v>
      </c>
      <c r="D18" s="65">
        <v>19851958</v>
      </c>
      <c r="E18" s="65">
        <v>21684551</v>
      </c>
      <c r="F18" s="65">
        <v>5067744</v>
      </c>
      <c r="G18" s="65">
        <v>18143490</v>
      </c>
      <c r="H18" s="65">
        <v>3541061</v>
      </c>
      <c r="I18" s="65">
        <v>2122887</v>
      </c>
      <c r="J18" s="65">
        <v>1797269</v>
      </c>
      <c r="K18" s="66">
        <v>325618</v>
      </c>
    </row>
    <row r="19" spans="2:11" ht="12.6" customHeight="1" thickBot="1" x14ac:dyDescent="0.3">
      <c r="B19" s="64" t="s">
        <v>97</v>
      </c>
      <c r="C19" s="65" t="s">
        <v>95</v>
      </c>
      <c r="D19" s="65">
        <v>173002997</v>
      </c>
      <c r="E19" s="65">
        <v>245985764</v>
      </c>
      <c r="F19" s="65">
        <v>138994370</v>
      </c>
      <c r="G19" s="65">
        <v>142818339</v>
      </c>
      <c r="H19" s="65">
        <v>103167425</v>
      </c>
      <c r="I19" s="65">
        <v>14323500</v>
      </c>
      <c r="J19" s="65">
        <v>9128847</v>
      </c>
      <c r="K19" s="66">
        <v>5534088</v>
      </c>
    </row>
    <row r="20" spans="2:11" ht="12.6" customHeight="1" thickBot="1" x14ac:dyDescent="0.3">
      <c r="B20" s="64" t="s">
        <v>98</v>
      </c>
      <c r="C20" s="65" t="s">
        <v>95</v>
      </c>
      <c r="D20" s="65">
        <v>70930239</v>
      </c>
      <c r="E20" s="65">
        <v>74545629</v>
      </c>
      <c r="F20" s="65">
        <v>29462186</v>
      </c>
      <c r="G20" s="65">
        <v>50768622</v>
      </c>
      <c r="H20" s="65">
        <v>23777007</v>
      </c>
      <c r="I20" s="65">
        <v>3248105</v>
      </c>
      <c r="J20" s="65">
        <v>476564</v>
      </c>
      <c r="K20" s="66">
        <v>3038300</v>
      </c>
    </row>
    <row r="21" spans="2:11" ht="12.6" customHeight="1" thickBot="1" x14ac:dyDescent="0.3">
      <c r="B21" s="64" t="s">
        <v>99</v>
      </c>
      <c r="C21" s="65" t="s">
        <v>95</v>
      </c>
      <c r="D21" s="65">
        <v>5079755</v>
      </c>
      <c r="E21" s="65">
        <v>24083112</v>
      </c>
      <c r="F21" s="65">
        <v>1913864</v>
      </c>
      <c r="G21" s="65">
        <v>13954522</v>
      </c>
      <c r="H21" s="65">
        <v>10128590</v>
      </c>
      <c r="I21" s="65">
        <v>1400758</v>
      </c>
      <c r="J21" s="65">
        <v>2083342</v>
      </c>
      <c r="K21" s="66">
        <v>93369</v>
      </c>
    </row>
    <row r="22" spans="2:11" ht="12.6" customHeight="1" thickBot="1" x14ac:dyDescent="0.3">
      <c r="B22" s="64" t="s">
        <v>100</v>
      </c>
      <c r="C22" s="65" t="s">
        <v>95</v>
      </c>
      <c r="D22" s="65">
        <v>8013282</v>
      </c>
      <c r="E22" s="65">
        <v>10162274</v>
      </c>
      <c r="F22" s="65">
        <v>8256761</v>
      </c>
      <c r="G22" s="65">
        <v>8525433</v>
      </c>
      <c r="H22" s="65">
        <v>1636841</v>
      </c>
      <c r="I22" s="65">
        <v>-1922841</v>
      </c>
      <c r="J22" s="65">
        <v>-1952127</v>
      </c>
      <c r="K22" s="66">
        <v>39265</v>
      </c>
    </row>
    <row r="23" spans="2:11" ht="12.6" customHeight="1" thickBot="1" x14ac:dyDescent="0.3">
      <c r="B23" s="64" t="s">
        <v>101</v>
      </c>
      <c r="C23" s="65" t="s">
        <v>95</v>
      </c>
      <c r="D23" s="65">
        <v>7125278</v>
      </c>
      <c r="E23" s="65">
        <v>8250478</v>
      </c>
      <c r="F23" s="65">
        <v>4487274</v>
      </c>
      <c r="G23" s="65">
        <v>4487274</v>
      </c>
      <c r="H23" s="65">
        <v>3763204</v>
      </c>
      <c r="I23" s="65">
        <v>-50506</v>
      </c>
      <c r="J23" s="65">
        <v>-129678</v>
      </c>
      <c r="K23" s="66">
        <v>79172</v>
      </c>
    </row>
    <row r="24" spans="2:11" ht="12.6" customHeight="1" thickBot="1" x14ac:dyDescent="0.3">
      <c r="B24" s="64" t="s">
        <v>102</v>
      </c>
      <c r="C24" s="65" t="s">
        <v>95</v>
      </c>
      <c r="D24" s="65">
        <v>4655759</v>
      </c>
      <c r="E24" s="65">
        <v>5450937</v>
      </c>
      <c r="F24" s="65">
        <v>4678147</v>
      </c>
      <c r="G24" s="65">
        <v>4678147</v>
      </c>
      <c r="H24" s="65">
        <v>772790</v>
      </c>
      <c r="I24" s="65">
        <v>546803</v>
      </c>
      <c r="J24" s="65">
        <v>377632</v>
      </c>
      <c r="K24" s="66">
        <v>187705</v>
      </c>
    </row>
    <row r="25" spans="2:11" ht="15.75" thickBot="1" x14ac:dyDescent="0.3">
      <c r="B25" s="140" t="s">
        <v>12</v>
      </c>
      <c r="C25" s="141"/>
      <c r="D25" s="34">
        <f t="shared" ref="D25:K25" si="1">SUM(D17:D24)</f>
        <v>435221740</v>
      </c>
      <c r="E25" s="34">
        <f t="shared" si="1"/>
        <v>537457877</v>
      </c>
      <c r="F25" s="34">
        <f t="shared" si="1"/>
        <v>296414036</v>
      </c>
      <c r="G25" s="34">
        <f t="shared" si="1"/>
        <v>368115041</v>
      </c>
      <c r="H25" s="34">
        <f t="shared" si="1"/>
        <v>169342836</v>
      </c>
      <c r="I25" s="34">
        <f t="shared" si="1"/>
        <v>1539869</v>
      </c>
      <c r="J25" s="34">
        <f t="shared" si="1"/>
        <v>-7993092</v>
      </c>
      <c r="K25" s="34">
        <f t="shared" si="1"/>
        <v>10922611</v>
      </c>
    </row>
    <row r="26" spans="2:11" ht="15.75" thickBot="1" x14ac:dyDescent="0.3">
      <c r="B26" s="135" t="s">
        <v>13</v>
      </c>
      <c r="C26" s="136"/>
      <c r="D26" s="35">
        <f t="shared" ref="D26:K26" si="2">+D25+D13</f>
        <v>823013183</v>
      </c>
      <c r="E26" s="36">
        <f t="shared" si="2"/>
        <v>996399627</v>
      </c>
      <c r="F26" s="36">
        <f t="shared" si="2"/>
        <v>568950747</v>
      </c>
      <c r="G26" s="36">
        <f t="shared" si="2"/>
        <v>745702091</v>
      </c>
      <c r="H26" s="36">
        <f t="shared" si="2"/>
        <v>250697536</v>
      </c>
      <c r="I26" s="36">
        <f t="shared" si="2"/>
        <v>7404798</v>
      </c>
      <c r="J26" s="36">
        <f t="shared" si="2"/>
        <v>-16005927</v>
      </c>
      <c r="K26" s="37">
        <f t="shared" si="2"/>
        <v>35072707</v>
      </c>
    </row>
    <row r="27" spans="2:11" ht="15.75" thickBot="1" x14ac:dyDescent="0.3"/>
    <row r="28" spans="2:11" ht="30.75" thickBot="1" x14ac:dyDescent="0.3">
      <c r="B28" s="38" t="s">
        <v>14</v>
      </c>
      <c r="C28" s="38" t="s">
        <v>15</v>
      </c>
      <c r="D28" s="38" t="s">
        <v>16</v>
      </c>
      <c r="E28" s="38" t="s">
        <v>17</v>
      </c>
      <c r="F28" s="38" t="s">
        <v>18</v>
      </c>
    </row>
    <row r="29" spans="2:11" ht="61.5" customHeight="1" thickBot="1" x14ac:dyDescent="0.3">
      <c r="B29" s="39" t="s">
        <v>19</v>
      </c>
      <c r="C29" s="40" t="s">
        <v>20</v>
      </c>
      <c r="D29" s="41" t="s">
        <v>33</v>
      </c>
      <c r="E29" s="42" t="s">
        <v>21</v>
      </c>
      <c r="F29" s="43">
        <f>+D26/F26</f>
        <v>1.4465455706660668</v>
      </c>
    </row>
    <row r="30" spans="2:11" ht="45.75" thickBot="1" x14ac:dyDescent="0.3">
      <c r="B30" s="39" t="s">
        <v>22</v>
      </c>
      <c r="C30" s="44" t="s">
        <v>23</v>
      </c>
      <c r="D30" s="45" t="s">
        <v>24</v>
      </c>
      <c r="E30" s="45" t="s">
        <v>25</v>
      </c>
      <c r="F30" s="46">
        <f>G26/E26*100</f>
        <v>74.839659790438688</v>
      </c>
    </row>
    <row r="31" spans="2:11" ht="90.75" thickBot="1" x14ac:dyDescent="0.3">
      <c r="B31" s="47" t="s">
        <v>26</v>
      </c>
      <c r="C31" s="48" t="s">
        <v>27</v>
      </c>
      <c r="D31" s="49" t="s">
        <v>34</v>
      </c>
      <c r="E31" s="49" t="s">
        <v>21</v>
      </c>
      <c r="F31" s="50">
        <f>+J26/K26</f>
        <v>-0.45636417514051597</v>
      </c>
    </row>
    <row r="32" spans="2:11" ht="75.75" thickBot="1" x14ac:dyDescent="0.3">
      <c r="B32" s="47" t="s">
        <v>19</v>
      </c>
      <c r="C32" s="48" t="s">
        <v>35</v>
      </c>
      <c r="D32" s="49" t="s">
        <v>36</v>
      </c>
      <c r="E32" s="49" t="s">
        <v>37</v>
      </c>
      <c r="F32" s="51">
        <f>+D26-F26</f>
        <v>254062436</v>
      </c>
    </row>
    <row r="33" spans="2:6" ht="15.75" thickBot="1" x14ac:dyDescent="0.3">
      <c r="B33" s="52"/>
      <c r="C33" s="52"/>
      <c r="D33" s="52"/>
      <c r="E33" s="52"/>
      <c r="F33" s="52"/>
    </row>
    <row r="34" spans="2:6" ht="30.75" thickBot="1" x14ac:dyDescent="0.3">
      <c r="B34" s="38" t="s">
        <v>14</v>
      </c>
      <c r="C34" s="53" t="s">
        <v>15</v>
      </c>
      <c r="D34" s="54" t="s">
        <v>16</v>
      </c>
      <c r="E34" s="54" t="s">
        <v>17</v>
      </c>
      <c r="F34" s="55" t="s">
        <v>18</v>
      </c>
    </row>
    <row r="35" spans="2:6" ht="75.75" thickBot="1" x14ac:dyDescent="0.3">
      <c r="B35" s="56" t="s">
        <v>28</v>
      </c>
      <c r="C35" s="57" t="s">
        <v>29</v>
      </c>
      <c r="D35" s="58" t="s">
        <v>31</v>
      </c>
      <c r="E35" s="58" t="s">
        <v>25</v>
      </c>
      <c r="F35" s="59">
        <f>I26/E26*100</f>
        <v>0.74315543676934759</v>
      </c>
    </row>
    <row r="36" spans="2:6" ht="75.75" thickBot="1" x14ac:dyDescent="0.3">
      <c r="B36" s="56" t="s">
        <v>28</v>
      </c>
      <c r="C36" s="60" t="s">
        <v>30</v>
      </c>
      <c r="D36" s="61" t="s">
        <v>32</v>
      </c>
      <c r="E36" s="61" t="s">
        <v>25</v>
      </c>
      <c r="F36" s="50">
        <f>I26/H26*100</f>
        <v>2.953678013014057</v>
      </c>
    </row>
  </sheetData>
  <mergeCells count="7">
    <mergeCell ref="B26:C26"/>
    <mergeCell ref="B2:K2"/>
    <mergeCell ref="B3:K3"/>
    <mergeCell ref="B13:C13"/>
    <mergeCell ref="B14:K14"/>
    <mergeCell ref="B15:K15"/>
    <mergeCell ref="B25:C25"/>
  </mergeCells>
  <conditionalFormatting sqref="B4">
    <cfRule type="duplicateValues" dxfId="18" priority="1"/>
  </conditionalFormatting>
  <conditionalFormatting sqref="B5:B12">
    <cfRule type="duplicateValues" dxfId="17" priority="10"/>
  </conditionalFormatting>
  <conditionalFormatting sqref="B16">
    <cfRule type="duplicateValues" dxfId="16" priority="4"/>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BA457-7EB0-408C-BA6E-CCA88197CCCE}">
  <dimension ref="B1:K26"/>
  <sheetViews>
    <sheetView topLeftCell="B21" workbookViewId="0">
      <selection activeCell="C5" sqref="C5"/>
    </sheetView>
  </sheetViews>
  <sheetFormatPr baseColWidth="10" defaultColWidth="11.42578125" defaultRowHeight="15" x14ac:dyDescent="0.25"/>
  <cols>
    <col min="1" max="1" width="11.42578125" style="27"/>
    <col min="2" max="2" width="54.7109375" style="27" customWidth="1"/>
    <col min="3" max="3" width="51.140625" style="27" customWidth="1"/>
    <col min="4" max="4" width="17.5703125" style="27" customWidth="1"/>
    <col min="5" max="5" width="11.5703125" style="27" bestFit="1" customWidth="1"/>
    <col min="6" max="6" width="17.5703125" style="27" bestFit="1" customWidth="1"/>
    <col min="7" max="10" width="11.5703125" style="27" bestFit="1" customWidth="1"/>
    <col min="11" max="11" width="14.42578125" style="27" customWidth="1"/>
    <col min="12" max="16384" width="11.42578125" style="27"/>
  </cols>
  <sheetData>
    <row r="1" spans="2:11" ht="15.75" thickBot="1" x14ac:dyDescent="0.3"/>
    <row r="2" spans="2:11" ht="15.75" thickBot="1" x14ac:dyDescent="0.3">
      <c r="B2" s="137" t="s">
        <v>103</v>
      </c>
      <c r="C2" s="138"/>
      <c r="D2" s="138"/>
      <c r="E2" s="138"/>
      <c r="F2" s="138"/>
      <c r="G2" s="138"/>
      <c r="H2" s="138"/>
      <c r="I2" s="138"/>
      <c r="J2" s="138"/>
      <c r="K2" s="139"/>
    </row>
    <row r="3" spans="2:11" ht="15.75" thickBot="1" x14ac:dyDescent="0.3">
      <c r="B3" s="137" t="s">
        <v>82</v>
      </c>
      <c r="C3" s="138"/>
      <c r="D3" s="138"/>
      <c r="E3" s="138"/>
      <c r="F3" s="138"/>
      <c r="G3" s="138"/>
      <c r="H3" s="138"/>
      <c r="I3" s="138"/>
      <c r="J3" s="138"/>
      <c r="K3" s="139"/>
    </row>
    <row r="4" spans="2:11" ht="98.25" customHeight="1" thickBot="1" x14ac:dyDescent="0.3">
      <c r="B4" s="28" t="s">
        <v>93</v>
      </c>
      <c r="C4" s="1" t="s">
        <v>9</v>
      </c>
      <c r="D4" s="1" t="s">
        <v>0</v>
      </c>
      <c r="E4" s="1" t="s">
        <v>1</v>
      </c>
      <c r="F4" s="1" t="s">
        <v>2</v>
      </c>
      <c r="G4" s="2" t="s">
        <v>3</v>
      </c>
      <c r="H4" s="1" t="s">
        <v>4</v>
      </c>
      <c r="I4" s="1" t="s">
        <v>7</v>
      </c>
      <c r="J4" s="1" t="s">
        <v>8</v>
      </c>
      <c r="K4" s="1" t="s">
        <v>6</v>
      </c>
    </row>
    <row r="5" spans="2:11" ht="15.75" thickBot="1" x14ac:dyDescent="0.3">
      <c r="B5" s="30" t="s">
        <v>105</v>
      </c>
      <c r="C5" s="65" t="s">
        <v>104</v>
      </c>
      <c r="D5" s="31">
        <v>37397257</v>
      </c>
      <c r="E5" s="31">
        <v>43222667</v>
      </c>
      <c r="F5" s="31">
        <v>24671454</v>
      </c>
      <c r="G5" s="31">
        <v>29789855</v>
      </c>
      <c r="H5" s="31">
        <v>13432812</v>
      </c>
      <c r="I5" s="31">
        <v>380402</v>
      </c>
      <c r="J5" s="31">
        <v>-1686</v>
      </c>
      <c r="K5" s="32">
        <v>889529</v>
      </c>
    </row>
    <row r="6" spans="2:11" ht="15.75" thickBot="1" x14ac:dyDescent="0.3">
      <c r="B6" s="30" t="s">
        <v>106</v>
      </c>
      <c r="C6" s="65" t="s">
        <v>104</v>
      </c>
      <c r="D6" s="31">
        <v>73789108</v>
      </c>
      <c r="E6" s="31">
        <v>90693640</v>
      </c>
      <c r="F6" s="31">
        <v>49355362</v>
      </c>
      <c r="G6" s="31">
        <v>50453372</v>
      </c>
      <c r="H6" s="31">
        <v>40240268</v>
      </c>
      <c r="I6" s="31">
        <v>9970906</v>
      </c>
      <c r="J6" s="31">
        <v>9970906</v>
      </c>
      <c r="K6" s="32"/>
    </row>
    <row r="7" spans="2:11" ht="15.75" thickBot="1" x14ac:dyDescent="0.3">
      <c r="B7" s="30" t="s">
        <v>107</v>
      </c>
      <c r="C7" s="65" t="s">
        <v>104</v>
      </c>
      <c r="D7" s="31">
        <v>17892565</v>
      </c>
      <c r="E7" s="31">
        <v>27270461</v>
      </c>
      <c r="F7" s="31">
        <v>27892085</v>
      </c>
      <c r="G7" s="31">
        <v>31378183</v>
      </c>
      <c r="H7" s="31">
        <v>-4107722</v>
      </c>
      <c r="I7" s="31">
        <v>190520</v>
      </c>
      <c r="J7" s="31">
        <v>-3379992</v>
      </c>
      <c r="K7" s="32">
        <v>3570512</v>
      </c>
    </row>
    <row r="8" spans="2:11" ht="16.5" thickBot="1" x14ac:dyDescent="0.3">
      <c r="B8" s="144" t="s">
        <v>12</v>
      </c>
      <c r="C8" s="145"/>
      <c r="D8" s="33">
        <f t="shared" ref="D8:K8" si="0">SUM(D5:D7)</f>
        <v>129078930</v>
      </c>
      <c r="E8" s="33">
        <f t="shared" si="0"/>
        <v>161186768</v>
      </c>
      <c r="F8" s="33">
        <f t="shared" si="0"/>
        <v>101918901</v>
      </c>
      <c r="G8" s="33">
        <f t="shared" si="0"/>
        <v>111621410</v>
      </c>
      <c r="H8" s="33">
        <f t="shared" si="0"/>
        <v>49565358</v>
      </c>
      <c r="I8" s="33">
        <f t="shared" si="0"/>
        <v>10541828</v>
      </c>
      <c r="J8" s="33">
        <f t="shared" si="0"/>
        <v>6589228</v>
      </c>
      <c r="K8" s="33">
        <f t="shared" si="0"/>
        <v>4460041</v>
      </c>
    </row>
    <row r="9" spans="2:11" ht="15.75" thickBot="1" x14ac:dyDescent="0.3">
      <c r="B9" s="137" t="s">
        <v>5</v>
      </c>
      <c r="C9" s="138"/>
      <c r="D9" s="138"/>
      <c r="E9" s="138"/>
      <c r="F9" s="138"/>
      <c r="G9" s="138"/>
      <c r="H9" s="138"/>
      <c r="I9" s="138"/>
      <c r="J9" s="138"/>
      <c r="K9" s="139"/>
    </row>
    <row r="10" spans="2:11" ht="15.75" thickBot="1" x14ac:dyDescent="0.3">
      <c r="B10" s="137" t="s">
        <v>83</v>
      </c>
      <c r="C10" s="138"/>
      <c r="D10" s="138"/>
      <c r="E10" s="138"/>
      <c r="F10" s="138"/>
      <c r="G10" s="138"/>
      <c r="H10" s="138"/>
      <c r="I10" s="138"/>
      <c r="J10" s="138"/>
      <c r="K10" s="139"/>
    </row>
    <row r="11" spans="2:11" ht="95.25" thickBot="1" x14ac:dyDescent="0.3">
      <c r="B11" s="28" t="s">
        <v>93</v>
      </c>
      <c r="C11" s="1" t="s">
        <v>9</v>
      </c>
      <c r="D11" s="1" t="s">
        <v>0</v>
      </c>
      <c r="E11" s="1" t="s">
        <v>1</v>
      </c>
      <c r="F11" s="1" t="s">
        <v>2</v>
      </c>
      <c r="G11" s="2" t="s">
        <v>3</v>
      </c>
      <c r="H11" s="1" t="s">
        <v>4</v>
      </c>
      <c r="I11" s="1" t="s">
        <v>7</v>
      </c>
      <c r="J11" s="1" t="s">
        <v>8</v>
      </c>
      <c r="K11" s="1" t="s">
        <v>6</v>
      </c>
    </row>
    <row r="12" spans="2:11" ht="15.75" thickBot="1" x14ac:dyDescent="0.3">
      <c r="B12" s="30" t="s">
        <v>105</v>
      </c>
      <c r="C12" s="65" t="s">
        <v>104</v>
      </c>
      <c r="D12" s="31">
        <v>27627071</v>
      </c>
      <c r="E12" s="31">
        <v>30256098</v>
      </c>
      <c r="F12" s="31">
        <v>15687290</v>
      </c>
      <c r="G12" s="31">
        <v>17668836</v>
      </c>
      <c r="H12" s="31">
        <v>12587262</v>
      </c>
      <c r="I12" s="31">
        <v>715950</v>
      </c>
      <c r="J12" s="31">
        <v>343975</v>
      </c>
      <c r="K12" s="32">
        <v>553466</v>
      </c>
    </row>
    <row r="13" spans="2:11" ht="15.75" thickBot="1" x14ac:dyDescent="0.3">
      <c r="B13" s="30" t="s">
        <v>106</v>
      </c>
      <c r="C13" s="65" t="s">
        <v>104</v>
      </c>
      <c r="D13" s="31">
        <v>71308015</v>
      </c>
      <c r="E13" s="31">
        <v>110931817</v>
      </c>
      <c r="F13" s="31">
        <v>58423456</v>
      </c>
      <c r="G13" s="31">
        <v>63703689</v>
      </c>
      <c r="H13" s="31">
        <v>47228128</v>
      </c>
      <c r="I13" s="31">
        <v>12020221</v>
      </c>
      <c r="J13" s="31">
        <v>12020221</v>
      </c>
      <c r="K13" s="32"/>
    </row>
    <row r="14" spans="2:11" ht="15.75" thickBot="1" x14ac:dyDescent="0.3">
      <c r="B14" s="30" t="s">
        <v>107</v>
      </c>
      <c r="C14" s="65" t="s">
        <v>104</v>
      </c>
      <c r="D14" s="31">
        <v>21690522</v>
      </c>
      <c r="E14" s="31">
        <v>28398301</v>
      </c>
      <c r="F14" s="31">
        <v>22260141</v>
      </c>
      <c r="G14" s="31">
        <v>25490080</v>
      </c>
      <c r="H14" s="31">
        <v>2908221</v>
      </c>
      <c r="I14" s="31">
        <v>13674860</v>
      </c>
      <c r="J14" s="31">
        <v>13058423</v>
      </c>
      <c r="K14" s="32">
        <v>616437</v>
      </c>
    </row>
    <row r="15" spans="2:11" ht="16.5" thickBot="1" x14ac:dyDescent="0.3">
      <c r="B15" s="146" t="s">
        <v>12</v>
      </c>
      <c r="C15" s="147"/>
      <c r="D15" s="63">
        <f t="shared" ref="D15:K15" si="1">SUM(D12:D14)</f>
        <v>120625608</v>
      </c>
      <c r="E15" s="63">
        <f t="shared" si="1"/>
        <v>169586216</v>
      </c>
      <c r="F15" s="63">
        <f t="shared" si="1"/>
        <v>96370887</v>
      </c>
      <c r="G15" s="63">
        <f t="shared" si="1"/>
        <v>106862605</v>
      </c>
      <c r="H15" s="63">
        <f t="shared" si="1"/>
        <v>62723611</v>
      </c>
      <c r="I15" s="63">
        <f t="shared" si="1"/>
        <v>26411031</v>
      </c>
      <c r="J15" s="63">
        <f t="shared" si="1"/>
        <v>25422619</v>
      </c>
      <c r="K15" s="63">
        <f t="shared" si="1"/>
        <v>1169903</v>
      </c>
    </row>
    <row r="16" spans="2:11" ht="16.5" thickBot="1" x14ac:dyDescent="0.3">
      <c r="B16" s="142" t="s">
        <v>13</v>
      </c>
      <c r="C16" s="143"/>
      <c r="D16" s="35">
        <f t="shared" ref="D16:K16" si="2">+D15+D8</f>
        <v>249704538</v>
      </c>
      <c r="E16" s="36">
        <f t="shared" si="2"/>
        <v>330772984</v>
      </c>
      <c r="F16" s="36">
        <f t="shared" si="2"/>
        <v>198289788</v>
      </c>
      <c r="G16" s="36">
        <f t="shared" si="2"/>
        <v>218484015</v>
      </c>
      <c r="H16" s="36">
        <f t="shared" si="2"/>
        <v>112288969</v>
      </c>
      <c r="I16" s="36">
        <f t="shared" si="2"/>
        <v>36952859</v>
      </c>
      <c r="J16" s="36">
        <f t="shared" si="2"/>
        <v>32011847</v>
      </c>
      <c r="K16" s="37">
        <f t="shared" si="2"/>
        <v>5629944</v>
      </c>
    </row>
    <row r="17" spans="2:6" ht="15.75" thickBot="1" x14ac:dyDescent="0.3"/>
    <row r="18" spans="2:6" ht="32.25" thickBot="1" x14ac:dyDescent="0.3">
      <c r="B18" s="3" t="s">
        <v>14</v>
      </c>
      <c r="C18" s="3" t="s">
        <v>15</v>
      </c>
      <c r="D18" s="3" t="s">
        <v>16</v>
      </c>
      <c r="E18" s="3" t="s">
        <v>17</v>
      </c>
      <c r="F18" s="3" t="s">
        <v>18</v>
      </c>
    </row>
    <row r="19" spans="2:6" ht="61.5" customHeight="1" thickBot="1" x14ac:dyDescent="0.3">
      <c r="B19" s="17" t="s">
        <v>19</v>
      </c>
      <c r="C19" s="18" t="s">
        <v>20</v>
      </c>
      <c r="D19" s="19" t="s">
        <v>33</v>
      </c>
      <c r="E19" s="10" t="s">
        <v>21</v>
      </c>
      <c r="F19" s="11">
        <f>+D16/F16</f>
        <v>1.2592909625784663</v>
      </c>
    </row>
    <row r="20" spans="2:6" ht="48" thickBot="1" x14ac:dyDescent="0.3">
      <c r="B20" s="17" t="s">
        <v>22</v>
      </c>
      <c r="C20" s="20" t="s">
        <v>23</v>
      </c>
      <c r="D20" s="21" t="s">
        <v>24</v>
      </c>
      <c r="E20" s="21" t="s">
        <v>25</v>
      </c>
      <c r="F20" s="12">
        <f>G16/E16*100</f>
        <v>66.052557363632815</v>
      </c>
    </row>
    <row r="21" spans="2:6" ht="111" thickBot="1" x14ac:dyDescent="0.3">
      <c r="B21" s="22" t="s">
        <v>26</v>
      </c>
      <c r="C21" s="23" t="s">
        <v>27</v>
      </c>
      <c r="D21" s="24" t="s">
        <v>34</v>
      </c>
      <c r="E21" s="24" t="s">
        <v>21</v>
      </c>
      <c r="F21" s="25">
        <f>+J16/K16</f>
        <v>5.685997409565708</v>
      </c>
    </row>
    <row r="22" spans="2:6" ht="95.25" thickBot="1" x14ac:dyDescent="0.3">
      <c r="B22" s="22" t="s">
        <v>19</v>
      </c>
      <c r="C22" s="23" t="s">
        <v>35</v>
      </c>
      <c r="D22" s="24" t="s">
        <v>36</v>
      </c>
      <c r="E22" s="24" t="s">
        <v>38</v>
      </c>
      <c r="F22" s="26">
        <f>+D16-F16</f>
        <v>51414750</v>
      </c>
    </row>
    <row r="23" spans="2:6" ht="16.5" thickBot="1" x14ac:dyDescent="0.3">
      <c r="B23" s="4"/>
      <c r="C23" s="4"/>
      <c r="D23" s="4"/>
      <c r="E23" s="4"/>
      <c r="F23" s="4"/>
    </row>
    <row r="24" spans="2:6" ht="32.25" thickBot="1" x14ac:dyDescent="0.3">
      <c r="B24" s="3" t="s">
        <v>14</v>
      </c>
      <c r="C24" s="14" t="s">
        <v>15</v>
      </c>
      <c r="D24" s="15" t="s">
        <v>16</v>
      </c>
      <c r="E24" s="15" t="s">
        <v>17</v>
      </c>
      <c r="F24" s="16" t="s">
        <v>18</v>
      </c>
    </row>
    <row r="25" spans="2:6" ht="79.5" thickBot="1" x14ac:dyDescent="0.3">
      <c r="B25" s="13" t="s">
        <v>28</v>
      </c>
      <c r="C25" s="5" t="s">
        <v>29</v>
      </c>
      <c r="D25" s="6" t="s">
        <v>31</v>
      </c>
      <c r="E25" s="6" t="s">
        <v>25</v>
      </c>
      <c r="F25" s="7">
        <f>I16/E16*100</f>
        <v>11.171667816740438</v>
      </c>
    </row>
    <row r="26" spans="2:6" ht="95.25" thickBot="1" x14ac:dyDescent="0.3">
      <c r="B26" s="13" t="s">
        <v>28</v>
      </c>
      <c r="C26" s="8" t="s">
        <v>30</v>
      </c>
      <c r="D26" s="9" t="s">
        <v>32</v>
      </c>
      <c r="E26" s="9" t="s">
        <v>25</v>
      </c>
      <c r="F26" s="25">
        <f>I16/H16*100</f>
        <v>32.908716972902297</v>
      </c>
    </row>
  </sheetData>
  <mergeCells count="7">
    <mergeCell ref="B16:C16"/>
    <mergeCell ref="B2:K2"/>
    <mergeCell ref="B3:K3"/>
    <mergeCell ref="B8:C8"/>
    <mergeCell ref="B9:K9"/>
    <mergeCell ref="B10:K10"/>
    <mergeCell ref="B15:C15"/>
  </mergeCells>
  <conditionalFormatting sqref="B4">
    <cfRule type="duplicateValues" dxfId="15" priority="2"/>
  </conditionalFormatting>
  <conditionalFormatting sqref="B11">
    <cfRule type="duplicateValues" dxfId="14" priority="1"/>
  </conditionalFormatting>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36"/>
  <sheetViews>
    <sheetView zoomScale="74" zoomScaleNormal="74" workbookViewId="0">
      <selection activeCell="C5" sqref="C5"/>
    </sheetView>
  </sheetViews>
  <sheetFormatPr baseColWidth="10" defaultColWidth="11.42578125" defaultRowHeight="15" x14ac:dyDescent="0.25"/>
  <cols>
    <col min="1" max="1" width="11.42578125" style="27"/>
    <col min="2" max="2" width="54.140625" style="27" customWidth="1"/>
    <col min="3" max="3" width="51.140625" style="27" customWidth="1"/>
    <col min="4" max="4" width="17.5703125" style="27" customWidth="1"/>
    <col min="5" max="5" width="11.5703125" style="27" bestFit="1" customWidth="1"/>
    <col min="6" max="6" width="17.5703125" style="27" bestFit="1" customWidth="1"/>
    <col min="7" max="10" width="11.5703125" style="27" bestFit="1" customWidth="1"/>
    <col min="11" max="11" width="14.42578125" style="27" customWidth="1"/>
    <col min="12" max="16384" width="11.42578125" style="27"/>
  </cols>
  <sheetData>
    <row r="1" spans="2:11" ht="15.75" thickBot="1" x14ac:dyDescent="0.3"/>
    <row r="2" spans="2:11" ht="15.75" thickBot="1" x14ac:dyDescent="0.3">
      <c r="B2" s="137" t="s">
        <v>117</v>
      </c>
      <c r="C2" s="138"/>
      <c r="D2" s="138"/>
      <c r="E2" s="138"/>
      <c r="F2" s="138"/>
      <c r="G2" s="138"/>
      <c r="H2" s="138"/>
      <c r="I2" s="138"/>
      <c r="J2" s="138"/>
      <c r="K2" s="139"/>
    </row>
    <row r="3" spans="2:11" ht="15.75" thickBot="1" x14ac:dyDescent="0.3">
      <c r="B3" s="137" t="s">
        <v>82</v>
      </c>
      <c r="C3" s="138"/>
      <c r="D3" s="138"/>
      <c r="E3" s="138"/>
      <c r="F3" s="138"/>
      <c r="G3" s="138"/>
      <c r="H3" s="138"/>
      <c r="I3" s="138"/>
      <c r="J3" s="138"/>
      <c r="K3" s="139"/>
    </row>
    <row r="4" spans="2:11" ht="98.25" customHeight="1" thickBot="1" x14ac:dyDescent="0.3">
      <c r="B4" s="28" t="s">
        <v>93</v>
      </c>
      <c r="C4" s="1" t="s">
        <v>9</v>
      </c>
      <c r="D4" s="1" t="s">
        <v>0</v>
      </c>
      <c r="E4" s="1" t="s">
        <v>1</v>
      </c>
      <c r="F4" s="1" t="s">
        <v>2</v>
      </c>
      <c r="G4" s="2" t="s">
        <v>3</v>
      </c>
      <c r="H4" s="1" t="s">
        <v>4</v>
      </c>
      <c r="I4" s="1" t="s">
        <v>7</v>
      </c>
      <c r="J4" s="1" t="s">
        <v>8</v>
      </c>
      <c r="K4" s="1" t="s">
        <v>6</v>
      </c>
    </row>
    <row r="5" spans="2:11" ht="15.75" thickBot="1" x14ac:dyDescent="0.3">
      <c r="B5" s="30" t="s">
        <v>108</v>
      </c>
      <c r="C5" s="65" t="s">
        <v>116</v>
      </c>
      <c r="D5" s="31">
        <v>7586587</v>
      </c>
      <c r="E5" s="31">
        <v>7910182</v>
      </c>
      <c r="F5" s="31">
        <v>3319603</v>
      </c>
      <c r="G5" s="31">
        <v>3372271</v>
      </c>
      <c r="H5" s="31">
        <v>4537911</v>
      </c>
      <c r="I5" s="31">
        <v>3409508</v>
      </c>
      <c r="J5" s="31">
        <v>3245311</v>
      </c>
      <c r="K5" s="32">
        <v>164197</v>
      </c>
    </row>
    <row r="6" spans="2:11" ht="15.75" thickBot="1" x14ac:dyDescent="0.3">
      <c r="B6" s="30" t="s">
        <v>109</v>
      </c>
      <c r="C6" s="65" t="s">
        <v>116</v>
      </c>
      <c r="D6" s="31">
        <v>9164246</v>
      </c>
      <c r="E6" s="31">
        <v>9870319</v>
      </c>
      <c r="F6" s="31">
        <v>624427</v>
      </c>
      <c r="G6" s="31">
        <v>6527800</v>
      </c>
      <c r="H6" s="31">
        <v>3342519</v>
      </c>
      <c r="I6" s="31">
        <v>289118</v>
      </c>
      <c r="J6" s="31">
        <v>88062</v>
      </c>
      <c r="K6" s="32">
        <v>205335</v>
      </c>
    </row>
    <row r="7" spans="2:11" ht="15.75" thickBot="1" x14ac:dyDescent="0.3">
      <c r="B7" s="30" t="s">
        <v>110</v>
      </c>
      <c r="C7" s="65" t="s">
        <v>116</v>
      </c>
      <c r="D7" s="31">
        <v>23845612</v>
      </c>
      <c r="E7" s="31">
        <v>23845612</v>
      </c>
      <c r="F7" s="31">
        <v>21461429</v>
      </c>
      <c r="G7" s="31">
        <v>21545827</v>
      </c>
      <c r="H7" s="31">
        <v>2299785</v>
      </c>
      <c r="I7" s="31">
        <v>-2577673</v>
      </c>
      <c r="J7" s="31">
        <v>-2116691</v>
      </c>
      <c r="K7" s="32">
        <v>52034</v>
      </c>
    </row>
    <row r="8" spans="2:11" ht="15.75" thickBot="1" x14ac:dyDescent="0.3">
      <c r="B8" s="30" t="s">
        <v>111</v>
      </c>
      <c r="C8" s="65" t="s">
        <v>116</v>
      </c>
      <c r="D8" s="31">
        <v>19461019</v>
      </c>
      <c r="E8" s="31">
        <v>39619696</v>
      </c>
      <c r="F8" s="31">
        <v>13542591</v>
      </c>
      <c r="G8" s="31">
        <v>16121276</v>
      </c>
      <c r="H8" s="31">
        <v>23498420</v>
      </c>
      <c r="I8" s="31">
        <v>1678606</v>
      </c>
      <c r="J8" s="31">
        <v>1166733</v>
      </c>
      <c r="K8" s="32">
        <v>179715</v>
      </c>
    </row>
    <row r="9" spans="2:11" ht="15.75" thickBot="1" x14ac:dyDescent="0.3">
      <c r="B9" s="30" t="s">
        <v>112</v>
      </c>
      <c r="C9" s="65" t="s">
        <v>116</v>
      </c>
      <c r="D9" s="31">
        <v>17684256</v>
      </c>
      <c r="E9" s="31">
        <v>19885367</v>
      </c>
      <c r="F9" s="31">
        <v>17682323</v>
      </c>
      <c r="G9" s="31">
        <v>19613762</v>
      </c>
      <c r="H9" s="31">
        <v>271605</v>
      </c>
      <c r="I9" s="31">
        <v>516165</v>
      </c>
      <c r="J9" s="31">
        <v>-443915</v>
      </c>
      <c r="K9" s="32">
        <v>2244621</v>
      </c>
    </row>
    <row r="10" spans="2:11" ht="15.75" thickBot="1" x14ac:dyDescent="0.3">
      <c r="B10" s="30" t="s">
        <v>113</v>
      </c>
      <c r="C10" s="65" t="s">
        <v>116</v>
      </c>
      <c r="D10" s="31">
        <v>48097024</v>
      </c>
      <c r="E10" s="31">
        <v>52457160</v>
      </c>
      <c r="F10" s="31">
        <v>33798644</v>
      </c>
      <c r="G10" s="31">
        <v>40710176</v>
      </c>
      <c r="H10" s="31">
        <v>11746984</v>
      </c>
      <c r="I10" s="31">
        <v>4351794</v>
      </c>
      <c r="J10" s="31">
        <v>2781725</v>
      </c>
      <c r="K10" s="32">
        <v>2464593</v>
      </c>
    </row>
    <row r="11" spans="2:11" ht="15.75" thickBot="1" x14ac:dyDescent="0.3">
      <c r="B11" s="30" t="s">
        <v>114</v>
      </c>
      <c r="C11" s="65" t="s">
        <v>116</v>
      </c>
      <c r="D11" s="31">
        <v>573241896</v>
      </c>
      <c r="E11" s="31">
        <v>636293825</v>
      </c>
      <c r="F11" s="31">
        <v>716213674</v>
      </c>
      <c r="G11" s="31">
        <v>720044315</v>
      </c>
      <c r="H11" s="31">
        <v>-83750490</v>
      </c>
      <c r="I11" s="31">
        <v>-59410913</v>
      </c>
      <c r="J11" s="31">
        <v>-83862085</v>
      </c>
      <c r="K11" s="32">
        <v>24451172</v>
      </c>
    </row>
    <row r="12" spans="2:11" ht="15.75" thickBot="1" x14ac:dyDescent="0.3">
      <c r="B12" s="30" t="s">
        <v>115</v>
      </c>
      <c r="C12" s="65" t="s">
        <v>116</v>
      </c>
      <c r="D12" s="31">
        <v>43544979</v>
      </c>
      <c r="E12" s="31">
        <v>53833671</v>
      </c>
      <c r="F12" s="31">
        <v>36906929</v>
      </c>
      <c r="G12" s="31">
        <v>45396091</v>
      </c>
      <c r="H12" s="31">
        <v>8437580</v>
      </c>
      <c r="I12" s="31">
        <v>6626263</v>
      </c>
      <c r="J12" s="31">
        <v>6511120</v>
      </c>
      <c r="K12" s="32">
        <v>307137</v>
      </c>
    </row>
    <row r="13" spans="2:11" ht="16.5" thickBot="1" x14ac:dyDescent="0.3">
      <c r="B13" s="144" t="s">
        <v>12</v>
      </c>
      <c r="C13" s="145"/>
      <c r="D13" s="33">
        <f t="shared" ref="D13:K13" si="0">SUM(D5:D12)</f>
        <v>742625619</v>
      </c>
      <c r="E13" s="33">
        <f t="shared" si="0"/>
        <v>843715832</v>
      </c>
      <c r="F13" s="33">
        <f t="shared" si="0"/>
        <v>843549620</v>
      </c>
      <c r="G13" s="33">
        <f t="shared" si="0"/>
        <v>873331518</v>
      </c>
      <c r="H13" s="33">
        <f t="shared" si="0"/>
        <v>-29615686</v>
      </c>
      <c r="I13" s="33">
        <f t="shared" si="0"/>
        <v>-45117132</v>
      </c>
      <c r="J13" s="33">
        <f t="shared" si="0"/>
        <v>-72629740</v>
      </c>
      <c r="K13" s="33">
        <f t="shared" si="0"/>
        <v>30068804</v>
      </c>
    </row>
    <row r="14" spans="2:11" ht="15.75" thickBot="1" x14ac:dyDescent="0.3">
      <c r="B14" s="137" t="s">
        <v>103</v>
      </c>
      <c r="C14" s="138"/>
      <c r="D14" s="138"/>
      <c r="E14" s="138"/>
      <c r="F14" s="138"/>
      <c r="G14" s="138"/>
      <c r="H14" s="138"/>
      <c r="I14" s="138"/>
      <c r="J14" s="138"/>
      <c r="K14" s="139"/>
    </row>
    <row r="15" spans="2:11" ht="15.75" thickBot="1" x14ac:dyDescent="0.3">
      <c r="B15" s="137" t="s">
        <v>83</v>
      </c>
      <c r="C15" s="138"/>
      <c r="D15" s="138"/>
      <c r="E15" s="138"/>
      <c r="F15" s="138"/>
      <c r="G15" s="138"/>
      <c r="H15" s="138"/>
      <c r="I15" s="138"/>
      <c r="J15" s="138"/>
      <c r="K15" s="139"/>
    </row>
    <row r="16" spans="2:11" ht="95.25" thickBot="1" x14ac:dyDescent="0.3">
      <c r="B16" s="28" t="s">
        <v>93</v>
      </c>
      <c r="C16" s="1" t="s">
        <v>9</v>
      </c>
      <c r="D16" s="1" t="s">
        <v>0</v>
      </c>
      <c r="E16" s="1" t="s">
        <v>1</v>
      </c>
      <c r="F16" s="1" t="s">
        <v>2</v>
      </c>
      <c r="G16" s="2" t="s">
        <v>3</v>
      </c>
      <c r="H16" s="1" t="s">
        <v>4</v>
      </c>
      <c r="I16" s="1" t="s">
        <v>7</v>
      </c>
      <c r="J16" s="1" t="s">
        <v>8</v>
      </c>
      <c r="K16" s="1" t="s">
        <v>6</v>
      </c>
    </row>
    <row r="17" spans="2:11" ht="15.75" thickBot="1" x14ac:dyDescent="0.3">
      <c r="B17" s="30" t="s">
        <v>108</v>
      </c>
      <c r="C17" s="65" t="s">
        <v>116</v>
      </c>
      <c r="D17" s="31">
        <v>6363206</v>
      </c>
      <c r="E17" s="31">
        <v>7512649</v>
      </c>
      <c r="F17" s="31">
        <v>3004878</v>
      </c>
      <c r="G17" s="31">
        <v>3034535</v>
      </c>
      <c r="H17" s="31">
        <v>4478114</v>
      </c>
      <c r="I17" s="31">
        <v>-104269</v>
      </c>
      <c r="J17" s="31">
        <v>189735</v>
      </c>
      <c r="K17" s="32"/>
    </row>
    <row r="18" spans="2:11" ht="15.75" thickBot="1" x14ac:dyDescent="0.3">
      <c r="B18" s="30" t="s">
        <v>109</v>
      </c>
      <c r="C18" s="65" t="s">
        <v>116</v>
      </c>
      <c r="D18" s="31">
        <v>9574703</v>
      </c>
      <c r="E18" s="31">
        <v>10345115</v>
      </c>
      <c r="F18" s="31">
        <v>2305033</v>
      </c>
      <c r="G18" s="31">
        <v>6909654</v>
      </c>
      <c r="H18" s="31">
        <v>3435461</v>
      </c>
      <c r="I18" s="31">
        <v>218240</v>
      </c>
      <c r="J18" s="31">
        <v>191225</v>
      </c>
      <c r="K18" s="32">
        <v>27069</v>
      </c>
    </row>
    <row r="19" spans="2:11" ht="15.75" thickBot="1" x14ac:dyDescent="0.3">
      <c r="B19" s="30" t="s">
        <v>110</v>
      </c>
      <c r="C19" s="65" t="s">
        <v>116</v>
      </c>
      <c r="D19" s="31">
        <v>29709749</v>
      </c>
      <c r="E19" s="31">
        <v>29709749</v>
      </c>
      <c r="F19" s="31">
        <v>26750358</v>
      </c>
      <c r="G19" s="31">
        <v>26842926</v>
      </c>
      <c r="H19" s="31">
        <v>2866823</v>
      </c>
      <c r="I19" s="31">
        <v>1240472</v>
      </c>
      <c r="J19" s="31">
        <v>1025293</v>
      </c>
      <c r="K19" s="32">
        <v>223811</v>
      </c>
    </row>
    <row r="20" spans="2:11" ht="15.75" thickBot="1" x14ac:dyDescent="0.3">
      <c r="B20" s="30" t="s">
        <v>111</v>
      </c>
      <c r="C20" s="65" t="s">
        <v>116</v>
      </c>
      <c r="D20" s="31">
        <v>19799371</v>
      </c>
      <c r="E20" s="31">
        <v>44143119</v>
      </c>
      <c r="F20" s="31">
        <v>16911811</v>
      </c>
      <c r="G20" s="31">
        <v>20692448</v>
      </c>
      <c r="H20" s="31">
        <v>23450671</v>
      </c>
      <c r="I20" s="31">
        <v>913916</v>
      </c>
      <c r="J20" s="31">
        <v>-57263</v>
      </c>
      <c r="K20" s="32">
        <v>299726</v>
      </c>
    </row>
    <row r="21" spans="2:11" ht="15.75" thickBot="1" x14ac:dyDescent="0.3">
      <c r="B21" s="30" t="s">
        <v>112</v>
      </c>
      <c r="C21" s="65" t="s">
        <v>116</v>
      </c>
      <c r="D21" s="31">
        <v>16202546</v>
      </c>
      <c r="E21" s="31">
        <v>19183607</v>
      </c>
      <c r="F21" s="31">
        <v>13776957</v>
      </c>
      <c r="G21" s="31">
        <v>18823312</v>
      </c>
      <c r="H21" s="31">
        <v>360295</v>
      </c>
      <c r="I21" s="31">
        <v>2286887</v>
      </c>
      <c r="J21" s="31">
        <v>1740316</v>
      </c>
      <c r="K21" s="32">
        <v>1083874</v>
      </c>
    </row>
    <row r="22" spans="2:11" ht="15.75" thickBot="1" x14ac:dyDescent="0.3">
      <c r="B22" s="30" t="s">
        <v>113</v>
      </c>
      <c r="C22" s="65" t="s">
        <v>116</v>
      </c>
      <c r="D22" s="31">
        <v>77281306</v>
      </c>
      <c r="E22" s="31">
        <v>84284251</v>
      </c>
      <c r="F22" s="31">
        <v>60051644</v>
      </c>
      <c r="G22" s="31">
        <v>68245268</v>
      </c>
      <c r="H22" s="31">
        <v>16038983</v>
      </c>
      <c r="I22" s="31">
        <v>9960568</v>
      </c>
      <c r="J22" s="31">
        <v>7900860</v>
      </c>
      <c r="K22" s="32">
        <v>3414132</v>
      </c>
    </row>
    <row r="23" spans="2:11" ht="15.75" thickBot="1" x14ac:dyDescent="0.3">
      <c r="B23" s="30" t="s">
        <v>114</v>
      </c>
      <c r="C23" s="65" t="s">
        <v>116</v>
      </c>
      <c r="D23" s="31">
        <v>582539330</v>
      </c>
      <c r="E23" s="31">
        <v>664340594</v>
      </c>
      <c r="F23" s="31">
        <v>567659962</v>
      </c>
      <c r="G23" s="31">
        <v>582213412</v>
      </c>
      <c r="H23" s="31">
        <v>82127182</v>
      </c>
      <c r="I23" s="31">
        <v>-71522539</v>
      </c>
      <c r="J23" s="31">
        <v>-69021232</v>
      </c>
      <c r="K23" s="32">
        <v>90961315</v>
      </c>
    </row>
    <row r="24" spans="2:11" ht="15.75" thickBot="1" x14ac:dyDescent="0.3">
      <c r="B24" s="30" t="s">
        <v>115</v>
      </c>
      <c r="C24" s="65" t="s">
        <v>116</v>
      </c>
      <c r="D24" s="31">
        <v>48565440</v>
      </c>
      <c r="E24" s="31">
        <v>49386013</v>
      </c>
      <c r="F24" s="31">
        <v>46127918</v>
      </c>
      <c r="G24" s="31">
        <v>46127918</v>
      </c>
      <c r="H24" s="31">
        <v>3258095</v>
      </c>
      <c r="I24" s="31">
        <v>7405440</v>
      </c>
      <c r="J24" s="31">
        <v>8049309</v>
      </c>
      <c r="K24" s="32">
        <v>531204</v>
      </c>
    </row>
    <row r="25" spans="2:11" ht="16.5" thickBot="1" x14ac:dyDescent="0.3">
      <c r="B25" s="146" t="s">
        <v>12</v>
      </c>
      <c r="C25" s="147"/>
      <c r="D25" s="62">
        <f t="shared" ref="D25:K25" si="1">SUM(D17:D24)</f>
        <v>790035651</v>
      </c>
      <c r="E25" s="62">
        <f t="shared" si="1"/>
        <v>908905097</v>
      </c>
      <c r="F25" s="62">
        <f t="shared" si="1"/>
        <v>736588561</v>
      </c>
      <c r="G25" s="62">
        <f t="shared" si="1"/>
        <v>772889473</v>
      </c>
      <c r="H25" s="62">
        <f t="shared" si="1"/>
        <v>136015624</v>
      </c>
      <c r="I25" s="62">
        <f t="shared" si="1"/>
        <v>-49601285</v>
      </c>
      <c r="J25" s="62">
        <f t="shared" si="1"/>
        <v>-49981757</v>
      </c>
      <c r="K25" s="62">
        <f t="shared" si="1"/>
        <v>96541131</v>
      </c>
    </row>
    <row r="26" spans="2:11" ht="16.5" thickBot="1" x14ac:dyDescent="0.3">
      <c r="B26" s="142" t="s">
        <v>13</v>
      </c>
      <c r="C26" s="143"/>
      <c r="D26" s="35">
        <f t="shared" ref="D26:K26" si="2">+D25+D13</f>
        <v>1532661270</v>
      </c>
      <c r="E26" s="36">
        <f t="shared" si="2"/>
        <v>1752620929</v>
      </c>
      <c r="F26" s="36">
        <f t="shared" si="2"/>
        <v>1580138181</v>
      </c>
      <c r="G26" s="36">
        <f t="shared" si="2"/>
        <v>1646220991</v>
      </c>
      <c r="H26" s="36">
        <f t="shared" si="2"/>
        <v>106399938</v>
      </c>
      <c r="I26" s="36">
        <f t="shared" si="2"/>
        <v>-94718417</v>
      </c>
      <c r="J26" s="36">
        <f t="shared" si="2"/>
        <v>-122611497</v>
      </c>
      <c r="K26" s="37">
        <f t="shared" si="2"/>
        <v>126609935</v>
      </c>
    </row>
    <row r="27" spans="2:11" ht="15.75" thickBot="1" x14ac:dyDescent="0.3"/>
    <row r="28" spans="2:11" ht="32.25" thickBot="1" x14ac:dyDescent="0.3">
      <c r="B28" s="3" t="s">
        <v>14</v>
      </c>
      <c r="C28" s="3" t="s">
        <v>15</v>
      </c>
      <c r="D28" s="3" t="s">
        <v>16</v>
      </c>
      <c r="E28" s="3" t="s">
        <v>17</v>
      </c>
      <c r="F28" s="3" t="s">
        <v>18</v>
      </c>
    </row>
    <row r="29" spans="2:11" ht="61.5" customHeight="1" thickBot="1" x14ac:dyDescent="0.3">
      <c r="B29" s="17" t="s">
        <v>19</v>
      </c>
      <c r="C29" s="18" t="s">
        <v>20</v>
      </c>
      <c r="D29" s="19" t="s">
        <v>33</v>
      </c>
      <c r="E29" s="10" t="s">
        <v>21</v>
      </c>
      <c r="F29" s="11">
        <f>+D26/F26</f>
        <v>0.96995394986914751</v>
      </c>
    </row>
    <row r="30" spans="2:11" ht="48" thickBot="1" x14ac:dyDescent="0.3">
      <c r="B30" s="17" t="s">
        <v>22</v>
      </c>
      <c r="C30" s="20" t="s">
        <v>23</v>
      </c>
      <c r="D30" s="21" t="s">
        <v>24</v>
      </c>
      <c r="E30" s="21" t="s">
        <v>25</v>
      </c>
      <c r="F30" s="12">
        <f>G26/E26*100</f>
        <v>93.929095776534581</v>
      </c>
    </row>
    <row r="31" spans="2:11" ht="111" thickBot="1" x14ac:dyDescent="0.3">
      <c r="B31" s="22" t="s">
        <v>26</v>
      </c>
      <c r="C31" s="23" t="s">
        <v>27</v>
      </c>
      <c r="D31" s="24" t="s">
        <v>34</v>
      </c>
      <c r="E31" s="24" t="s">
        <v>21</v>
      </c>
      <c r="F31" s="25">
        <f>+J26/K26</f>
        <v>-0.96841923976977007</v>
      </c>
    </row>
    <row r="32" spans="2:11" ht="95.25" thickBot="1" x14ac:dyDescent="0.3">
      <c r="B32" s="22" t="s">
        <v>19</v>
      </c>
      <c r="C32" s="23" t="s">
        <v>35</v>
      </c>
      <c r="D32" s="24" t="s">
        <v>36</v>
      </c>
      <c r="E32" s="24" t="s">
        <v>38</v>
      </c>
      <c r="F32" s="26">
        <f>+D26-F26</f>
        <v>-47476911</v>
      </c>
    </row>
    <row r="33" spans="2:6" ht="16.5" thickBot="1" x14ac:dyDescent="0.3">
      <c r="B33" s="4"/>
      <c r="C33" s="4"/>
      <c r="D33" s="4"/>
      <c r="E33" s="4"/>
      <c r="F33" s="4"/>
    </row>
    <row r="34" spans="2:6" ht="32.25" thickBot="1" x14ac:dyDescent="0.3">
      <c r="B34" s="3" t="s">
        <v>14</v>
      </c>
      <c r="C34" s="14" t="s">
        <v>15</v>
      </c>
      <c r="D34" s="15" t="s">
        <v>16</v>
      </c>
      <c r="E34" s="15" t="s">
        <v>17</v>
      </c>
      <c r="F34" s="16" t="s">
        <v>18</v>
      </c>
    </row>
    <row r="35" spans="2:6" ht="79.5" thickBot="1" x14ac:dyDescent="0.3">
      <c r="B35" s="13" t="s">
        <v>28</v>
      </c>
      <c r="C35" s="5" t="s">
        <v>29</v>
      </c>
      <c r="D35" s="6" t="s">
        <v>31</v>
      </c>
      <c r="E35" s="6" t="s">
        <v>25</v>
      </c>
      <c r="F35" s="7">
        <f>I26/E26*100</f>
        <v>-5.40438696313206</v>
      </c>
    </row>
    <row r="36" spans="2:6" ht="95.25" thickBot="1" x14ac:dyDescent="0.3">
      <c r="B36" s="13" t="s">
        <v>28</v>
      </c>
      <c r="C36" s="8" t="s">
        <v>30</v>
      </c>
      <c r="D36" s="9" t="s">
        <v>32</v>
      </c>
      <c r="E36" s="9" t="s">
        <v>25</v>
      </c>
      <c r="F36" s="25">
        <f>I26/H26*100</f>
        <v>-89.021120482231865</v>
      </c>
    </row>
  </sheetData>
  <mergeCells count="7">
    <mergeCell ref="B26:C26"/>
    <mergeCell ref="B2:K2"/>
    <mergeCell ref="B3:K3"/>
    <mergeCell ref="B13:C13"/>
    <mergeCell ref="B14:K14"/>
    <mergeCell ref="B15:K15"/>
    <mergeCell ref="B25:C25"/>
  </mergeCells>
  <conditionalFormatting sqref="B4">
    <cfRule type="duplicateValues" dxfId="13" priority="1"/>
  </conditionalFormatting>
  <conditionalFormatting sqref="B16">
    <cfRule type="duplicateValues" dxfId="12" priority="2"/>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350B7-4902-4EEF-B00A-3D4C445567FB}">
  <dimension ref="B1:K36"/>
  <sheetViews>
    <sheetView topLeftCell="A17" zoomScale="56" zoomScaleNormal="56" workbookViewId="0">
      <selection activeCell="K32" sqref="K32"/>
    </sheetView>
  </sheetViews>
  <sheetFormatPr baseColWidth="10" defaultColWidth="11.42578125" defaultRowHeight="15" x14ac:dyDescent="0.25"/>
  <cols>
    <col min="1" max="1" width="11.42578125" style="27"/>
    <col min="2" max="2" width="39.140625" style="27" customWidth="1"/>
    <col min="3" max="3" width="51.140625" style="27" customWidth="1"/>
    <col min="4" max="4" width="17.5703125" style="27" customWidth="1"/>
    <col min="5" max="5" width="12" style="27" bestFit="1" customWidth="1"/>
    <col min="6" max="6" width="20" style="27" bestFit="1" customWidth="1"/>
    <col min="7" max="8" width="12" style="27" bestFit="1" customWidth="1"/>
    <col min="9" max="11" width="11.7109375" style="27" bestFit="1" customWidth="1"/>
    <col min="12" max="16384" width="11.42578125" style="27"/>
  </cols>
  <sheetData>
    <row r="1" spans="2:11" ht="15.75" thickBot="1" x14ac:dyDescent="0.3"/>
    <row r="2" spans="2:11" ht="15.75" thickBot="1" x14ac:dyDescent="0.3">
      <c r="B2" s="137" t="s">
        <v>5</v>
      </c>
      <c r="C2" s="138"/>
      <c r="D2" s="138"/>
      <c r="E2" s="138"/>
      <c r="F2" s="138"/>
      <c r="G2" s="138"/>
      <c r="H2" s="138"/>
      <c r="I2" s="138"/>
      <c r="J2" s="138"/>
      <c r="K2" s="139"/>
    </row>
    <row r="3" spans="2:11" ht="15.75" thickBot="1" x14ac:dyDescent="0.3">
      <c r="B3" s="137" t="s">
        <v>85</v>
      </c>
      <c r="C3" s="138"/>
      <c r="D3" s="138"/>
      <c r="E3" s="138"/>
      <c r="F3" s="138"/>
      <c r="G3" s="138"/>
      <c r="H3" s="138"/>
      <c r="I3" s="138"/>
      <c r="J3" s="138"/>
      <c r="K3" s="139"/>
    </row>
    <row r="4" spans="2:11" ht="98.25" customHeight="1" thickBot="1" x14ac:dyDescent="0.3">
      <c r="B4" s="28" t="s">
        <v>93</v>
      </c>
      <c r="C4" s="1" t="s">
        <v>9</v>
      </c>
      <c r="D4" s="1" t="s">
        <v>0</v>
      </c>
      <c r="E4" s="1" t="s">
        <v>1</v>
      </c>
      <c r="F4" s="1" t="s">
        <v>2</v>
      </c>
      <c r="G4" s="2" t="s">
        <v>3</v>
      </c>
      <c r="H4" s="1" t="s">
        <v>4</v>
      </c>
      <c r="I4" s="1" t="s">
        <v>7</v>
      </c>
      <c r="J4" s="1" t="s">
        <v>8</v>
      </c>
      <c r="K4" s="1" t="s">
        <v>6</v>
      </c>
    </row>
    <row r="5" spans="2:11" ht="15.75" thickBot="1" x14ac:dyDescent="0.3">
      <c r="B5" s="30" t="s">
        <v>94</v>
      </c>
      <c r="C5" s="65" t="s">
        <v>95</v>
      </c>
      <c r="D5" s="31">
        <v>146562473</v>
      </c>
      <c r="E5" s="31">
        <v>147295133</v>
      </c>
      <c r="F5" s="31">
        <v>103553690</v>
      </c>
      <c r="G5" s="31">
        <v>124739214</v>
      </c>
      <c r="H5" s="31">
        <v>22555919</v>
      </c>
      <c r="I5" s="31">
        <v>-16720727</v>
      </c>
      <c r="J5" s="31">
        <v>-18366831</v>
      </c>
      <c r="K5" s="32">
        <v>1625094</v>
      </c>
    </row>
    <row r="6" spans="2:11" ht="15.75" thickBot="1" x14ac:dyDescent="0.3">
      <c r="B6" s="30" t="s">
        <v>96</v>
      </c>
      <c r="C6" s="65" t="s">
        <v>95</v>
      </c>
      <c r="D6" s="31">
        <v>19851958</v>
      </c>
      <c r="E6" s="31">
        <v>21684551</v>
      </c>
      <c r="F6" s="31">
        <v>5067744</v>
      </c>
      <c r="G6" s="31">
        <v>18143490</v>
      </c>
      <c r="H6" s="31">
        <v>3541061</v>
      </c>
      <c r="I6" s="31">
        <v>2122887</v>
      </c>
      <c r="J6" s="31">
        <v>1797269</v>
      </c>
      <c r="K6" s="32">
        <v>325618</v>
      </c>
    </row>
    <row r="7" spans="2:11" ht="15.75" thickBot="1" x14ac:dyDescent="0.3">
      <c r="B7" s="30" t="s">
        <v>97</v>
      </c>
      <c r="C7" s="65" t="s">
        <v>95</v>
      </c>
      <c r="D7" s="31">
        <v>172946993</v>
      </c>
      <c r="E7" s="31">
        <v>245929760</v>
      </c>
      <c r="F7" s="31">
        <v>138938366</v>
      </c>
      <c r="G7" s="31">
        <v>142762335</v>
      </c>
      <c r="H7" s="31">
        <v>103167425</v>
      </c>
      <c r="I7" s="31">
        <v>14323500</v>
      </c>
      <c r="J7" s="31">
        <v>9128847</v>
      </c>
      <c r="K7" s="32">
        <v>5534088</v>
      </c>
    </row>
    <row r="8" spans="2:11" ht="15.75" thickBot="1" x14ac:dyDescent="0.3">
      <c r="B8" s="30" t="s">
        <v>102</v>
      </c>
      <c r="C8" s="65" t="s">
        <v>95</v>
      </c>
      <c r="D8" s="31">
        <v>4655759</v>
      </c>
      <c r="E8" s="31">
        <v>5450937</v>
      </c>
      <c r="F8" s="31">
        <v>4678147</v>
      </c>
      <c r="G8" s="31">
        <v>4678147</v>
      </c>
      <c r="H8" s="31">
        <v>772790</v>
      </c>
      <c r="I8" s="31">
        <v>546803</v>
      </c>
      <c r="J8" s="31">
        <v>377632</v>
      </c>
      <c r="K8" s="32">
        <v>187705</v>
      </c>
    </row>
    <row r="9" spans="2:11" ht="15.75" thickBot="1" x14ac:dyDescent="0.3">
      <c r="B9" s="30" t="s">
        <v>98</v>
      </c>
      <c r="C9" s="65" t="s">
        <v>95</v>
      </c>
      <c r="D9" s="31">
        <v>70930239</v>
      </c>
      <c r="E9" s="31">
        <v>74545629</v>
      </c>
      <c r="F9" s="31">
        <v>29462186</v>
      </c>
      <c r="G9" s="31">
        <v>50768622</v>
      </c>
      <c r="H9" s="31">
        <v>23777007</v>
      </c>
      <c r="I9" s="31">
        <v>3248105</v>
      </c>
      <c r="J9" s="31">
        <v>476564</v>
      </c>
      <c r="K9" s="32">
        <v>3038300</v>
      </c>
    </row>
    <row r="10" spans="2:11" ht="15.75" thickBot="1" x14ac:dyDescent="0.3">
      <c r="B10" s="30" t="s">
        <v>99</v>
      </c>
      <c r="C10" s="65" t="s">
        <v>95</v>
      </c>
      <c r="D10" s="31">
        <v>5079755</v>
      </c>
      <c r="E10" s="31">
        <v>24083112</v>
      </c>
      <c r="F10" s="31">
        <v>1913864</v>
      </c>
      <c r="G10" s="31">
        <v>13954522</v>
      </c>
      <c r="H10" s="31">
        <v>10128590</v>
      </c>
      <c r="I10" s="31">
        <v>1400758</v>
      </c>
      <c r="J10" s="31">
        <v>2083342</v>
      </c>
      <c r="K10" s="32">
        <v>93369</v>
      </c>
    </row>
    <row r="11" spans="2:11" ht="15.75" thickBot="1" x14ac:dyDescent="0.3">
      <c r="B11" s="30" t="s">
        <v>100</v>
      </c>
      <c r="C11" s="65" t="s">
        <v>95</v>
      </c>
      <c r="D11" s="31">
        <v>8013282</v>
      </c>
      <c r="E11" s="31">
        <v>10162274</v>
      </c>
      <c r="F11" s="31">
        <v>8256761</v>
      </c>
      <c r="G11" s="31">
        <v>8525433</v>
      </c>
      <c r="H11" s="31">
        <v>1636841</v>
      </c>
      <c r="I11" s="31">
        <v>-1922841</v>
      </c>
      <c r="J11" s="31">
        <v>-1952127</v>
      </c>
      <c r="K11" s="32">
        <v>39265</v>
      </c>
    </row>
    <row r="12" spans="2:11" ht="15.75" thickBot="1" x14ac:dyDescent="0.3">
      <c r="B12" s="30" t="s">
        <v>101</v>
      </c>
      <c r="C12" s="65" t="s">
        <v>95</v>
      </c>
      <c r="D12" s="31">
        <v>7125278</v>
      </c>
      <c r="E12" s="31">
        <v>8250478</v>
      </c>
      <c r="F12" s="31">
        <v>4487274</v>
      </c>
      <c r="G12" s="31">
        <v>4487274</v>
      </c>
      <c r="H12" s="31">
        <v>3763204</v>
      </c>
      <c r="I12" s="31">
        <v>-50506</v>
      </c>
      <c r="J12" s="31">
        <v>-129678</v>
      </c>
      <c r="K12" s="32">
        <v>79172</v>
      </c>
    </row>
    <row r="13" spans="2:11" ht="16.5" thickBot="1" x14ac:dyDescent="0.3">
      <c r="B13" s="144" t="s">
        <v>12</v>
      </c>
      <c r="C13" s="145"/>
      <c r="D13" s="33">
        <f t="shared" ref="D13:K13" si="0">SUM(D5:D12)</f>
        <v>435165737</v>
      </c>
      <c r="E13" s="33">
        <f t="shared" si="0"/>
        <v>537401874</v>
      </c>
      <c r="F13" s="33">
        <f t="shared" si="0"/>
        <v>296358032</v>
      </c>
      <c r="G13" s="33">
        <f t="shared" si="0"/>
        <v>368059037</v>
      </c>
      <c r="H13" s="33">
        <f t="shared" si="0"/>
        <v>169342837</v>
      </c>
      <c r="I13" s="33">
        <f t="shared" si="0"/>
        <v>2947979</v>
      </c>
      <c r="J13" s="33">
        <f t="shared" si="0"/>
        <v>-6584982</v>
      </c>
      <c r="K13" s="33">
        <f t="shared" si="0"/>
        <v>10922611</v>
      </c>
    </row>
    <row r="14" spans="2:11" ht="15.75" thickBot="1" x14ac:dyDescent="0.3">
      <c r="B14" s="137" t="s">
        <v>5</v>
      </c>
      <c r="C14" s="138"/>
      <c r="D14" s="138"/>
      <c r="E14" s="138"/>
      <c r="F14" s="138"/>
      <c r="G14" s="138"/>
      <c r="H14" s="138"/>
      <c r="I14" s="138"/>
      <c r="J14" s="138"/>
      <c r="K14" s="139"/>
    </row>
    <row r="15" spans="2:11" ht="15.75" thickBot="1" x14ac:dyDescent="0.3">
      <c r="B15" s="137" t="s">
        <v>86</v>
      </c>
      <c r="C15" s="138"/>
      <c r="D15" s="138"/>
      <c r="E15" s="138"/>
      <c r="F15" s="138"/>
      <c r="G15" s="138"/>
      <c r="H15" s="138"/>
      <c r="I15" s="138"/>
      <c r="J15" s="138"/>
      <c r="K15" s="139"/>
    </row>
    <row r="16" spans="2:11" ht="95.25" thickBot="1" x14ac:dyDescent="0.3">
      <c r="B16" s="28" t="s">
        <v>93</v>
      </c>
      <c r="C16" s="1" t="s">
        <v>9</v>
      </c>
      <c r="D16" s="1" t="s">
        <v>0</v>
      </c>
      <c r="E16" s="1" t="s">
        <v>1</v>
      </c>
      <c r="F16" s="1" t="s">
        <v>2</v>
      </c>
      <c r="G16" s="2" t="s">
        <v>3</v>
      </c>
      <c r="H16" s="1" t="s">
        <v>4</v>
      </c>
      <c r="I16" s="1" t="s">
        <v>7</v>
      </c>
      <c r="J16" s="1" t="s">
        <v>8</v>
      </c>
      <c r="K16" s="1" t="s">
        <v>6</v>
      </c>
    </row>
    <row r="17" spans="2:11" ht="15.75" thickBot="1" x14ac:dyDescent="0.3">
      <c r="B17" s="30" t="s">
        <v>94</v>
      </c>
      <c r="C17" s="65" t="s">
        <v>95</v>
      </c>
      <c r="D17" s="31">
        <v>119025245</v>
      </c>
      <c r="E17" s="31">
        <v>120046484</v>
      </c>
      <c r="F17" s="31">
        <v>79514239</v>
      </c>
      <c r="G17" s="31">
        <v>107875243</v>
      </c>
      <c r="H17" s="31">
        <v>12171241</v>
      </c>
      <c r="I17" s="31">
        <v>-16101696</v>
      </c>
      <c r="J17" s="31">
        <v>-10284835</v>
      </c>
      <c r="K17" s="32">
        <v>345333</v>
      </c>
    </row>
    <row r="18" spans="2:11" ht="15.75" thickBot="1" x14ac:dyDescent="0.3">
      <c r="B18" s="30" t="s">
        <v>96</v>
      </c>
      <c r="C18" s="65" t="s">
        <v>95</v>
      </c>
      <c r="D18" s="31">
        <v>33465708</v>
      </c>
      <c r="E18" s="31">
        <v>38450872</v>
      </c>
      <c r="F18" s="31">
        <v>16440874</v>
      </c>
      <c r="G18" s="31">
        <v>26010220</v>
      </c>
      <c r="H18" s="31">
        <v>12440652</v>
      </c>
      <c r="I18" s="31">
        <v>15965700</v>
      </c>
      <c r="J18" s="31">
        <v>13704834</v>
      </c>
      <c r="K18" s="32">
        <v>2341653</v>
      </c>
    </row>
    <row r="19" spans="2:11" ht="15.75" thickBot="1" x14ac:dyDescent="0.3">
      <c r="B19" s="30" t="s">
        <v>97</v>
      </c>
      <c r="C19" s="65" t="s">
        <v>95</v>
      </c>
      <c r="D19" s="31">
        <v>148826841</v>
      </c>
      <c r="E19" s="31">
        <v>219755943</v>
      </c>
      <c r="F19" s="31">
        <v>91506337</v>
      </c>
      <c r="G19" s="31">
        <v>119009719</v>
      </c>
      <c r="H19" s="31">
        <v>100746224</v>
      </c>
      <c r="I19" s="31">
        <v>3884699</v>
      </c>
      <c r="J19" s="31">
        <v>-1213029</v>
      </c>
      <c r="K19" s="32">
        <v>5419159</v>
      </c>
    </row>
    <row r="20" spans="2:11" ht="15.75" thickBot="1" x14ac:dyDescent="0.3">
      <c r="B20" s="30" t="s">
        <v>102</v>
      </c>
      <c r="C20" s="65" t="s">
        <v>95</v>
      </c>
      <c r="D20" s="31">
        <v>2674826</v>
      </c>
      <c r="E20" s="31">
        <v>3352298</v>
      </c>
      <c r="F20" s="31">
        <v>3406532</v>
      </c>
      <c r="G20" s="31">
        <v>3406532</v>
      </c>
      <c r="H20" s="31">
        <v>-54234</v>
      </c>
      <c r="I20" s="31">
        <v>-676790</v>
      </c>
      <c r="J20" s="31">
        <v>-904806</v>
      </c>
      <c r="K20" s="32">
        <v>244782</v>
      </c>
    </row>
    <row r="21" spans="2:11" ht="15.75" thickBot="1" x14ac:dyDescent="0.3">
      <c r="B21" s="30" t="s">
        <v>98</v>
      </c>
      <c r="C21" s="65" t="s">
        <v>95</v>
      </c>
      <c r="D21" s="31">
        <v>69405590</v>
      </c>
      <c r="E21" s="31">
        <v>72894062</v>
      </c>
      <c r="F21" s="31">
        <v>26096621</v>
      </c>
      <c r="G21" s="31">
        <v>47778055</v>
      </c>
      <c r="H21" s="31">
        <v>25116007</v>
      </c>
      <c r="I21" s="31">
        <v>2822349</v>
      </c>
      <c r="J21" s="31">
        <v>994806</v>
      </c>
      <c r="K21" s="32">
        <v>2022722</v>
      </c>
    </row>
    <row r="22" spans="2:11" ht="15.75" thickBot="1" x14ac:dyDescent="0.3">
      <c r="B22" s="30" t="s">
        <v>99</v>
      </c>
      <c r="C22" s="65" t="s">
        <v>95</v>
      </c>
      <c r="D22" s="31">
        <v>3874397</v>
      </c>
      <c r="E22" s="31">
        <v>24729614</v>
      </c>
      <c r="F22" s="31">
        <v>1977432</v>
      </c>
      <c r="G22" s="31">
        <v>13588612</v>
      </c>
      <c r="H22" s="31">
        <v>11141002</v>
      </c>
      <c r="I22" s="31">
        <v>1182405</v>
      </c>
      <c r="J22" s="31">
        <v>1246167</v>
      </c>
      <c r="K22" s="32">
        <v>294687</v>
      </c>
    </row>
    <row r="23" spans="2:11" ht="15.75" thickBot="1" x14ac:dyDescent="0.3">
      <c r="B23" s="30" t="s">
        <v>100</v>
      </c>
      <c r="C23" s="65" t="s">
        <v>95</v>
      </c>
      <c r="D23" s="31">
        <v>7558702</v>
      </c>
      <c r="E23" s="31">
        <v>10319703</v>
      </c>
      <c r="F23" s="31">
        <v>10758514</v>
      </c>
      <c r="G23" s="31">
        <v>10775749</v>
      </c>
      <c r="H23" s="31">
        <v>-456046</v>
      </c>
      <c r="I23" s="31">
        <v>-2549535</v>
      </c>
      <c r="J23" s="31">
        <v>-2748630</v>
      </c>
      <c r="K23" s="32">
        <v>253048</v>
      </c>
    </row>
    <row r="24" spans="2:11" ht="15.75" thickBot="1" x14ac:dyDescent="0.3">
      <c r="B24" s="30" t="s">
        <v>101</v>
      </c>
      <c r="C24" s="65" t="s">
        <v>95</v>
      </c>
      <c r="D24" s="31">
        <v>6981922</v>
      </c>
      <c r="E24" s="31">
        <v>10674784</v>
      </c>
      <c r="F24" s="31">
        <v>6223466</v>
      </c>
      <c r="G24" s="31">
        <v>7632782</v>
      </c>
      <c r="H24" s="31">
        <v>3042002</v>
      </c>
      <c r="I24" s="31">
        <v>188713</v>
      </c>
      <c r="J24" s="31">
        <v>-103821</v>
      </c>
      <c r="K24" s="32">
        <v>292534</v>
      </c>
    </row>
    <row r="25" spans="2:11" ht="16.5" thickBot="1" x14ac:dyDescent="0.3">
      <c r="B25" s="146" t="s">
        <v>12</v>
      </c>
      <c r="C25" s="147"/>
      <c r="D25" s="63">
        <f t="shared" ref="D25:K25" si="1">SUM(D17:D24)</f>
        <v>391813231</v>
      </c>
      <c r="E25" s="63">
        <f t="shared" si="1"/>
        <v>500223760</v>
      </c>
      <c r="F25" s="63">
        <f t="shared" si="1"/>
        <v>235924015</v>
      </c>
      <c r="G25" s="63">
        <f t="shared" si="1"/>
        <v>336076912</v>
      </c>
      <c r="H25" s="63">
        <f t="shared" si="1"/>
        <v>164146848</v>
      </c>
      <c r="I25" s="63">
        <f t="shared" si="1"/>
        <v>4715845</v>
      </c>
      <c r="J25" s="63">
        <f t="shared" si="1"/>
        <v>690686</v>
      </c>
      <c r="K25" s="63">
        <f t="shared" si="1"/>
        <v>11213918</v>
      </c>
    </row>
    <row r="26" spans="2:11" ht="16.5" thickBot="1" x14ac:dyDescent="0.3">
      <c r="B26" s="142" t="s">
        <v>13</v>
      </c>
      <c r="C26" s="143"/>
      <c r="D26" s="35">
        <f t="shared" ref="D26:K26" si="2">+D25+D13</f>
        <v>826978968</v>
      </c>
      <c r="E26" s="36">
        <f t="shared" si="2"/>
        <v>1037625634</v>
      </c>
      <c r="F26" s="36">
        <f t="shared" si="2"/>
        <v>532282047</v>
      </c>
      <c r="G26" s="36">
        <f t="shared" si="2"/>
        <v>704135949</v>
      </c>
      <c r="H26" s="36">
        <f t="shared" si="2"/>
        <v>333489685</v>
      </c>
      <c r="I26" s="36">
        <f t="shared" si="2"/>
        <v>7663824</v>
      </c>
      <c r="J26" s="36">
        <f t="shared" si="2"/>
        <v>-5894296</v>
      </c>
      <c r="K26" s="37">
        <f t="shared" si="2"/>
        <v>22136529</v>
      </c>
    </row>
    <row r="27" spans="2:11" ht="15.75" thickBot="1" x14ac:dyDescent="0.3"/>
    <row r="28" spans="2:11" ht="32.25" thickBot="1" x14ac:dyDescent="0.3">
      <c r="B28" s="3" t="s">
        <v>14</v>
      </c>
      <c r="C28" s="3" t="s">
        <v>15</v>
      </c>
      <c r="D28" s="3" t="s">
        <v>16</v>
      </c>
      <c r="E28" s="3" t="s">
        <v>17</v>
      </c>
      <c r="F28" s="3" t="s">
        <v>18</v>
      </c>
    </row>
    <row r="29" spans="2:11" ht="61.5" customHeight="1" thickBot="1" x14ac:dyDescent="0.3">
      <c r="B29" s="17" t="s">
        <v>19</v>
      </c>
      <c r="C29" s="18" t="s">
        <v>20</v>
      </c>
      <c r="D29" s="19" t="s">
        <v>33</v>
      </c>
      <c r="E29" s="10" t="s">
        <v>21</v>
      </c>
      <c r="F29" s="11">
        <f>+D26/F26</f>
        <v>1.553648056816765</v>
      </c>
    </row>
    <row r="30" spans="2:11" ht="48" thickBot="1" x14ac:dyDescent="0.3">
      <c r="B30" s="17" t="s">
        <v>22</v>
      </c>
      <c r="C30" s="20" t="s">
        <v>23</v>
      </c>
      <c r="D30" s="21" t="s">
        <v>24</v>
      </c>
      <c r="E30" s="21" t="s">
        <v>25</v>
      </c>
      <c r="F30" s="12">
        <f>G26/E26*100</f>
        <v>67.860307795749776</v>
      </c>
    </row>
    <row r="31" spans="2:11" ht="111" thickBot="1" x14ac:dyDescent="0.3">
      <c r="B31" s="22" t="s">
        <v>26</v>
      </c>
      <c r="C31" s="23" t="s">
        <v>27</v>
      </c>
      <c r="D31" s="24" t="s">
        <v>34</v>
      </c>
      <c r="E31" s="24" t="s">
        <v>21</v>
      </c>
      <c r="F31" s="25">
        <f>+J26/K26</f>
        <v>-0.26627010946476748</v>
      </c>
    </row>
    <row r="32" spans="2:11" ht="95.25" thickBot="1" x14ac:dyDescent="0.3">
      <c r="B32" s="22" t="s">
        <v>19</v>
      </c>
      <c r="C32" s="23" t="s">
        <v>35</v>
      </c>
      <c r="D32" s="24" t="s">
        <v>36</v>
      </c>
      <c r="E32" s="24" t="s">
        <v>38</v>
      </c>
      <c r="F32" s="26">
        <f>+D26-F26</f>
        <v>294696921</v>
      </c>
    </row>
    <row r="33" spans="2:6" ht="16.5" thickBot="1" x14ac:dyDescent="0.3">
      <c r="B33" s="4"/>
      <c r="C33" s="4"/>
      <c r="D33" s="4"/>
      <c r="E33" s="4"/>
      <c r="F33" s="4"/>
    </row>
    <row r="34" spans="2:6" ht="32.25" thickBot="1" x14ac:dyDescent="0.3">
      <c r="B34" s="3" t="s">
        <v>14</v>
      </c>
      <c r="C34" s="14" t="s">
        <v>15</v>
      </c>
      <c r="D34" s="15" t="s">
        <v>16</v>
      </c>
      <c r="E34" s="15" t="s">
        <v>17</v>
      </c>
      <c r="F34" s="16" t="s">
        <v>18</v>
      </c>
    </row>
    <row r="35" spans="2:6" ht="79.5" thickBot="1" x14ac:dyDescent="0.3">
      <c r="B35" s="13" t="s">
        <v>28</v>
      </c>
      <c r="C35" s="5" t="s">
        <v>29</v>
      </c>
      <c r="D35" s="6" t="s">
        <v>31</v>
      </c>
      <c r="E35" s="6" t="s">
        <v>25</v>
      </c>
      <c r="F35" s="7">
        <f>I26/E26*100</f>
        <v>0.73859239294776324</v>
      </c>
    </row>
    <row r="36" spans="2:6" ht="95.25" thickBot="1" x14ac:dyDescent="0.3">
      <c r="B36" s="13" t="s">
        <v>28</v>
      </c>
      <c r="C36" s="8" t="s">
        <v>30</v>
      </c>
      <c r="D36" s="9" t="s">
        <v>32</v>
      </c>
      <c r="E36" s="9" t="s">
        <v>25</v>
      </c>
      <c r="F36" s="25">
        <f>I26/H26*100</f>
        <v>2.2980692791142849</v>
      </c>
    </row>
  </sheetData>
  <mergeCells count="7">
    <mergeCell ref="B26:C26"/>
    <mergeCell ref="B2:K2"/>
    <mergeCell ref="B3:K3"/>
    <mergeCell ref="B13:C13"/>
    <mergeCell ref="B14:K14"/>
    <mergeCell ref="B15:K15"/>
    <mergeCell ref="B25:C25"/>
  </mergeCells>
  <conditionalFormatting sqref="B4">
    <cfRule type="duplicateValues" dxfId="11" priority="1"/>
  </conditionalFormatting>
  <conditionalFormatting sqref="B16">
    <cfRule type="duplicateValues" dxfId="10" priority="2"/>
  </conditionalFormatting>
  <pageMargins left="0.7" right="0.7" top="0.75" bottom="0.75" header="0.3" footer="0.3"/>
  <pageSetup paperSize="9"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E0779-8988-4FBB-8604-A252F02038B4}">
  <dimension ref="B1:K26"/>
  <sheetViews>
    <sheetView topLeftCell="B1" workbookViewId="0">
      <selection activeCell="D1" sqref="D1"/>
    </sheetView>
  </sheetViews>
  <sheetFormatPr baseColWidth="10" defaultColWidth="11.42578125" defaultRowHeight="15" x14ac:dyDescent="0.25"/>
  <cols>
    <col min="1" max="1" width="11.42578125" style="27"/>
    <col min="2" max="2" width="39.5703125" style="27" customWidth="1"/>
    <col min="3" max="3" width="51.140625" style="27" customWidth="1"/>
    <col min="4" max="4" width="17.5703125" style="27" customWidth="1"/>
    <col min="5" max="5" width="11.5703125" style="27" bestFit="1" customWidth="1"/>
    <col min="6" max="6" width="17.5703125" style="27" bestFit="1" customWidth="1"/>
    <col min="7" max="10" width="11.5703125" style="27" bestFit="1" customWidth="1"/>
    <col min="11" max="11" width="14.42578125" style="27" customWidth="1"/>
    <col min="12" max="16384" width="11.42578125" style="27"/>
  </cols>
  <sheetData>
    <row r="1" spans="2:11" ht="15.75" thickBot="1" x14ac:dyDescent="0.3"/>
    <row r="2" spans="2:11" ht="15.75" thickBot="1" x14ac:dyDescent="0.3">
      <c r="B2" s="137" t="s">
        <v>103</v>
      </c>
      <c r="C2" s="138"/>
      <c r="D2" s="138"/>
      <c r="E2" s="138"/>
      <c r="F2" s="138"/>
      <c r="G2" s="138"/>
      <c r="H2" s="138"/>
      <c r="I2" s="138"/>
      <c r="J2" s="138"/>
      <c r="K2" s="139"/>
    </row>
    <row r="3" spans="2:11" ht="15.75" thickBot="1" x14ac:dyDescent="0.3">
      <c r="B3" s="137" t="s">
        <v>85</v>
      </c>
      <c r="C3" s="138"/>
      <c r="D3" s="138"/>
      <c r="E3" s="138"/>
      <c r="F3" s="138"/>
      <c r="G3" s="138"/>
      <c r="H3" s="138"/>
      <c r="I3" s="138"/>
      <c r="J3" s="138"/>
      <c r="K3" s="139"/>
    </row>
    <row r="4" spans="2:11" ht="98.25" customHeight="1" thickBot="1" x14ac:dyDescent="0.3">
      <c r="B4" s="28" t="s">
        <v>93</v>
      </c>
      <c r="C4" s="1" t="s">
        <v>9</v>
      </c>
      <c r="D4" s="1" t="s">
        <v>0</v>
      </c>
      <c r="E4" s="1" t="s">
        <v>1</v>
      </c>
      <c r="F4" s="1" t="s">
        <v>2</v>
      </c>
      <c r="G4" s="2" t="s">
        <v>3</v>
      </c>
      <c r="H4" s="1" t="s">
        <v>4</v>
      </c>
      <c r="I4" s="1" t="s">
        <v>7</v>
      </c>
      <c r="J4" s="1" t="s">
        <v>8</v>
      </c>
      <c r="K4" s="1" t="s">
        <v>6</v>
      </c>
    </row>
    <row r="5" spans="2:11" ht="15.75" thickBot="1" x14ac:dyDescent="0.3">
      <c r="B5" s="30" t="s">
        <v>105</v>
      </c>
      <c r="C5" s="65" t="s">
        <v>104</v>
      </c>
      <c r="D5" s="31">
        <v>27627071</v>
      </c>
      <c r="E5" s="31">
        <v>30256098</v>
      </c>
      <c r="F5" s="31">
        <v>15687290</v>
      </c>
      <c r="G5" s="31">
        <v>17668836</v>
      </c>
      <c r="H5" s="31">
        <v>12587262</v>
      </c>
      <c r="I5" s="31">
        <v>715950</v>
      </c>
      <c r="J5" s="31">
        <v>343975</v>
      </c>
      <c r="K5" s="32">
        <v>553466</v>
      </c>
    </row>
    <row r="6" spans="2:11" ht="15.75" thickBot="1" x14ac:dyDescent="0.3">
      <c r="B6" s="30" t="s">
        <v>106</v>
      </c>
      <c r="C6" s="65" t="s">
        <v>104</v>
      </c>
      <c r="D6" s="31">
        <v>71296426</v>
      </c>
      <c r="E6" s="31">
        <v>110152145</v>
      </c>
      <c r="F6" s="31">
        <v>58411867</v>
      </c>
      <c r="G6" s="31">
        <v>62924017</v>
      </c>
      <c r="H6" s="31">
        <v>47228128</v>
      </c>
      <c r="I6" s="31">
        <v>12051918</v>
      </c>
      <c r="J6" s="31">
        <v>12020221</v>
      </c>
      <c r="K6" s="32">
        <v>337688</v>
      </c>
    </row>
    <row r="7" spans="2:11" ht="15.75" thickBot="1" x14ac:dyDescent="0.3">
      <c r="B7" s="30" t="s">
        <v>107</v>
      </c>
      <c r="C7" s="65" t="s">
        <v>104</v>
      </c>
      <c r="D7" s="31">
        <v>21153517</v>
      </c>
      <c r="E7" s="31">
        <v>28398301</v>
      </c>
      <c r="F7" s="31">
        <v>22260141</v>
      </c>
      <c r="G7" s="31">
        <v>25490080</v>
      </c>
      <c r="H7" s="31">
        <v>2908221</v>
      </c>
      <c r="I7" s="31">
        <v>13674860</v>
      </c>
      <c r="J7" s="31">
        <v>13058423</v>
      </c>
      <c r="K7" s="32">
        <v>616437</v>
      </c>
    </row>
    <row r="8" spans="2:11" ht="16.5" thickBot="1" x14ac:dyDescent="0.3">
      <c r="B8" s="144" t="s">
        <v>12</v>
      </c>
      <c r="C8" s="145"/>
      <c r="D8" s="33">
        <f t="shared" ref="D8:K8" si="0">SUM(D5:D7)</f>
        <v>120077014</v>
      </c>
      <c r="E8" s="33">
        <f t="shared" si="0"/>
        <v>168806544</v>
      </c>
      <c r="F8" s="33">
        <f t="shared" si="0"/>
        <v>96359298</v>
      </c>
      <c r="G8" s="33">
        <f t="shared" si="0"/>
        <v>106082933</v>
      </c>
      <c r="H8" s="33">
        <f t="shared" si="0"/>
        <v>62723611</v>
      </c>
      <c r="I8" s="33">
        <f t="shared" si="0"/>
        <v>26442728</v>
      </c>
      <c r="J8" s="33">
        <f t="shared" si="0"/>
        <v>25422619</v>
      </c>
      <c r="K8" s="33">
        <f t="shared" si="0"/>
        <v>1507591</v>
      </c>
    </row>
    <row r="9" spans="2:11" ht="15.75" thickBot="1" x14ac:dyDescent="0.3">
      <c r="B9" s="137" t="s">
        <v>103</v>
      </c>
      <c r="C9" s="138"/>
      <c r="D9" s="138"/>
      <c r="E9" s="138"/>
      <c r="F9" s="138"/>
      <c r="G9" s="138"/>
      <c r="H9" s="138"/>
      <c r="I9" s="138"/>
      <c r="J9" s="138"/>
      <c r="K9" s="139"/>
    </row>
    <row r="10" spans="2:11" ht="15.75" thickBot="1" x14ac:dyDescent="0.3">
      <c r="B10" s="137" t="s">
        <v>86</v>
      </c>
      <c r="C10" s="138"/>
      <c r="D10" s="138"/>
      <c r="E10" s="138"/>
      <c r="F10" s="138"/>
      <c r="G10" s="138"/>
      <c r="H10" s="138"/>
      <c r="I10" s="138"/>
      <c r="J10" s="138"/>
      <c r="K10" s="139"/>
    </row>
    <row r="11" spans="2:11" ht="95.25" thickBot="1" x14ac:dyDescent="0.3">
      <c r="B11" s="28" t="s">
        <v>93</v>
      </c>
      <c r="C11" s="1" t="s">
        <v>9</v>
      </c>
      <c r="D11" s="1" t="s">
        <v>0</v>
      </c>
      <c r="E11" s="1" t="s">
        <v>1</v>
      </c>
      <c r="F11" s="1" t="s">
        <v>2</v>
      </c>
      <c r="G11" s="2" t="s">
        <v>3</v>
      </c>
      <c r="H11" s="1" t="s">
        <v>4</v>
      </c>
      <c r="I11" s="1" t="s">
        <v>7</v>
      </c>
      <c r="J11" s="1" t="s">
        <v>8</v>
      </c>
      <c r="K11" s="1" t="s">
        <v>6</v>
      </c>
    </row>
    <row r="12" spans="2:11" ht="15.75" thickBot="1" x14ac:dyDescent="0.3">
      <c r="B12" s="30" t="s">
        <v>105</v>
      </c>
      <c r="C12" s="65" t="s">
        <v>104</v>
      </c>
      <c r="D12" s="31">
        <v>25800424</v>
      </c>
      <c r="E12" s="31">
        <v>27967627</v>
      </c>
      <c r="F12" s="31">
        <v>11176084</v>
      </c>
      <c r="G12" s="31">
        <v>11186035</v>
      </c>
      <c r="H12" s="31">
        <v>16781592</v>
      </c>
      <c r="I12" s="31">
        <v>8255417</v>
      </c>
      <c r="J12" s="31">
        <v>8231153</v>
      </c>
      <c r="K12" s="32">
        <v>105440</v>
      </c>
    </row>
    <row r="13" spans="2:11" ht="15.75" thickBot="1" x14ac:dyDescent="0.3">
      <c r="B13" s="30" t="s">
        <v>106</v>
      </c>
      <c r="C13" s="65" t="s">
        <v>104</v>
      </c>
      <c r="D13" s="31">
        <v>65705389</v>
      </c>
      <c r="E13" s="31">
        <v>119533896</v>
      </c>
      <c r="F13" s="31">
        <v>62195093</v>
      </c>
      <c r="G13" s="31">
        <v>65972736</v>
      </c>
      <c r="H13" s="31">
        <v>53561160</v>
      </c>
      <c r="I13" s="31">
        <v>6909901</v>
      </c>
      <c r="J13" s="31">
        <v>8765739</v>
      </c>
      <c r="K13" s="32">
        <v>19358</v>
      </c>
    </row>
    <row r="14" spans="2:11" ht="15.75" thickBot="1" x14ac:dyDescent="0.3">
      <c r="B14" s="30" t="s">
        <v>107</v>
      </c>
      <c r="C14" s="65" t="s">
        <v>104</v>
      </c>
      <c r="D14" s="31">
        <v>21309135</v>
      </c>
      <c r="E14" s="31">
        <v>28613529</v>
      </c>
      <c r="F14" s="31">
        <v>20321533</v>
      </c>
      <c r="G14" s="31">
        <v>23523292</v>
      </c>
      <c r="H14" s="31">
        <v>5090237</v>
      </c>
      <c r="I14" s="31">
        <v>3585848</v>
      </c>
      <c r="J14" s="31">
        <v>2781039</v>
      </c>
      <c r="K14" s="32">
        <v>804809</v>
      </c>
    </row>
    <row r="15" spans="2:11" ht="16.5" thickBot="1" x14ac:dyDescent="0.3">
      <c r="B15" s="146" t="s">
        <v>12</v>
      </c>
      <c r="C15" s="147"/>
      <c r="D15" s="63">
        <f t="shared" ref="D15:K15" si="1">SUM(D12:D14)</f>
        <v>112814948</v>
      </c>
      <c r="E15" s="63">
        <f t="shared" si="1"/>
        <v>176115052</v>
      </c>
      <c r="F15" s="63">
        <f t="shared" si="1"/>
        <v>93692710</v>
      </c>
      <c r="G15" s="63">
        <f t="shared" si="1"/>
        <v>100682063</v>
      </c>
      <c r="H15" s="63">
        <f t="shared" si="1"/>
        <v>75432989</v>
      </c>
      <c r="I15" s="63">
        <f t="shared" si="1"/>
        <v>18751166</v>
      </c>
      <c r="J15" s="63">
        <f t="shared" si="1"/>
        <v>19777931</v>
      </c>
      <c r="K15" s="63">
        <f t="shared" si="1"/>
        <v>929607</v>
      </c>
    </row>
    <row r="16" spans="2:11" ht="16.5" thickBot="1" x14ac:dyDescent="0.3">
      <c r="B16" s="142" t="s">
        <v>13</v>
      </c>
      <c r="C16" s="143"/>
      <c r="D16" s="35">
        <f t="shared" ref="D16:K16" si="2">+D15+D8</f>
        <v>232891962</v>
      </c>
      <c r="E16" s="36">
        <f t="shared" si="2"/>
        <v>344921596</v>
      </c>
      <c r="F16" s="36">
        <f t="shared" si="2"/>
        <v>190052008</v>
      </c>
      <c r="G16" s="36">
        <f t="shared" si="2"/>
        <v>206764996</v>
      </c>
      <c r="H16" s="36">
        <f t="shared" si="2"/>
        <v>138156600</v>
      </c>
      <c r="I16" s="36">
        <f t="shared" si="2"/>
        <v>45193894</v>
      </c>
      <c r="J16" s="36">
        <f t="shared" si="2"/>
        <v>45200550</v>
      </c>
      <c r="K16" s="37">
        <f t="shared" si="2"/>
        <v>2437198</v>
      </c>
    </row>
    <row r="17" spans="2:6" ht="15.75" thickBot="1" x14ac:dyDescent="0.3"/>
    <row r="18" spans="2:6" ht="32.25" thickBot="1" x14ac:dyDescent="0.3">
      <c r="B18" s="3" t="s">
        <v>14</v>
      </c>
      <c r="C18" s="3" t="s">
        <v>15</v>
      </c>
      <c r="D18" s="3" t="s">
        <v>16</v>
      </c>
      <c r="E18" s="3" t="s">
        <v>17</v>
      </c>
      <c r="F18" s="3" t="s">
        <v>18</v>
      </c>
    </row>
    <row r="19" spans="2:6" ht="61.5" customHeight="1" thickBot="1" x14ac:dyDescent="0.3">
      <c r="B19" s="17" t="s">
        <v>19</v>
      </c>
      <c r="C19" s="18" t="s">
        <v>20</v>
      </c>
      <c r="D19" s="19" t="s">
        <v>33</v>
      </c>
      <c r="E19" s="10" t="s">
        <v>21</v>
      </c>
      <c r="F19" s="11">
        <f>+D16/F16</f>
        <v>1.225411740979869</v>
      </c>
    </row>
    <row r="20" spans="2:6" ht="48" thickBot="1" x14ac:dyDescent="0.3">
      <c r="B20" s="17" t="s">
        <v>22</v>
      </c>
      <c r="C20" s="20" t="s">
        <v>23</v>
      </c>
      <c r="D20" s="21" t="s">
        <v>24</v>
      </c>
      <c r="E20" s="21" t="s">
        <v>25</v>
      </c>
      <c r="F20" s="12">
        <f>G16/E16*100</f>
        <v>59.945505992614045</v>
      </c>
    </row>
    <row r="21" spans="2:6" ht="111" thickBot="1" x14ac:dyDescent="0.3">
      <c r="B21" s="22" t="s">
        <v>26</v>
      </c>
      <c r="C21" s="23" t="s">
        <v>27</v>
      </c>
      <c r="D21" s="24" t="s">
        <v>34</v>
      </c>
      <c r="E21" s="24" t="s">
        <v>21</v>
      </c>
      <c r="F21" s="25">
        <f>+J16/K16</f>
        <v>18.54611320048679</v>
      </c>
    </row>
    <row r="22" spans="2:6" ht="95.25" thickBot="1" x14ac:dyDescent="0.3">
      <c r="B22" s="22" t="s">
        <v>19</v>
      </c>
      <c r="C22" s="23" t="s">
        <v>35</v>
      </c>
      <c r="D22" s="24" t="s">
        <v>36</v>
      </c>
      <c r="E22" s="24" t="s">
        <v>38</v>
      </c>
      <c r="F22" s="26">
        <f>+D16-F16</f>
        <v>42839954</v>
      </c>
    </row>
    <row r="23" spans="2:6" ht="16.5" thickBot="1" x14ac:dyDescent="0.3">
      <c r="B23" s="4"/>
      <c r="C23" s="4"/>
      <c r="D23" s="4"/>
      <c r="E23" s="4"/>
      <c r="F23" s="4"/>
    </row>
    <row r="24" spans="2:6" ht="32.25" thickBot="1" x14ac:dyDescent="0.3">
      <c r="B24" s="3" t="s">
        <v>14</v>
      </c>
      <c r="C24" s="14" t="s">
        <v>15</v>
      </c>
      <c r="D24" s="15" t="s">
        <v>16</v>
      </c>
      <c r="E24" s="15" t="s">
        <v>17</v>
      </c>
      <c r="F24" s="16" t="s">
        <v>18</v>
      </c>
    </row>
    <row r="25" spans="2:6" ht="79.5" thickBot="1" x14ac:dyDescent="0.3">
      <c r="B25" s="13" t="s">
        <v>28</v>
      </c>
      <c r="C25" s="5" t="s">
        <v>29</v>
      </c>
      <c r="D25" s="6" t="s">
        <v>31</v>
      </c>
      <c r="E25" s="6" t="s">
        <v>25</v>
      </c>
      <c r="F25" s="7">
        <f>I16/E16*100</f>
        <v>13.102657103558107</v>
      </c>
    </row>
    <row r="26" spans="2:6" ht="95.25" thickBot="1" x14ac:dyDescent="0.3">
      <c r="B26" s="13" t="s">
        <v>28</v>
      </c>
      <c r="C26" s="8" t="s">
        <v>30</v>
      </c>
      <c r="D26" s="9" t="s">
        <v>32</v>
      </c>
      <c r="E26" s="9" t="s">
        <v>25</v>
      </c>
      <c r="F26" s="25">
        <f>I16/H16*100</f>
        <v>32.712077454135382</v>
      </c>
    </row>
  </sheetData>
  <mergeCells count="7">
    <mergeCell ref="B16:C16"/>
    <mergeCell ref="B2:K2"/>
    <mergeCell ref="B3:K3"/>
    <mergeCell ref="B8:C8"/>
    <mergeCell ref="B9:K9"/>
    <mergeCell ref="B10:K10"/>
    <mergeCell ref="B15:C15"/>
  </mergeCells>
  <conditionalFormatting sqref="B4">
    <cfRule type="duplicateValues" dxfId="9" priority="1"/>
  </conditionalFormatting>
  <conditionalFormatting sqref="B11">
    <cfRule type="duplicateValues" dxfId="8" priority="2"/>
  </conditionalFormatting>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8AC0-B570-47FB-984B-75905F0D004F}">
  <dimension ref="B1:K42"/>
  <sheetViews>
    <sheetView topLeftCell="B20" workbookViewId="0">
      <selection activeCell="B20" sqref="B20"/>
    </sheetView>
  </sheetViews>
  <sheetFormatPr baseColWidth="10" defaultColWidth="11.42578125" defaultRowHeight="15" x14ac:dyDescent="0.25"/>
  <cols>
    <col min="1" max="1" width="11.42578125" style="27"/>
    <col min="2" max="2" width="47.28515625" style="27" customWidth="1"/>
    <col min="3" max="3" width="51.140625" style="27" customWidth="1"/>
    <col min="4" max="4" width="17.5703125" style="27" customWidth="1"/>
    <col min="5" max="5" width="11.5703125" style="27" bestFit="1" customWidth="1"/>
    <col min="6" max="6" width="17.7109375" style="27" bestFit="1" customWidth="1"/>
    <col min="7" max="10" width="11.5703125" style="27" bestFit="1" customWidth="1"/>
    <col min="11" max="11" width="14.42578125" style="27" customWidth="1"/>
    <col min="12" max="16384" width="11.42578125" style="27"/>
  </cols>
  <sheetData>
    <row r="1" spans="2:11" ht="15.75" thickBot="1" x14ac:dyDescent="0.3"/>
    <row r="2" spans="2:11" ht="15.75" thickBot="1" x14ac:dyDescent="0.3">
      <c r="B2" s="137" t="s">
        <v>103</v>
      </c>
      <c r="C2" s="138"/>
      <c r="D2" s="138"/>
      <c r="E2" s="138"/>
      <c r="F2" s="138"/>
      <c r="G2" s="138"/>
      <c r="H2" s="138"/>
      <c r="I2" s="138"/>
      <c r="J2" s="138"/>
      <c r="K2" s="139"/>
    </row>
    <row r="3" spans="2:11" ht="15.75" thickBot="1" x14ac:dyDescent="0.3">
      <c r="B3" s="137" t="s">
        <v>85</v>
      </c>
      <c r="C3" s="138"/>
      <c r="D3" s="138"/>
      <c r="E3" s="138"/>
      <c r="F3" s="138"/>
      <c r="G3" s="138"/>
      <c r="H3" s="138"/>
      <c r="I3" s="138"/>
      <c r="J3" s="138"/>
      <c r="K3" s="139"/>
    </row>
    <row r="4" spans="2:11" ht="98.25" customHeight="1" thickBot="1" x14ac:dyDescent="0.3">
      <c r="B4" s="28" t="s">
        <v>93</v>
      </c>
      <c r="C4" s="1" t="s">
        <v>9</v>
      </c>
      <c r="D4" s="1" t="s">
        <v>0</v>
      </c>
      <c r="E4" s="1" t="s">
        <v>1</v>
      </c>
      <c r="F4" s="1" t="s">
        <v>2</v>
      </c>
      <c r="G4" s="2" t="s">
        <v>3</v>
      </c>
      <c r="H4" s="1" t="s">
        <v>4</v>
      </c>
      <c r="I4" s="1" t="s">
        <v>7</v>
      </c>
      <c r="J4" s="1" t="s">
        <v>8</v>
      </c>
      <c r="K4" s="1" t="s">
        <v>6</v>
      </c>
    </row>
    <row r="5" spans="2:11" ht="15.95" customHeight="1" thickBot="1" x14ac:dyDescent="0.3">
      <c r="B5" s="30" t="s">
        <v>118</v>
      </c>
      <c r="C5" s="65" t="s">
        <v>116</v>
      </c>
      <c r="D5" s="31">
        <v>3680549</v>
      </c>
      <c r="E5" s="31">
        <v>3799718</v>
      </c>
      <c r="F5" s="31">
        <v>1280376</v>
      </c>
      <c r="G5" s="31">
        <v>1814309</v>
      </c>
      <c r="H5" s="31">
        <v>1985409</v>
      </c>
      <c r="I5" s="31">
        <v>1532376</v>
      </c>
      <c r="J5" s="31">
        <v>1377709</v>
      </c>
      <c r="K5" s="32">
        <v>155010</v>
      </c>
    </row>
    <row r="6" spans="2:11" ht="15.95" customHeight="1" thickBot="1" x14ac:dyDescent="0.3">
      <c r="B6" s="30" t="s">
        <v>110</v>
      </c>
      <c r="C6" s="65" t="s">
        <v>116</v>
      </c>
      <c r="D6" s="31">
        <v>29709749</v>
      </c>
      <c r="E6" s="31">
        <v>30160762</v>
      </c>
      <c r="F6" s="31">
        <v>26750358</v>
      </c>
      <c r="G6" s="31">
        <v>27293938</v>
      </c>
      <c r="H6" s="31">
        <v>2866824</v>
      </c>
      <c r="I6" s="31">
        <v>1240472</v>
      </c>
      <c r="J6" s="31">
        <v>1025293</v>
      </c>
      <c r="K6" s="32">
        <v>1486319</v>
      </c>
    </row>
    <row r="7" spans="2:11" ht="15.95" customHeight="1" thickBot="1" x14ac:dyDescent="0.3">
      <c r="B7" s="30" t="s">
        <v>111</v>
      </c>
      <c r="C7" s="65" t="s">
        <v>116</v>
      </c>
      <c r="D7" s="31">
        <v>19799371</v>
      </c>
      <c r="E7" s="31">
        <v>44143119</v>
      </c>
      <c r="F7" s="31">
        <v>16911811</v>
      </c>
      <c r="G7" s="31">
        <v>20692448</v>
      </c>
      <c r="H7" s="31">
        <v>23450671</v>
      </c>
      <c r="I7" s="31">
        <v>913916</v>
      </c>
      <c r="J7" s="31">
        <v>-57263</v>
      </c>
      <c r="K7" s="32">
        <v>299726</v>
      </c>
    </row>
    <row r="8" spans="2:11" ht="15.95" customHeight="1" thickBot="1" x14ac:dyDescent="0.3">
      <c r="B8" s="30" t="s">
        <v>112</v>
      </c>
      <c r="C8" s="65" t="s">
        <v>116</v>
      </c>
      <c r="D8" s="31">
        <v>16202546</v>
      </c>
      <c r="E8" s="31">
        <v>19183607</v>
      </c>
      <c r="F8" s="31">
        <v>13776956</v>
      </c>
      <c r="G8" s="31">
        <v>18823311</v>
      </c>
      <c r="H8" s="31">
        <v>360296</v>
      </c>
      <c r="I8" s="31">
        <v>2286887</v>
      </c>
      <c r="J8" s="31">
        <v>1740316</v>
      </c>
      <c r="K8" s="32">
        <v>1083874</v>
      </c>
    </row>
    <row r="9" spans="2:11" ht="15.95" customHeight="1" thickBot="1" x14ac:dyDescent="0.3">
      <c r="B9" s="30" t="s">
        <v>119</v>
      </c>
      <c r="C9" s="65" t="s">
        <v>116</v>
      </c>
      <c r="D9" s="31">
        <v>9014468</v>
      </c>
      <c r="E9" s="31">
        <v>14814268</v>
      </c>
      <c r="F9" s="31">
        <v>6506590</v>
      </c>
      <c r="G9" s="31">
        <v>7703307</v>
      </c>
      <c r="H9" s="31">
        <v>7110961</v>
      </c>
      <c r="I9" s="31">
        <v>-1793001</v>
      </c>
      <c r="J9" s="31">
        <v>-2784139</v>
      </c>
      <c r="K9" s="32">
        <v>1315372</v>
      </c>
    </row>
    <row r="10" spans="2:11" ht="15.95" customHeight="1" thickBot="1" x14ac:dyDescent="0.3">
      <c r="B10" s="30" t="s">
        <v>113</v>
      </c>
      <c r="C10" s="65" t="s">
        <v>116</v>
      </c>
      <c r="D10" s="31">
        <v>77281306</v>
      </c>
      <c r="E10" s="31">
        <v>84284251</v>
      </c>
      <c r="F10" s="31">
        <v>60051644</v>
      </c>
      <c r="G10" s="31">
        <v>68245268</v>
      </c>
      <c r="H10" s="31">
        <v>16038983</v>
      </c>
      <c r="I10" s="31">
        <v>9960568</v>
      </c>
      <c r="J10" s="31">
        <v>7900860</v>
      </c>
      <c r="K10" s="32">
        <v>3414132</v>
      </c>
    </row>
    <row r="11" spans="2:11" ht="15.95" customHeight="1" thickBot="1" x14ac:dyDescent="0.3">
      <c r="B11" s="30" t="s">
        <v>120</v>
      </c>
      <c r="C11" s="65" t="s">
        <v>116</v>
      </c>
      <c r="D11" s="31">
        <v>4385142</v>
      </c>
      <c r="E11" s="31">
        <v>6353244</v>
      </c>
      <c r="F11" s="31">
        <v>1970232</v>
      </c>
      <c r="G11" s="31">
        <v>3063661</v>
      </c>
      <c r="H11" s="31">
        <v>3289583</v>
      </c>
      <c r="I11" s="31">
        <v>2093369</v>
      </c>
      <c r="J11" s="31">
        <v>1898194</v>
      </c>
      <c r="K11" s="32">
        <v>241740</v>
      </c>
    </row>
    <row r="12" spans="2:11" ht="15.95" customHeight="1" thickBot="1" x14ac:dyDescent="0.3">
      <c r="B12" s="30" t="s">
        <v>114</v>
      </c>
      <c r="C12" s="65" t="s">
        <v>116</v>
      </c>
      <c r="D12" s="31">
        <v>582539330</v>
      </c>
      <c r="E12" s="31">
        <v>664340594</v>
      </c>
      <c r="F12" s="31">
        <v>567659962</v>
      </c>
      <c r="G12" s="31">
        <v>582213412</v>
      </c>
      <c r="H12" s="31">
        <v>82127182</v>
      </c>
      <c r="I12" s="31">
        <v>-71522539</v>
      </c>
      <c r="J12" s="31">
        <v>-69021232</v>
      </c>
      <c r="K12" s="32">
        <v>9672389</v>
      </c>
    </row>
    <row r="13" spans="2:11" ht="15.95" customHeight="1" thickBot="1" x14ac:dyDescent="0.3">
      <c r="B13" s="30" t="s">
        <v>121</v>
      </c>
      <c r="C13" s="65" t="s">
        <v>116</v>
      </c>
      <c r="D13" s="31">
        <v>29483604</v>
      </c>
      <c r="E13" s="31">
        <v>31532924</v>
      </c>
      <c r="F13" s="31">
        <v>13761781</v>
      </c>
      <c r="G13" s="31">
        <v>13761781</v>
      </c>
      <c r="H13" s="31">
        <v>17771143</v>
      </c>
      <c r="I13" s="31">
        <v>644198</v>
      </c>
      <c r="J13" s="31">
        <v>644198</v>
      </c>
      <c r="K13" s="32"/>
    </row>
    <row r="14" spans="2:11" ht="15.95" customHeight="1" thickBot="1" x14ac:dyDescent="0.3">
      <c r="B14" s="30" t="s">
        <v>109</v>
      </c>
      <c r="C14" s="65" t="s">
        <v>116</v>
      </c>
      <c r="D14" s="31">
        <v>9574704</v>
      </c>
      <c r="E14" s="31">
        <v>10345115</v>
      </c>
      <c r="F14" s="31">
        <v>2305033</v>
      </c>
      <c r="G14" s="31">
        <v>6909654</v>
      </c>
      <c r="H14" s="31">
        <v>3435461</v>
      </c>
      <c r="I14" s="31">
        <v>218241</v>
      </c>
      <c r="J14" s="31">
        <v>191225</v>
      </c>
      <c r="K14" s="32">
        <v>27070</v>
      </c>
    </row>
    <row r="15" spans="2:11" ht="15.95" customHeight="1" thickBot="1" x14ac:dyDescent="0.3">
      <c r="B15" s="30" t="s">
        <v>115</v>
      </c>
      <c r="C15" s="65" t="s">
        <v>116</v>
      </c>
      <c r="D15" s="31">
        <v>48565440</v>
      </c>
      <c r="E15" s="31">
        <v>49386013</v>
      </c>
      <c r="F15" s="31">
        <v>46127918</v>
      </c>
      <c r="G15" s="31">
        <v>46127918</v>
      </c>
      <c r="H15" s="31">
        <v>3258095</v>
      </c>
      <c r="I15" s="31">
        <v>7405440</v>
      </c>
      <c r="J15" s="31">
        <v>8049309</v>
      </c>
      <c r="K15" s="32">
        <v>531204</v>
      </c>
    </row>
    <row r="16" spans="2:11" ht="16.5" thickBot="1" x14ac:dyDescent="0.3">
      <c r="B16" s="144" t="s">
        <v>12</v>
      </c>
      <c r="C16" s="145"/>
      <c r="D16" s="33">
        <f t="shared" ref="D16:K16" si="0">SUM(D5:D15)</f>
        <v>830236209</v>
      </c>
      <c r="E16" s="33">
        <f t="shared" si="0"/>
        <v>958343615</v>
      </c>
      <c r="F16" s="33">
        <f t="shared" si="0"/>
        <v>757102661</v>
      </c>
      <c r="G16" s="33">
        <f t="shared" si="0"/>
        <v>796649007</v>
      </c>
      <c r="H16" s="33">
        <f t="shared" si="0"/>
        <v>161694608</v>
      </c>
      <c r="I16" s="33">
        <f t="shared" si="0"/>
        <v>-47020073</v>
      </c>
      <c r="J16" s="33">
        <f t="shared" si="0"/>
        <v>-49035530</v>
      </c>
      <c r="K16" s="33">
        <f t="shared" si="0"/>
        <v>18226836</v>
      </c>
    </row>
    <row r="17" spans="2:11" ht="15.75" thickBot="1" x14ac:dyDescent="0.3">
      <c r="B17" s="137" t="s">
        <v>103</v>
      </c>
      <c r="C17" s="138"/>
      <c r="D17" s="138"/>
      <c r="E17" s="138"/>
      <c r="F17" s="138"/>
      <c r="G17" s="138"/>
      <c r="H17" s="138"/>
      <c r="I17" s="138"/>
      <c r="J17" s="138"/>
      <c r="K17" s="139"/>
    </row>
    <row r="18" spans="2:11" ht="15.75" thickBot="1" x14ac:dyDescent="0.3">
      <c r="B18" s="137" t="s">
        <v>86</v>
      </c>
      <c r="C18" s="138"/>
      <c r="D18" s="138"/>
      <c r="E18" s="138"/>
      <c r="F18" s="138"/>
      <c r="G18" s="138"/>
      <c r="H18" s="138"/>
      <c r="I18" s="138"/>
      <c r="J18" s="138"/>
      <c r="K18" s="139"/>
    </row>
    <row r="19" spans="2:11" ht="95.25" thickBot="1" x14ac:dyDescent="0.3">
      <c r="B19" s="28" t="s">
        <v>93</v>
      </c>
      <c r="C19" s="1" t="s">
        <v>9</v>
      </c>
      <c r="D19" s="1" t="s">
        <v>0</v>
      </c>
      <c r="E19" s="1" t="s">
        <v>1</v>
      </c>
      <c r="F19" s="1" t="s">
        <v>2</v>
      </c>
      <c r="G19" s="2" t="s">
        <v>3</v>
      </c>
      <c r="H19" s="1" t="s">
        <v>4</v>
      </c>
      <c r="I19" s="1" t="s">
        <v>7</v>
      </c>
      <c r="J19" s="1" t="s">
        <v>8</v>
      </c>
      <c r="K19" s="1" t="s">
        <v>6</v>
      </c>
    </row>
    <row r="20" spans="2:11" s="93" customFormat="1" ht="15.75" thickBot="1" x14ac:dyDescent="0.3">
      <c r="B20" s="30" t="s">
        <v>118</v>
      </c>
      <c r="C20" s="65" t="s">
        <v>116</v>
      </c>
      <c r="D20" s="31">
        <v>2634636</v>
      </c>
      <c r="E20" s="31">
        <v>2746649</v>
      </c>
      <c r="F20" s="31">
        <v>1834267</v>
      </c>
      <c r="G20" s="31">
        <v>1892098</v>
      </c>
      <c r="H20" s="31">
        <v>854551</v>
      </c>
      <c r="I20" s="31">
        <v>943310</v>
      </c>
      <c r="J20" s="31">
        <v>779940</v>
      </c>
      <c r="K20" s="31">
        <v>196793</v>
      </c>
    </row>
    <row r="21" spans="2:11" customFormat="1" ht="15.75" thickBot="1" x14ac:dyDescent="0.3">
      <c r="B21" s="30" t="s">
        <v>110</v>
      </c>
      <c r="C21" s="65" t="s">
        <v>116</v>
      </c>
      <c r="D21" s="31">
        <v>9049006</v>
      </c>
      <c r="E21" s="31">
        <v>9834898</v>
      </c>
      <c r="F21" s="31">
        <v>7528476</v>
      </c>
      <c r="G21" s="31">
        <v>7725709</v>
      </c>
      <c r="H21" s="31">
        <v>2109189</v>
      </c>
      <c r="I21" s="31">
        <v>-1053109</v>
      </c>
      <c r="J21" s="31">
        <v>-1467676</v>
      </c>
      <c r="K21" s="130">
        <v>2518528</v>
      </c>
    </row>
    <row r="22" spans="2:11" customFormat="1" ht="15.75" thickBot="1" x14ac:dyDescent="0.3">
      <c r="B22" s="30" t="s">
        <v>111</v>
      </c>
      <c r="C22" s="65" t="s">
        <v>116</v>
      </c>
      <c r="D22" s="31">
        <v>16776444</v>
      </c>
      <c r="E22" s="31">
        <v>39357045</v>
      </c>
      <c r="F22" s="31">
        <v>9409197</v>
      </c>
      <c r="G22" s="31">
        <v>16001967</v>
      </c>
      <c r="H22" s="31">
        <v>23355078</v>
      </c>
      <c r="I22" s="31">
        <v>3841621</v>
      </c>
      <c r="J22" s="31">
        <v>3148252</v>
      </c>
      <c r="K22" s="130">
        <v>798148</v>
      </c>
    </row>
    <row r="23" spans="2:11" customFormat="1" ht="15.75" thickBot="1" x14ac:dyDescent="0.3">
      <c r="B23" s="30" t="s">
        <v>112</v>
      </c>
      <c r="C23" s="65" t="s">
        <v>116</v>
      </c>
      <c r="D23" s="31">
        <v>16077623</v>
      </c>
      <c r="E23" s="31">
        <v>18610801</v>
      </c>
      <c r="F23" s="31">
        <v>10062459</v>
      </c>
      <c r="G23" s="31">
        <v>15891521</v>
      </c>
      <c r="H23" s="31">
        <v>2719280</v>
      </c>
      <c r="I23" s="31">
        <v>3161367</v>
      </c>
      <c r="J23" s="31">
        <v>2552694</v>
      </c>
      <c r="K23" s="130">
        <v>1179925</v>
      </c>
    </row>
    <row r="24" spans="2:11" customFormat="1" ht="15.75" thickBot="1" x14ac:dyDescent="0.3">
      <c r="B24" s="30" t="s">
        <v>119</v>
      </c>
      <c r="C24" s="65" t="s">
        <v>116</v>
      </c>
      <c r="D24" s="31">
        <v>7030601</v>
      </c>
      <c r="E24" s="31">
        <v>9826418</v>
      </c>
      <c r="F24" s="31">
        <v>3273341</v>
      </c>
      <c r="G24" s="31">
        <v>4894629</v>
      </c>
      <c r="H24" s="31">
        <v>4931789</v>
      </c>
      <c r="I24" s="31">
        <v>-1800266</v>
      </c>
      <c r="J24" s="31">
        <v>-2508110</v>
      </c>
      <c r="K24" s="130">
        <v>737454</v>
      </c>
    </row>
    <row r="25" spans="2:11" customFormat="1" ht="15.75" thickBot="1" x14ac:dyDescent="0.3">
      <c r="B25" s="30" t="s">
        <v>113</v>
      </c>
      <c r="C25" s="65" t="s">
        <v>116</v>
      </c>
      <c r="D25" s="31">
        <v>57320459</v>
      </c>
      <c r="E25" s="31">
        <v>65206340</v>
      </c>
      <c r="F25" s="31">
        <v>47300103</v>
      </c>
      <c r="G25" s="31">
        <v>50276885</v>
      </c>
      <c r="H25" s="31">
        <v>14929455</v>
      </c>
      <c r="I25" s="31">
        <v>1688278</v>
      </c>
      <c r="J25" s="31">
        <v>-314827</v>
      </c>
      <c r="K25" s="130">
        <v>2989187</v>
      </c>
    </row>
    <row r="26" spans="2:11" customFormat="1" ht="15.75" thickBot="1" x14ac:dyDescent="0.3">
      <c r="B26" s="30" t="s">
        <v>120</v>
      </c>
      <c r="C26" s="65" t="s">
        <v>116</v>
      </c>
      <c r="D26" s="31">
        <v>9136483</v>
      </c>
      <c r="E26" s="31">
        <v>11789902</v>
      </c>
      <c r="F26" s="31">
        <v>5086940</v>
      </c>
      <c r="G26" s="31">
        <v>5995329</v>
      </c>
      <c r="H26" s="31">
        <v>5794573</v>
      </c>
      <c r="I26" s="31">
        <v>-1426934</v>
      </c>
      <c r="J26" s="31">
        <v>-2038796</v>
      </c>
      <c r="K26" s="130">
        <v>676833</v>
      </c>
    </row>
    <row r="27" spans="2:11" customFormat="1" ht="15.75" thickBot="1" x14ac:dyDescent="0.3">
      <c r="B27" s="30" t="s">
        <v>114</v>
      </c>
      <c r="C27" s="65" t="s">
        <v>116</v>
      </c>
      <c r="D27" s="31">
        <v>611498615</v>
      </c>
      <c r="E27" s="31">
        <v>694122060</v>
      </c>
      <c r="F27" s="31">
        <v>643033874</v>
      </c>
      <c r="G27" s="31">
        <v>663489696</v>
      </c>
      <c r="H27" s="31">
        <v>30632364</v>
      </c>
      <c r="I27" s="31">
        <v>-29140477</v>
      </c>
      <c r="J27" s="31">
        <v>-51494818</v>
      </c>
      <c r="K27" s="130">
        <v>24956016</v>
      </c>
    </row>
    <row r="28" spans="2:11" customFormat="1" ht="15.75" thickBot="1" x14ac:dyDescent="0.3">
      <c r="B28" s="30" t="s">
        <v>121</v>
      </c>
      <c r="C28" s="65" t="s">
        <v>116</v>
      </c>
      <c r="D28" s="31">
        <v>28576773</v>
      </c>
      <c r="E28" s="31">
        <v>30039497</v>
      </c>
      <c r="F28" s="31">
        <v>15309599</v>
      </c>
      <c r="G28" s="31">
        <v>15309599</v>
      </c>
      <c r="H28" s="31">
        <v>14729898</v>
      </c>
      <c r="I28" s="31">
        <v>-2673036</v>
      </c>
      <c r="J28" s="31">
        <v>-2673036</v>
      </c>
      <c r="K28" s="130"/>
    </row>
    <row r="29" spans="2:11" customFormat="1" ht="15.75" thickBot="1" x14ac:dyDescent="0.3">
      <c r="B29" s="30" t="s">
        <v>109</v>
      </c>
      <c r="C29" s="65" t="s">
        <v>116</v>
      </c>
      <c r="D29" s="31">
        <v>7946761</v>
      </c>
      <c r="E29" s="31">
        <v>10241483</v>
      </c>
      <c r="F29" s="31">
        <v>1716335</v>
      </c>
      <c r="G29" s="31">
        <v>5941296</v>
      </c>
      <c r="H29" s="31">
        <v>4300187</v>
      </c>
      <c r="I29" s="31">
        <v>605888</v>
      </c>
      <c r="J29" s="31">
        <v>453789</v>
      </c>
      <c r="K29" s="130">
        <v>158994</v>
      </c>
    </row>
    <row r="30" spans="2:11" customFormat="1" ht="15.75" thickBot="1" x14ac:dyDescent="0.3">
      <c r="B30" s="30" t="s">
        <v>115</v>
      </c>
      <c r="C30" s="65" t="s">
        <v>116</v>
      </c>
      <c r="D30" s="31">
        <v>51047611</v>
      </c>
      <c r="E30" s="31">
        <v>52397195</v>
      </c>
      <c r="F30" s="31">
        <v>43899122</v>
      </c>
      <c r="G30" s="31">
        <v>43899122</v>
      </c>
      <c r="H30" s="31">
        <v>8498073</v>
      </c>
      <c r="I30" s="31">
        <v>7161355</v>
      </c>
      <c r="J30" s="31">
        <v>7717941</v>
      </c>
      <c r="K30" s="130">
        <v>791392</v>
      </c>
    </row>
    <row r="31" spans="2:11" ht="16.5" thickBot="1" x14ac:dyDescent="0.3">
      <c r="B31" s="146" t="s">
        <v>12</v>
      </c>
      <c r="C31" s="147"/>
      <c r="D31" s="62">
        <f t="shared" ref="D31:K31" si="1">SUM(D20:D30)</f>
        <v>817095012</v>
      </c>
      <c r="E31" s="62">
        <f t="shared" si="1"/>
        <v>944172288</v>
      </c>
      <c r="F31" s="62">
        <f t="shared" si="1"/>
        <v>788453713</v>
      </c>
      <c r="G31" s="62">
        <f t="shared" si="1"/>
        <v>831317851</v>
      </c>
      <c r="H31" s="62">
        <f t="shared" si="1"/>
        <v>112854437</v>
      </c>
      <c r="I31" s="62">
        <f t="shared" si="1"/>
        <v>-18692003</v>
      </c>
      <c r="J31" s="62">
        <f t="shared" si="1"/>
        <v>-45844647</v>
      </c>
      <c r="K31" s="62">
        <f t="shared" si="1"/>
        <v>35003270</v>
      </c>
    </row>
    <row r="32" spans="2:11" ht="16.5" thickBot="1" x14ac:dyDescent="0.3">
      <c r="B32" s="142" t="s">
        <v>13</v>
      </c>
      <c r="C32" s="143"/>
      <c r="D32" s="35">
        <f t="shared" ref="D32:K32" si="2">+D31+D16</f>
        <v>1647331221</v>
      </c>
      <c r="E32" s="36">
        <f t="shared" si="2"/>
        <v>1902515903</v>
      </c>
      <c r="F32" s="36">
        <f t="shared" si="2"/>
        <v>1545556374</v>
      </c>
      <c r="G32" s="36">
        <f t="shared" si="2"/>
        <v>1627966858</v>
      </c>
      <c r="H32" s="36">
        <f t="shared" si="2"/>
        <v>274549045</v>
      </c>
      <c r="I32" s="36">
        <f t="shared" si="2"/>
        <v>-65712076</v>
      </c>
      <c r="J32" s="36">
        <f t="shared" si="2"/>
        <v>-94880177</v>
      </c>
      <c r="K32" s="37">
        <f t="shared" si="2"/>
        <v>53230106</v>
      </c>
    </row>
    <row r="33" spans="2:6" ht="15.75" thickBot="1" x14ac:dyDescent="0.3"/>
    <row r="34" spans="2:6" ht="32.25" thickBot="1" x14ac:dyDescent="0.3">
      <c r="B34" s="3" t="s">
        <v>14</v>
      </c>
      <c r="C34" s="3" t="s">
        <v>15</v>
      </c>
      <c r="D34" s="3" t="s">
        <v>16</v>
      </c>
      <c r="E34" s="3" t="s">
        <v>17</v>
      </c>
      <c r="F34" s="3" t="s">
        <v>18</v>
      </c>
    </row>
    <row r="35" spans="2:6" ht="61.5" customHeight="1" thickBot="1" x14ac:dyDescent="0.3">
      <c r="B35" s="17" t="s">
        <v>19</v>
      </c>
      <c r="C35" s="18" t="s">
        <v>20</v>
      </c>
      <c r="D35" s="19" t="s">
        <v>33</v>
      </c>
      <c r="E35" s="10" t="s">
        <v>21</v>
      </c>
      <c r="F35" s="11">
        <f>+D32/F32</f>
        <v>1.0658499739718974</v>
      </c>
    </row>
    <row r="36" spans="2:6" ht="48" thickBot="1" x14ac:dyDescent="0.3">
      <c r="B36" s="17" t="s">
        <v>22</v>
      </c>
      <c r="C36" s="20" t="s">
        <v>23</v>
      </c>
      <c r="D36" s="21" t="s">
        <v>24</v>
      </c>
      <c r="E36" s="21" t="s">
        <v>25</v>
      </c>
      <c r="F36" s="12">
        <f>G32/E32*100</f>
        <v>85.569158997983948</v>
      </c>
    </row>
    <row r="37" spans="2:6" ht="111" thickBot="1" x14ac:dyDescent="0.3">
      <c r="B37" s="22" t="s">
        <v>26</v>
      </c>
      <c r="C37" s="23" t="s">
        <v>27</v>
      </c>
      <c r="D37" s="24" t="s">
        <v>34</v>
      </c>
      <c r="E37" s="24" t="s">
        <v>21</v>
      </c>
      <c r="F37" s="25">
        <f>+J32/K32</f>
        <v>-1.7824532793528534</v>
      </c>
    </row>
    <row r="38" spans="2:6" ht="95.25" thickBot="1" x14ac:dyDescent="0.3">
      <c r="B38" s="22" t="s">
        <v>19</v>
      </c>
      <c r="C38" s="23" t="s">
        <v>35</v>
      </c>
      <c r="D38" s="24" t="s">
        <v>36</v>
      </c>
      <c r="E38" s="24" t="s">
        <v>38</v>
      </c>
      <c r="F38" s="26">
        <f>+D32-F32</f>
        <v>101774847</v>
      </c>
    </row>
    <row r="39" spans="2:6" ht="16.5" thickBot="1" x14ac:dyDescent="0.3">
      <c r="B39" s="4"/>
      <c r="C39" s="4"/>
      <c r="D39" s="4"/>
      <c r="E39" s="4"/>
      <c r="F39" s="4"/>
    </row>
    <row r="40" spans="2:6" ht="32.25" thickBot="1" x14ac:dyDescent="0.3">
      <c r="B40" s="3" t="s">
        <v>14</v>
      </c>
      <c r="C40" s="14" t="s">
        <v>15</v>
      </c>
      <c r="D40" s="15" t="s">
        <v>16</v>
      </c>
      <c r="E40" s="15" t="s">
        <v>17</v>
      </c>
      <c r="F40" s="16" t="s">
        <v>18</v>
      </c>
    </row>
    <row r="41" spans="2:6" ht="79.5" thickBot="1" x14ac:dyDescent="0.3">
      <c r="B41" s="13" t="s">
        <v>28</v>
      </c>
      <c r="C41" s="5" t="s">
        <v>29</v>
      </c>
      <c r="D41" s="6" t="s">
        <v>31</v>
      </c>
      <c r="E41" s="6" t="s">
        <v>25</v>
      </c>
      <c r="F41" s="7">
        <f>I32/E32*100</f>
        <v>-3.4539567262686899</v>
      </c>
    </row>
    <row r="42" spans="2:6" ht="95.25" thickBot="1" x14ac:dyDescent="0.3">
      <c r="B42" s="13" t="s">
        <v>28</v>
      </c>
      <c r="C42" s="8" t="s">
        <v>30</v>
      </c>
      <c r="D42" s="9" t="s">
        <v>32</v>
      </c>
      <c r="E42" s="9" t="s">
        <v>25</v>
      </c>
      <c r="F42" s="25">
        <f>I32/H32*100</f>
        <v>-23.934549107610266</v>
      </c>
    </row>
  </sheetData>
  <mergeCells count="7">
    <mergeCell ref="B32:C32"/>
    <mergeCell ref="B2:K2"/>
    <mergeCell ref="B3:K3"/>
    <mergeCell ref="B16:C16"/>
    <mergeCell ref="B17:K17"/>
    <mergeCell ref="B18:K18"/>
    <mergeCell ref="B31:C31"/>
  </mergeCells>
  <conditionalFormatting sqref="B4">
    <cfRule type="duplicateValues" dxfId="7" priority="1"/>
  </conditionalFormatting>
  <conditionalFormatting sqref="B19">
    <cfRule type="duplicateValues" dxfId="6"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F9936-0DBF-419D-8AC3-064F84DC5F50}">
  <dimension ref="B1:K38"/>
  <sheetViews>
    <sheetView topLeftCell="B35" workbookViewId="0">
      <selection activeCell="D39" sqref="D39"/>
    </sheetView>
  </sheetViews>
  <sheetFormatPr baseColWidth="10" defaultColWidth="11.42578125" defaultRowHeight="15" x14ac:dyDescent="0.25"/>
  <cols>
    <col min="1" max="1" width="11.42578125" style="27"/>
    <col min="2" max="2" width="47.42578125" style="27" customWidth="1"/>
    <col min="3" max="3" width="51.140625" style="27" customWidth="1"/>
    <col min="4" max="4" width="17.5703125" style="27" customWidth="1"/>
    <col min="5" max="5" width="12" style="27" bestFit="1" customWidth="1"/>
    <col min="6" max="6" width="20" style="27" bestFit="1" customWidth="1"/>
    <col min="7" max="8" width="12" style="27" bestFit="1" customWidth="1"/>
    <col min="9" max="9" width="12.5703125" style="27" customWidth="1"/>
    <col min="10" max="10" width="13.42578125" style="27" customWidth="1"/>
    <col min="11" max="11" width="13" style="27" customWidth="1"/>
    <col min="12" max="16384" width="11.42578125" style="27"/>
  </cols>
  <sheetData>
    <row r="1" spans="2:11" ht="15.75" thickBot="1" x14ac:dyDescent="0.3"/>
    <row r="2" spans="2:11" ht="15.75" thickBot="1" x14ac:dyDescent="0.3">
      <c r="B2" s="137" t="s">
        <v>103</v>
      </c>
      <c r="C2" s="138"/>
      <c r="D2" s="138"/>
      <c r="E2" s="138"/>
      <c r="F2" s="138"/>
      <c r="G2" s="138"/>
      <c r="H2" s="138"/>
      <c r="I2" s="138"/>
      <c r="J2" s="138"/>
      <c r="K2" s="139"/>
    </row>
    <row r="3" spans="2:11" ht="15.75" thickBot="1" x14ac:dyDescent="0.3">
      <c r="B3" s="137" t="s">
        <v>88</v>
      </c>
      <c r="C3" s="138"/>
      <c r="D3" s="138"/>
      <c r="E3" s="138"/>
      <c r="F3" s="138"/>
      <c r="G3" s="138"/>
      <c r="H3" s="138"/>
      <c r="I3" s="138"/>
      <c r="J3" s="138"/>
      <c r="K3" s="139"/>
    </row>
    <row r="4" spans="2:11" ht="98.25" customHeight="1" thickBot="1" x14ac:dyDescent="0.3">
      <c r="B4" s="28" t="s">
        <v>93</v>
      </c>
      <c r="C4" s="1" t="s">
        <v>9</v>
      </c>
      <c r="D4" s="1" t="s">
        <v>0</v>
      </c>
      <c r="E4" s="1" t="s">
        <v>1</v>
      </c>
      <c r="F4" s="1" t="s">
        <v>2</v>
      </c>
      <c r="G4" s="2" t="s">
        <v>3</v>
      </c>
      <c r="H4" s="1" t="s">
        <v>4</v>
      </c>
      <c r="I4" s="1" t="s">
        <v>7</v>
      </c>
      <c r="J4" s="1" t="s">
        <v>8</v>
      </c>
      <c r="K4" s="1" t="s">
        <v>6</v>
      </c>
    </row>
    <row r="5" spans="2:11" ht="15.75" thickBot="1" x14ac:dyDescent="0.3">
      <c r="B5" s="30" t="s">
        <v>122</v>
      </c>
      <c r="C5" s="65" t="s">
        <v>95</v>
      </c>
      <c r="D5" s="31">
        <v>89812570</v>
      </c>
      <c r="E5" s="31">
        <v>99782687</v>
      </c>
      <c r="F5" s="31">
        <v>47944166</v>
      </c>
      <c r="G5" s="31">
        <v>66353541</v>
      </c>
      <c r="H5" s="31">
        <v>33429146</v>
      </c>
      <c r="I5" s="31">
        <v>12023775</v>
      </c>
      <c r="J5" s="31">
        <v>13746246</v>
      </c>
      <c r="K5" s="32">
        <v>1938163</v>
      </c>
    </row>
    <row r="6" spans="2:11" ht="15.75" thickBot="1" x14ac:dyDescent="0.3">
      <c r="B6" s="30" t="s">
        <v>123</v>
      </c>
      <c r="C6" s="65" t="s">
        <v>95</v>
      </c>
      <c r="D6" s="31">
        <v>6981922</v>
      </c>
      <c r="E6" s="31">
        <v>10674784</v>
      </c>
      <c r="F6" s="31">
        <v>6223466</v>
      </c>
      <c r="G6" s="31">
        <v>7632782</v>
      </c>
      <c r="H6" s="31">
        <v>3042002</v>
      </c>
      <c r="I6" s="31">
        <v>-103821</v>
      </c>
      <c r="J6" s="31">
        <v>188713</v>
      </c>
      <c r="K6" s="32">
        <v>292534</v>
      </c>
    </row>
    <row r="7" spans="2:11" ht="15.75" thickBot="1" x14ac:dyDescent="0.3">
      <c r="B7" s="30" t="s">
        <v>124</v>
      </c>
      <c r="C7" s="65" t="s">
        <v>95</v>
      </c>
      <c r="D7" s="31">
        <v>27823188</v>
      </c>
      <c r="E7" s="31">
        <v>30816612</v>
      </c>
      <c r="F7" s="31">
        <v>25454747</v>
      </c>
      <c r="G7" s="31">
        <v>27029662</v>
      </c>
      <c r="H7" s="31">
        <v>3786950</v>
      </c>
      <c r="I7" s="31">
        <v>-3468640</v>
      </c>
      <c r="J7" s="31">
        <v>-3118942</v>
      </c>
      <c r="K7" s="32">
        <v>614100</v>
      </c>
    </row>
    <row r="8" spans="2:11" ht="15.75" thickBot="1" x14ac:dyDescent="0.3">
      <c r="B8" s="30" t="s">
        <v>100</v>
      </c>
      <c r="C8" s="65" t="s">
        <v>95</v>
      </c>
      <c r="D8" s="31">
        <v>7558702</v>
      </c>
      <c r="E8" s="31">
        <v>10319703</v>
      </c>
      <c r="F8" s="31">
        <v>10758514</v>
      </c>
      <c r="G8" s="31">
        <v>10775749</v>
      </c>
      <c r="H8" s="31">
        <v>-456046</v>
      </c>
      <c r="I8" s="31">
        <v>-2748630</v>
      </c>
      <c r="J8" s="31">
        <v>-2549535</v>
      </c>
      <c r="K8" s="32">
        <v>253048</v>
      </c>
    </row>
    <row r="9" spans="2:11" ht="15.75" thickBot="1" x14ac:dyDescent="0.3">
      <c r="B9" s="30" t="s">
        <v>99</v>
      </c>
      <c r="C9" s="65" t="s">
        <v>95</v>
      </c>
      <c r="D9" s="31">
        <v>3874396</v>
      </c>
      <c r="E9" s="31">
        <v>24729613</v>
      </c>
      <c r="F9" s="31">
        <v>1977432</v>
      </c>
      <c r="G9" s="31">
        <v>13588612</v>
      </c>
      <c r="H9" s="31">
        <v>11141001</v>
      </c>
      <c r="I9" s="31">
        <v>1246166</v>
      </c>
      <c r="J9" s="31">
        <v>1182405</v>
      </c>
      <c r="K9" s="32">
        <v>294688</v>
      </c>
    </row>
    <row r="10" spans="2:11" ht="15.75" thickBot="1" x14ac:dyDescent="0.3">
      <c r="B10" s="30" t="s">
        <v>125</v>
      </c>
      <c r="C10" s="65" t="s">
        <v>95</v>
      </c>
      <c r="D10" s="31">
        <v>33465708</v>
      </c>
      <c r="E10" s="31">
        <v>38450872</v>
      </c>
      <c r="F10" s="31">
        <v>16440874</v>
      </c>
      <c r="G10" s="31">
        <v>26010220</v>
      </c>
      <c r="H10" s="31">
        <v>12440652</v>
      </c>
      <c r="I10" s="31">
        <v>13704834</v>
      </c>
      <c r="J10" s="31">
        <v>13704834</v>
      </c>
      <c r="K10" s="32"/>
    </row>
    <row r="11" spans="2:11" ht="15.75" thickBot="1" x14ac:dyDescent="0.3">
      <c r="B11" s="30" t="s">
        <v>126</v>
      </c>
      <c r="C11" s="65" t="s">
        <v>95</v>
      </c>
      <c r="D11" s="31">
        <v>117493330</v>
      </c>
      <c r="E11" s="31">
        <v>117916105</v>
      </c>
      <c r="F11" s="31">
        <v>76145891</v>
      </c>
      <c r="G11" s="31">
        <v>106646895</v>
      </c>
      <c r="H11" s="31">
        <v>11269210</v>
      </c>
      <c r="I11" s="31">
        <v>-10284835</v>
      </c>
      <c r="J11" s="31">
        <v>-16101696</v>
      </c>
      <c r="K11" s="32">
        <v>345333</v>
      </c>
    </row>
    <row r="12" spans="2:11" ht="15.75" thickBot="1" x14ac:dyDescent="0.3">
      <c r="B12" s="30" t="s">
        <v>127</v>
      </c>
      <c r="C12" s="65" t="s">
        <v>95</v>
      </c>
      <c r="D12" s="31">
        <v>148826841</v>
      </c>
      <c r="E12" s="31">
        <v>219755943</v>
      </c>
      <c r="F12" s="31">
        <v>91506337</v>
      </c>
      <c r="G12" s="31">
        <v>119009719</v>
      </c>
      <c r="H12" s="31">
        <v>100746224</v>
      </c>
      <c r="I12" s="31">
        <v>-1213029</v>
      </c>
      <c r="J12" s="31">
        <v>3884699</v>
      </c>
      <c r="K12" s="32">
        <v>5419159</v>
      </c>
    </row>
    <row r="13" spans="2:11" ht="15.75" thickBot="1" x14ac:dyDescent="0.3">
      <c r="B13" s="30" t="s">
        <v>128</v>
      </c>
      <c r="C13" s="65" t="s">
        <v>95</v>
      </c>
      <c r="D13" s="31">
        <v>69405590</v>
      </c>
      <c r="E13" s="31">
        <v>72894062</v>
      </c>
      <c r="F13" s="31">
        <v>26096621</v>
      </c>
      <c r="G13" s="31">
        <v>47778055</v>
      </c>
      <c r="H13" s="31">
        <v>25116007</v>
      </c>
      <c r="I13" s="31">
        <v>994806</v>
      </c>
      <c r="J13" s="31">
        <v>2822349</v>
      </c>
      <c r="K13" s="32">
        <v>2022722</v>
      </c>
    </row>
    <row r="14" spans="2:11" ht="16.5" thickBot="1" x14ac:dyDescent="0.3">
      <c r="B14" s="144" t="s">
        <v>12</v>
      </c>
      <c r="C14" s="145"/>
      <c r="D14" s="33">
        <f t="shared" ref="D14:K14" si="0">SUM(D5:D13)</f>
        <v>505242247</v>
      </c>
      <c r="E14" s="33">
        <f t="shared" si="0"/>
        <v>625340381</v>
      </c>
      <c r="F14" s="33">
        <f t="shared" si="0"/>
        <v>302548048</v>
      </c>
      <c r="G14" s="33">
        <f t="shared" si="0"/>
        <v>424825235</v>
      </c>
      <c r="H14" s="33">
        <f t="shared" si="0"/>
        <v>200515146</v>
      </c>
      <c r="I14" s="33">
        <f t="shared" si="0"/>
        <v>10150626</v>
      </c>
      <c r="J14" s="33">
        <f t="shared" si="0"/>
        <v>13759073</v>
      </c>
      <c r="K14" s="33">
        <f t="shared" si="0"/>
        <v>11179747</v>
      </c>
    </row>
    <row r="15" spans="2:11" ht="15.75" thickBot="1" x14ac:dyDescent="0.3">
      <c r="B15" s="137" t="s">
        <v>103</v>
      </c>
      <c r="C15" s="138"/>
      <c r="D15" s="138"/>
      <c r="E15" s="138"/>
      <c r="F15" s="138"/>
      <c r="G15" s="138"/>
      <c r="H15" s="138"/>
      <c r="I15" s="138"/>
      <c r="J15" s="138"/>
      <c r="K15" s="139"/>
    </row>
    <row r="16" spans="2:11" ht="15.75" thickBot="1" x14ac:dyDescent="0.3">
      <c r="B16" s="137" t="s">
        <v>87</v>
      </c>
      <c r="C16" s="138"/>
      <c r="D16" s="138"/>
      <c r="E16" s="138"/>
      <c r="F16" s="138"/>
      <c r="G16" s="138"/>
      <c r="H16" s="138"/>
      <c r="I16" s="138"/>
      <c r="J16" s="138"/>
      <c r="K16" s="139"/>
    </row>
    <row r="17" spans="2:11" ht="95.25" thickBot="1" x14ac:dyDescent="0.3">
      <c r="B17" s="28" t="s">
        <v>93</v>
      </c>
      <c r="C17" s="1" t="s">
        <v>9</v>
      </c>
      <c r="D17" s="1" t="s">
        <v>0</v>
      </c>
      <c r="E17" s="1" t="s">
        <v>1</v>
      </c>
      <c r="F17" s="1" t="s">
        <v>2</v>
      </c>
      <c r="G17" s="2" t="s">
        <v>3</v>
      </c>
      <c r="H17" s="1" t="s">
        <v>4</v>
      </c>
      <c r="I17" s="1" t="s">
        <v>7</v>
      </c>
      <c r="J17" s="1" t="s">
        <v>8</v>
      </c>
      <c r="K17" s="1" t="s">
        <v>6</v>
      </c>
    </row>
    <row r="18" spans="2:11" ht="15.75" thickBot="1" x14ac:dyDescent="0.3">
      <c r="B18" s="30" t="s">
        <v>122</v>
      </c>
      <c r="C18" s="65" t="s">
        <v>95</v>
      </c>
      <c r="D18" s="31">
        <v>124670801</v>
      </c>
      <c r="E18" s="31">
        <v>135985425</v>
      </c>
      <c r="F18" s="31">
        <v>67292694</v>
      </c>
      <c r="G18" s="31">
        <v>94250408</v>
      </c>
      <c r="H18" s="31">
        <v>41735017</v>
      </c>
      <c r="I18" s="31">
        <v>11092313</v>
      </c>
      <c r="J18" s="31">
        <v>11147117</v>
      </c>
      <c r="K18" s="32">
        <v>313060</v>
      </c>
    </row>
    <row r="19" spans="2:11" ht="15.75" thickBot="1" x14ac:dyDescent="0.3">
      <c r="B19" s="30" t="s">
        <v>123</v>
      </c>
      <c r="C19" s="65" t="s">
        <v>95</v>
      </c>
      <c r="D19" s="31">
        <v>8114915</v>
      </c>
      <c r="E19" s="31">
        <v>11271996</v>
      </c>
      <c r="F19" s="31">
        <v>6350290</v>
      </c>
      <c r="G19" s="31">
        <v>7381530</v>
      </c>
      <c r="H19" s="31">
        <v>3890466</v>
      </c>
      <c r="I19" s="31">
        <v>1422860</v>
      </c>
      <c r="J19" s="31">
        <v>1463917</v>
      </c>
      <c r="K19" s="32">
        <v>41057</v>
      </c>
    </row>
    <row r="20" spans="2:11" ht="15.75" thickBot="1" x14ac:dyDescent="0.3">
      <c r="B20" s="30" t="s">
        <v>124</v>
      </c>
      <c r="C20" s="65" t="s">
        <v>95</v>
      </c>
      <c r="D20" s="31">
        <v>25611961</v>
      </c>
      <c r="E20" s="31">
        <v>28510345</v>
      </c>
      <c r="F20" s="31">
        <v>21633151</v>
      </c>
      <c r="G20" s="31">
        <v>23639087</v>
      </c>
      <c r="H20" s="31">
        <v>4871258</v>
      </c>
      <c r="I20" s="31">
        <v>2283481</v>
      </c>
      <c r="J20" s="31">
        <v>1553979</v>
      </c>
      <c r="K20" s="32">
        <v>89160</v>
      </c>
    </row>
    <row r="21" spans="2:11" ht="15.75" thickBot="1" x14ac:dyDescent="0.3">
      <c r="B21" s="30" t="s">
        <v>100</v>
      </c>
      <c r="C21" s="65" t="s">
        <v>95</v>
      </c>
      <c r="D21" s="31">
        <v>8152120</v>
      </c>
      <c r="E21" s="31">
        <v>10437392</v>
      </c>
      <c r="F21" s="31">
        <v>10048597</v>
      </c>
      <c r="G21" s="31">
        <v>10063442</v>
      </c>
      <c r="H21" s="31">
        <v>373950</v>
      </c>
      <c r="I21" s="31">
        <v>-1061288</v>
      </c>
      <c r="J21" s="31">
        <v>-882103</v>
      </c>
      <c r="K21" s="32">
        <v>191596</v>
      </c>
    </row>
    <row r="22" spans="2:11" ht="15.75" thickBot="1" x14ac:dyDescent="0.3">
      <c r="B22" s="30" t="s">
        <v>99</v>
      </c>
      <c r="C22" s="65" t="s">
        <v>95</v>
      </c>
      <c r="D22" s="31">
        <v>4585856</v>
      </c>
      <c r="E22" s="31">
        <v>25958918</v>
      </c>
      <c r="F22" s="31">
        <v>2115150</v>
      </c>
      <c r="G22" s="31">
        <v>13648285</v>
      </c>
      <c r="H22" s="31">
        <v>12310633</v>
      </c>
      <c r="I22" s="31">
        <v>1698153</v>
      </c>
      <c r="J22" s="31">
        <v>1421725</v>
      </c>
      <c r="K22" s="32">
        <v>138389</v>
      </c>
    </row>
    <row r="23" spans="2:11" ht="15.75" thickBot="1" x14ac:dyDescent="0.3">
      <c r="B23" s="30" t="s">
        <v>125</v>
      </c>
      <c r="C23" s="65" t="s">
        <v>95</v>
      </c>
      <c r="D23" s="31">
        <v>34617636</v>
      </c>
      <c r="E23" s="31">
        <v>42183171</v>
      </c>
      <c r="F23" s="31">
        <v>14556360</v>
      </c>
      <c r="G23" s="31">
        <v>26472777</v>
      </c>
      <c r="H23" s="31">
        <v>15710394</v>
      </c>
      <c r="I23" s="31">
        <v>4540188</v>
      </c>
      <c r="J23" s="31">
        <v>4540188</v>
      </c>
      <c r="K23" s="32"/>
    </row>
    <row r="24" spans="2:11" ht="15.75" thickBot="1" x14ac:dyDescent="0.3">
      <c r="B24" s="30" t="s">
        <v>126</v>
      </c>
      <c r="C24" s="65" t="s">
        <v>95</v>
      </c>
      <c r="D24" s="31">
        <v>99050732</v>
      </c>
      <c r="E24" s="31">
        <v>99664078</v>
      </c>
      <c r="F24" s="31">
        <v>92628811</v>
      </c>
      <c r="G24" s="31">
        <v>92628811</v>
      </c>
      <c r="H24" s="31">
        <v>7035267</v>
      </c>
      <c r="I24" s="31">
        <v>-4538226</v>
      </c>
      <c r="J24" s="31">
        <v>-4565860</v>
      </c>
      <c r="K24" s="32">
        <v>1945823</v>
      </c>
    </row>
    <row r="25" spans="2:11" ht="15.75" thickBot="1" x14ac:dyDescent="0.3">
      <c r="B25" s="30" t="s">
        <v>127</v>
      </c>
      <c r="C25" s="65" t="s">
        <v>95</v>
      </c>
      <c r="D25" s="31">
        <v>186598100</v>
      </c>
      <c r="E25" s="31">
        <v>264945111</v>
      </c>
      <c r="F25" s="31">
        <v>118600482</v>
      </c>
      <c r="G25" s="31">
        <v>147048318</v>
      </c>
      <c r="H25" s="31">
        <v>117896793</v>
      </c>
      <c r="I25" s="31">
        <v>21031468</v>
      </c>
      <c r="J25" s="31">
        <v>27664409</v>
      </c>
      <c r="K25" s="32">
        <v>7229254</v>
      </c>
    </row>
    <row r="26" spans="2:11" ht="15.75" thickBot="1" x14ac:dyDescent="0.3">
      <c r="B26" s="30" t="s">
        <v>128</v>
      </c>
      <c r="C26" s="65" t="s">
        <v>95</v>
      </c>
      <c r="D26" s="31">
        <v>98814065</v>
      </c>
      <c r="E26" s="31">
        <v>102724827</v>
      </c>
      <c r="F26" s="31">
        <v>58267143</v>
      </c>
      <c r="G26" s="31">
        <v>76843720</v>
      </c>
      <c r="H26" s="31">
        <v>25881107</v>
      </c>
      <c r="I26" s="31">
        <v>1966348</v>
      </c>
      <c r="J26" s="31">
        <v>3554100</v>
      </c>
      <c r="K26" s="32">
        <v>1734338</v>
      </c>
    </row>
    <row r="27" spans="2:11" ht="16.5" thickBot="1" x14ac:dyDescent="0.3">
      <c r="B27" s="146" t="s">
        <v>12</v>
      </c>
      <c r="C27" s="147"/>
      <c r="D27" s="63">
        <f t="shared" ref="D27:K27" si="1">SUM(D18:D26)</f>
        <v>590216186</v>
      </c>
      <c r="E27" s="63">
        <f t="shared" si="1"/>
        <v>721681263</v>
      </c>
      <c r="F27" s="63">
        <f t="shared" si="1"/>
        <v>391492678</v>
      </c>
      <c r="G27" s="63">
        <f t="shared" si="1"/>
        <v>491976378</v>
      </c>
      <c r="H27" s="63">
        <f t="shared" si="1"/>
        <v>229704885</v>
      </c>
      <c r="I27" s="63">
        <f t="shared" si="1"/>
        <v>38435297</v>
      </c>
      <c r="J27" s="63">
        <f t="shared" si="1"/>
        <v>45897472</v>
      </c>
      <c r="K27" s="63">
        <f t="shared" si="1"/>
        <v>11682677</v>
      </c>
    </row>
    <row r="28" spans="2:11" ht="16.5" thickBot="1" x14ac:dyDescent="0.3">
      <c r="B28" s="142" t="s">
        <v>13</v>
      </c>
      <c r="C28" s="143"/>
      <c r="D28" s="35">
        <f t="shared" ref="D28:K28" si="2">+D27+D14</f>
        <v>1095458433</v>
      </c>
      <c r="E28" s="36">
        <f t="shared" si="2"/>
        <v>1347021644</v>
      </c>
      <c r="F28" s="36">
        <f t="shared" si="2"/>
        <v>694040726</v>
      </c>
      <c r="G28" s="36">
        <f t="shared" si="2"/>
        <v>916801613</v>
      </c>
      <c r="H28" s="36">
        <f t="shared" si="2"/>
        <v>430220031</v>
      </c>
      <c r="I28" s="36">
        <f t="shared" si="2"/>
        <v>48585923</v>
      </c>
      <c r="J28" s="36">
        <f t="shared" si="2"/>
        <v>59656545</v>
      </c>
      <c r="K28" s="37">
        <f t="shared" si="2"/>
        <v>22862424</v>
      </c>
    </row>
    <row r="29" spans="2:11" ht="15.75" thickBot="1" x14ac:dyDescent="0.3"/>
    <row r="30" spans="2:11" ht="32.25" thickBot="1" x14ac:dyDescent="0.3">
      <c r="B30" s="3" t="s">
        <v>14</v>
      </c>
      <c r="C30" s="3" t="s">
        <v>15</v>
      </c>
      <c r="D30" s="3" t="s">
        <v>16</v>
      </c>
      <c r="E30" s="3" t="s">
        <v>17</v>
      </c>
      <c r="F30" s="3" t="s">
        <v>18</v>
      </c>
    </row>
    <row r="31" spans="2:11" ht="61.5" customHeight="1" thickBot="1" x14ac:dyDescent="0.3">
      <c r="B31" s="17" t="s">
        <v>19</v>
      </c>
      <c r="C31" s="18" t="s">
        <v>20</v>
      </c>
      <c r="D31" s="19" t="s">
        <v>33</v>
      </c>
      <c r="E31" s="10" t="s">
        <v>21</v>
      </c>
      <c r="F31" s="11">
        <f>+D28/F28</f>
        <v>1.5783777406169102</v>
      </c>
    </row>
    <row r="32" spans="2:11" ht="48" thickBot="1" x14ac:dyDescent="0.3">
      <c r="B32" s="17" t="s">
        <v>22</v>
      </c>
      <c r="C32" s="20" t="s">
        <v>23</v>
      </c>
      <c r="D32" s="21" t="s">
        <v>24</v>
      </c>
      <c r="E32" s="21" t="s">
        <v>25</v>
      </c>
      <c r="F32" s="12">
        <f>G28/E28*100</f>
        <v>68.0613869185906</v>
      </c>
    </row>
    <row r="33" spans="2:6" ht="111" thickBot="1" x14ac:dyDescent="0.3">
      <c r="B33" s="22" t="s">
        <v>26</v>
      </c>
      <c r="C33" s="23" t="s">
        <v>27</v>
      </c>
      <c r="D33" s="24" t="s">
        <v>34</v>
      </c>
      <c r="E33" s="24" t="s">
        <v>21</v>
      </c>
      <c r="F33" s="25">
        <f>+J28/K28</f>
        <v>2.6093709485923275</v>
      </c>
    </row>
    <row r="34" spans="2:6" ht="95.25" thickBot="1" x14ac:dyDescent="0.3">
      <c r="B34" s="22" t="s">
        <v>19</v>
      </c>
      <c r="C34" s="23" t="s">
        <v>35</v>
      </c>
      <c r="D34" s="24" t="s">
        <v>36</v>
      </c>
      <c r="E34" s="24" t="s">
        <v>38</v>
      </c>
      <c r="F34" s="26">
        <f>+D28-F28</f>
        <v>401417707</v>
      </c>
    </row>
    <row r="35" spans="2:6" ht="16.5" thickBot="1" x14ac:dyDescent="0.3">
      <c r="B35" s="4"/>
      <c r="C35" s="4"/>
      <c r="D35" s="4"/>
      <c r="E35" s="4"/>
      <c r="F35" s="4"/>
    </row>
    <row r="36" spans="2:6" ht="32.25" thickBot="1" x14ac:dyDescent="0.3">
      <c r="B36" s="3" t="s">
        <v>14</v>
      </c>
      <c r="C36" s="14" t="s">
        <v>15</v>
      </c>
      <c r="D36" s="15" t="s">
        <v>16</v>
      </c>
      <c r="E36" s="15" t="s">
        <v>17</v>
      </c>
      <c r="F36" s="16" t="s">
        <v>18</v>
      </c>
    </row>
    <row r="37" spans="2:6" ht="79.5" thickBot="1" x14ac:dyDescent="0.3">
      <c r="B37" s="13" t="s">
        <v>28</v>
      </c>
      <c r="C37" s="5" t="s">
        <v>29</v>
      </c>
      <c r="D37" s="6" t="s">
        <v>31</v>
      </c>
      <c r="E37" s="6" t="s">
        <v>25</v>
      </c>
      <c r="F37" s="7">
        <f>I28/E28*100</f>
        <v>3.606914797279976</v>
      </c>
    </row>
    <row r="38" spans="2:6" ht="95.25" thickBot="1" x14ac:dyDescent="0.3">
      <c r="B38" s="13" t="s">
        <v>28</v>
      </c>
      <c r="C38" s="8" t="s">
        <v>30</v>
      </c>
      <c r="D38" s="9" t="s">
        <v>32</v>
      </c>
      <c r="E38" s="9" t="s">
        <v>25</v>
      </c>
      <c r="F38" s="25">
        <f>I28/H28*100</f>
        <v>11.29327309262362</v>
      </c>
    </row>
  </sheetData>
  <mergeCells count="7">
    <mergeCell ref="B28:C28"/>
    <mergeCell ref="B2:K2"/>
    <mergeCell ref="B3:K3"/>
    <mergeCell ref="B14:C14"/>
    <mergeCell ref="B15:K15"/>
    <mergeCell ref="B16:K16"/>
    <mergeCell ref="B27:C27"/>
  </mergeCells>
  <conditionalFormatting sqref="B4">
    <cfRule type="duplicateValues" dxfId="5" priority="1"/>
  </conditionalFormatting>
  <conditionalFormatting sqref="B17">
    <cfRule type="duplicateValues" dxfId="4" priority="2"/>
  </conditionalFormatting>
  <pageMargins left="0.7" right="0.7" top="0.75" bottom="0.75" header="0.3" footer="0.3"/>
  <pageSetup paperSize="9" orientation="portrait"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43C15-6064-451F-B607-82B81D84431A}">
  <dimension ref="B1:K22"/>
  <sheetViews>
    <sheetView topLeftCell="A11" zoomScale="76" zoomScaleNormal="76" workbookViewId="0">
      <selection activeCell="I12" sqref="I12"/>
    </sheetView>
  </sheetViews>
  <sheetFormatPr baseColWidth="10" defaultColWidth="11.42578125" defaultRowHeight="15" x14ac:dyDescent="0.25"/>
  <cols>
    <col min="1" max="1" width="11.42578125" style="27"/>
    <col min="2" max="2" width="33.5703125" style="27" customWidth="1"/>
    <col min="3" max="3" width="51.140625" style="27" customWidth="1"/>
    <col min="4" max="4" width="17.5703125" style="27" customWidth="1"/>
    <col min="5" max="5" width="11.5703125" style="27" bestFit="1" customWidth="1"/>
    <col min="6" max="6" width="17.140625" style="27" bestFit="1" customWidth="1"/>
    <col min="7" max="10" width="11.5703125" style="27" bestFit="1" customWidth="1"/>
    <col min="11" max="11" width="14.42578125" style="27" customWidth="1"/>
    <col min="12" max="16384" width="11.42578125" style="27"/>
  </cols>
  <sheetData>
    <row r="1" spans="2:11" ht="15.75" thickBot="1" x14ac:dyDescent="0.3"/>
    <row r="2" spans="2:11" ht="15.75" thickBot="1" x14ac:dyDescent="0.3">
      <c r="B2" s="137" t="s">
        <v>5</v>
      </c>
      <c r="C2" s="138"/>
      <c r="D2" s="138"/>
      <c r="E2" s="138"/>
      <c r="F2" s="138"/>
      <c r="G2" s="138"/>
      <c r="H2" s="138"/>
      <c r="I2" s="138"/>
      <c r="J2" s="138"/>
      <c r="K2" s="139"/>
    </row>
    <row r="3" spans="2:11" ht="15.75" thickBot="1" x14ac:dyDescent="0.3">
      <c r="B3" s="137" t="s">
        <v>88</v>
      </c>
      <c r="C3" s="138"/>
      <c r="D3" s="138"/>
      <c r="E3" s="138"/>
      <c r="F3" s="138"/>
      <c r="G3" s="138"/>
      <c r="H3" s="138"/>
      <c r="I3" s="138"/>
      <c r="J3" s="138"/>
      <c r="K3" s="139"/>
    </row>
    <row r="4" spans="2:11" ht="98.25" customHeight="1" thickBot="1" x14ac:dyDescent="0.3">
      <c r="B4" s="28" t="s">
        <v>93</v>
      </c>
      <c r="C4" s="1" t="s">
        <v>9</v>
      </c>
      <c r="D4" s="1" t="s">
        <v>0</v>
      </c>
      <c r="E4" s="1" t="s">
        <v>1</v>
      </c>
      <c r="F4" s="1" t="s">
        <v>2</v>
      </c>
      <c r="G4" s="2" t="s">
        <v>3</v>
      </c>
      <c r="H4" s="1" t="s">
        <v>4</v>
      </c>
      <c r="I4" s="1" t="s">
        <v>7</v>
      </c>
      <c r="J4" s="1" t="s">
        <v>6</v>
      </c>
      <c r="K4" s="1" t="s">
        <v>8</v>
      </c>
    </row>
    <row r="5" spans="2:11" ht="15.75" thickBot="1" x14ac:dyDescent="0.3">
      <c r="B5" s="30" t="s">
        <v>129</v>
      </c>
      <c r="C5" s="65" t="s">
        <v>104</v>
      </c>
      <c r="D5" s="31">
        <v>65705389</v>
      </c>
      <c r="E5" s="31">
        <v>119533896</v>
      </c>
      <c r="F5" s="31">
        <v>62195093</v>
      </c>
      <c r="G5" s="31">
        <v>65972736</v>
      </c>
      <c r="H5" s="31">
        <v>53561160</v>
      </c>
      <c r="I5" s="31">
        <v>8765739</v>
      </c>
      <c r="J5" s="31">
        <v>6909901</v>
      </c>
      <c r="K5" s="32">
        <v>19358</v>
      </c>
    </row>
    <row r="6" spans="2:11" ht="16.5" thickBot="1" x14ac:dyDescent="0.3">
      <c r="B6" s="148" t="s">
        <v>12</v>
      </c>
      <c r="C6" s="149"/>
      <c r="D6" s="33">
        <f t="shared" ref="D6:K6" si="0">SUM(D5:D5)</f>
        <v>65705389</v>
      </c>
      <c r="E6" s="33">
        <f t="shared" si="0"/>
        <v>119533896</v>
      </c>
      <c r="F6" s="33">
        <f t="shared" si="0"/>
        <v>62195093</v>
      </c>
      <c r="G6" s="33">
        <f t="shared" si="0"/>
        <v>65972736</v>
      </c>
      <c r="H6" s="33">
        <f t="shared" si="0"/>
        <v>53561160</v>
      </c>
      <c r="I6" s="33">
        <f t="shared" si="0"/>
        <v>8765739</v>
      </c>
      <c r="J6" s="33">
        <f t="shared" si="0"/>
        <v>6909901</v>
      </c>
      <c r="K6" s="33">
        <f t="shared" si="0"/>
        <v>19358</v>
      </c>
    </row>
    <row r="7" spans="2:11" ht="15.75" thickBot="1" x14ac:dyDescent="0.3">
      <c r="B7" s="137" t="s">
        <v>5</v>
      </c>
      <c r="C7" s="138"/>
      <c r="D7" s="138"/>
      <c r="E7" s="138"/>
      <c r="F7" s="138"/>
      <c r="G7" s="138"/>
      <c r="H7" s="138"/>
      <c r="I7" s="138"/>
      <c r="J7" s="138"/>
      <c r="K7" s="139"/>
    </row>
    <row r="8" spans="2:11" ht="15.75" thickBot="1" x14ac:dyDescent="0.3">
      <c r="B8" s="137" t="s">
        <v>87</v>
      </c>
      <c r="C8" s="138"/>
      <c r="D8" s="138"/>
      <c r="E8" s="138"/>
      <c r="F8" s="138"/>
      <c r="G8" s="138"/>
      <c r="H8" s="138"/>
      <c r="I8" s="138"/>
      <c r="J8" s="138"/>
      <c r="K8" s="139"/>
    </row>
    <row r="9" spans="2:11" ht="63.75" thickBot="1" x14ac:dyDescent="0.3">
      <c r="B9" s="28" t="s">
        <v>93</v>
      </c>
      <c r="C9" s="1" t="s">
        <v>9</v>
      </c>
      <c r="D9" s="1" t="s">
        <v>0</v>
      </c>
      <c r="E9" s="1" t="s">
        <v>1</v>
      </c>
      <c r="F9" s="1" t="s">
        <v>2</v>
      </c>
      <c r="G9" s="2" t="s">
        <v>3</v>
      </c>
      <c r="H9" s="1" t="s">
        <v>4</v>
      </c>
      <c r="I9" s="1" t="s">
        <v>7</v>
      </c>
      <c r="J9" s="1" t="s">
        <v>6</v>
      </c>
      <c r="K9" s="1" t="s">
        <v>8</v>
      </c>
    </row>
    <row r="10" spans="2:11" ht="15.75" thickBot="1" x14ac:dyDescent="0.3">
      <c r="B10" s="30" t="s">
        <v>129</v>
      </c>
      <c r="C10" s="65" t="s">
        <v>104</v>
      </c>
      <c r="D10" s="31">
        <v>141701094</v>
      </c>
      <c r="E10" s="31">
        <v>155167700</v>
      </c>
      <c r="F10" s="31">
        <v>81771836</v>
      </c>
      <c r="G10" s="31">
        <v>96035996</v>
      </c>
      <c r="H10" s="31">
        <v>59131704</v>
      </c>
      <c r="I10" s="31">
        <v>8729351</v>
      </c>
      <c r="J10" s="31">
        <v>6996221</v>
      </c>
      <c r="K10" s="32">
        <v>174671</v>
      </c>
    </row>
    <row r="11" spans="2:11" ht="16.5" thickBot="1" x14ac:dyDescent="0.3">
      <c r="B11" s="146" t="s">
        <v>12</v>
      </c>
      <c r="C11" s="147"/>
      <c r="D11" s="63">
        <f t="shared" ref="D11:K11" si="1">SUM(D10:D10)</f>
        <v>141701094</v>
      </c>
      <c r="E11" s="63">
        <f t="shared" si="1"/>
        <v>155167700</v>
      </c>
      <c r="F11" s="63">
        <f t="shared" si="1"/>
        <v>81771836</v>
      </c>
      <c r="G11" s="63">
        <f t="shared" si="1"/>
        <v>96035996</v>
      </c>
      <c r="H11" s="63">
        <f t="shared" si="1"/>
        <v>59131704</v>
      </c>
      <c r="I11" s="63">
        <f t="shared" si="1"/>
        <v>8729351</v>
      </c>
      <c r="J11" s="63">
        <f t="shared" si="1"/>
        <v>6996221</v>
      </c>
      <c r="K11" s="63">
        <f t="shared" si="1"/>
        <v>174671</v>
      </c>
    </row>
    <row r="12" spans="2:11" ht="16.5" thickBot="1" x14ac:dyDescent="0.3">
      <c r="B12" s="142" t="s">
        <v>13</v>
      </c>
      <c r="C12" s="143"/>
      <c r="D12" s="35">
        <f t="shared" ref="D12:K12" si="2">+D11+D6</f>
        <v>207406483</v>
      </c>
      <c r="E12" s="36">
        <f t="shared" si="2"/>
        <v>274701596</v>
      </c>
      <c r="F12" s="36">
        <f t="shared" si="2"/>
        <v>143966929</v>
      </c>
      <c r="G12" s="36">
        <f t="shared" si="2"/>
        <v>162008732</v>
      </c>
      <c r="H12" s="36">
        <f t="shared" si="2"/>
        <v>112692864</v>
      </c>
      <c r="I12" s="36">
        <f t="shared" si="2"/>
        <v>17495090</v>
      </c>
      <c r="J12" s="36">
        <f t="shared" si="2"/>
        <v>13906122</v>
      </c>
      <c r="K12" s="37">
        <f t="shared" si="2"/>
        <v>194029</v>
      </c>
    </row>
    <row r="13" spans="2:11" ht="15.75" thickBot="1" x14ac:dyDescent="0.3"/>
    <row r="14" spans="2:11" ht="32.25" thickBot="1" x14ac:dyDescent="0.3">
      <c r="B14" s="3" t="s">
        <v>14</v>
      </c>
      <c r="C14" s="3" t="s">
        <v>15</v>
      </c>
      <c r="D14" s="3" t="s">
        <v>16</v>
      </c>
      <c r="E14" s="3" t="s">
        <v>17</v>
      </c>
      <c r="F14" s="3" t="s">
        <v>18</v>
      </c>
    </row>
    <row r="15" spans="2:11" ht="61.5" customHeight="1" thickBot="1" x14ac:dyDescent="0.3">
      <c r="B15" s="17" t="s">
        <v>19</v>
      </c>
      <c r="C15" s="18" t="s">
        <v>20</v>
      </c>
      <c r="D15" s="19" t="s">
        <v>33</v>
      </c>
      <c r="E15" s="10" t="s">
        <v>21</v>
      </c>
      <c r="F15" s="11">
        <f>+D12/F12</f>
        <v>1.4406536587301935</v>
      </c>
    </row>
    <row r="16" spans="2:11" ht="48" thickBot="1" x14ac:dyDescent="0.3">
      <c r="B16" s="17" t="s">
        <v>22</v>
      </c>
      <c r="C16" s="20" t="s">
        <v>23</v>
      </c>
      <c r="D16" s="21" t="s">
        <v>24</v>
      </c>
      <c r="E16" s="21" t="s">
        <v>25</v>
      </c>
      <c r="F16" s="12">
        <f>G12/E12*100</f>
        <v>58.976261645017892</v>
      </c>
    </row>
    <row r="17" spans="2:6" ht="111" thickBot="1" x14ac:dyDescent="0.3">
      <c r="B17" s="22" t="s">
        <v>26</v>
      </c>
      <c r="C17" s="23" t="s">
        <v>27</v>
      </c>
      <c r="D17" s="24" t="s">
        <v>34</v>
      </c>
      <c r="E17" s="24" t="s">
        <v>21</v>
      </c>
      <c r="F17" s="25">
        <f>+K12/J12</f>
        <v>1.3952775619256038E-2</v>
      </c>
    </row>
    <row r="18" spans="2:6" ht="95.25" thickBot="1" x14ac:dyDescent="0.3">
      <c r="B18" s="22" t="s">
        <v>19</v>
      </c>
      <c r="C18" s="23" t="s">
        <v>35</v>
      </c>
      <c r="D18" s="24" t="s">
        <v>36</v>
      </c>
      <c r="E18" s="24" t="s">
        <v>38</v>
      </c>
      <c r="F18" s="26">
        <f>+D12-F12</f>
        <v>63439554</v>
      </c>
    </row>
    <row r="19" spans="2:6" ht="16.5" thickBot="1" x14ac:dyDescent="0.3">
      <c r="B19" s="4"/>
      <c r="C19" s="4"/>
      <c r="D19" s="4"/>
      <c r="E19" s="4"/>
      <c r="F19" s="4"/>
    </row>
    <row r="20" spans="2:6" ht="32.25" thickBot="1" x14ac:dyDescent="0.3">
      <c r="B20" s="3" t="s">
        <v>14</v>
      </c>
      <c r="C20" s="14" t="s">
        <v>15</v>
      </c>
      <c r="D20" s="15" t="s">
        <v>16</v>
      </c>
      <c r="E20" s="15" t="s">
        <v>17</v>
      </c>
      <c r="F20" s="16" t="s">
        <v>18</v>
      </c>
    </row>
    <row r="21" spans="2:6" ht="79.5" thickBot="1" x14ac:dyDescent="0.3">
      <c r="B21" s="13" t="s">
        <v>28</v>
      </c>
      <c r="C21" s="5" t="s">
        <v>29</v>
      </c>
      <c r="D21" s="6" t="s">
        <v>31</v>
      </c>
      <c r="E21" s="6" t="s">
        <v>25</v>
      </c>
      <c r="F21" s="7">
        <f>I12/E12*100</f>
        <v>6.3687616871363204</v>
      </c>
    </row>
    <row r="22" spans="2:6" ht="95.25" thickBot="1" x14ac:dyDescent="0.3">
      <c r="B22" s="13" t="s">
        <v>28</v>
      </c>
      <c r="C22" s="8" t="s">
        <v>30</v>
      </c>
      <c r="D22" s="9" t="s">
        <v>32</v>
      </c>
      <c r="E22" s="9" t="s">
        <v>25</v>
      </c>
      <c r="F22" s="25">
        <f>I12/H12*100</f>
        <v>15.524576604956991</v>
      </c>
    </row>
  </sheetData>
  <mergeCells count="7">
    <mergeCell ref="B12:C12"/>
    <mergeCell ref="B2:K2"/>
    <mergeCell ref="B3:K3"/>
    <mergeCell ref="B6:C6"/>
    <mergeCell ref="B7:K7"/>
    <mergeCell ref="B8:K8"/>
    <mergeCell ref="B11:C11"/>
  </mergeCells>
  <conditionalFormatting sqref="B4">
    <cfRule type="duplicateValues" dxfId="3" priority="2"/>
  </conditionalFormatting>
  <conditionalFormatting sqref="B9">
    <cfRule type="duplicateValues" dxfId="2" priority="1"/>
  </conditionalFormatting>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603D9-C24B-44A2-BDEE-8C2DF0B801D4}">
  <dimension ref="B1:K42"/>
  <sheetViews>
    <sheetView workbookViewId="0">
      <selection activeCell="F30" sqref="F30"/>
    </sheetView>
  </sheetViews>
  <sheetFormatPr baseColWidth="10" defaultColWidth="11.42578125" defaultRowHeight="15" x14ac:dyDescent="0.25"/>
  <cols>
    <col min="1" max="1" width="11.42578125" style="27"/>
    <col min="2" max="2" width="40.42578125" style="27" customWidth="1"/>
    <col min="3" max="3" width="51.140625" style="27" customWidth="1"/>
    <col min="4" max="4" width="17.5703125" style="27" customWidth="1"/>
    <col min="5" max="5" width="11.5703125" style="27" bestFit="1" customWidth="1"/>
    <col min="6" max="6" width="16.140625" style="27" bestFit="1" customWidth="1"/>
    <col min="7" max="8" width="11.5703125" style="27" bestFit="1" customWidth="1"/>
    <col min="9" max="10" width="12" style="27" bestFit="1" customWidth="1"/>
    <col min="11" max="11" width="14.42578125" style="27" customWidth="1"/>
    <col min="12" max="16384" width="11.42578125" style="27"/>
  </cols>
  <sheetData>
    <row r="1" spans="2:11" ht="15.75" thickBot="1" x14ac:dyDescent="0.3"/>
    <row r="2" spans="2:11" ht="15.75" thickBot="1" x14ac:dyDescent="0.3">
      <c r="B2" s="137" t="s">
        <v>103</v>
      </c>
      <c r="C2" s="138"/>
      <c r="D2" s="138"/>
      <c r="E2" s="138"/>
      <c r="F2" s="138"/>
      <c r="G2" s="138"/>
      <c r="H2" s="138"/>
      <c r="I2" s="138"/>
      <c r="J2" s="138"/>
      <c r="K2" s="139"/>
    </row>
    <row r="3" spans="2:11" ht="15.75" thickBot="1" x14ac:dyDescent="0.3">
      <c r="B3" s="137" t="s">
        <v>10</v>
      </c>
      <c r="C3" s="138"/>
      <c r="D3" s="138"/>
      <c r="E3" s="138"/>
      <c r="F3" s="138"/>
      <c r="G3" s="138"/>
      <c r="H3" s="138"/>
      <c r="I3" s="138"/>
      <c r="J3" s="138"/>
      <c r="K3" s="139"/>
    </row>
    <row r="4" spans="2:11" ht="60.75" thickBot="1" x14ac:dyDescent="0.3">
      <c r="B4" s="28" t="s">
        <v>93</v>
      </c>
      <c r="C4" s="28" t="s">
        <v>9</v>
      </c>
      <c r="D4" s="28" t="s">
        <v>0</v>
      </c>
      <c r="E4" s="28" t="s">
        <v>1</v>
      </c>
      <c r="F4" s="28" t="s">
        <v>2</v>
      </c>
      <c r="G4" s="29" t="s">
        <v>3</v>
      </c>
      <c r="H4" s="28" t="s">
        <v>4</v>
      </c>
      <c r="I4" s="28" t="s">
        <v>7</v>
      </c>
      <c r="J4" s="28" t="s">
        <v>6</v>
      </c>
      <c r="K4" s="28" t="s">
        <v>8</v>
      </c>
    </row>
    <row r="5" spans="2:11" ht="15.75" thickBot="1" x14ac:dyDescent="0.3">
      <c r="B5" s="30" t="s">
        <v>130</v>
      </c>
      <c r="C5" s="65" t="s">
        <v>116</v>
      </c>
      <c r="D5" s="31">
        <v>2368644</v>
      </c>
      <c r="E5" s="31">
        <v>2458075</v>
      </c>
      <c r="F5" s="31">
        <v>1334266</v>
      </c>
      <c r="G5" s="31">
        <v>1392096</v>
      </c>
      <c r="H5" s="31">
        <v>1065979</v>
      </c>
      <c r="I5" s="31">
        <v>349056</v>
      </c>
      <c r="J5" s="31">
        <v>451424</v>
      </c>
      <c r="K5" s="32">
        <v>102790</v>
      </c>
    </row>
    <row r="6" spans="2:11" ht="15.75" thickBot="1" x14ac:dyDescent="0.3">
      <c r="B6" s="30" t="s">
        <v>131</v>
      </c>
      <c r="C6" s="65" t="s">
        <v>116</v>
      </c>
      <c r="D6" s="31">
        <v>25800424</v>
      </c>
      <c r="E6" s="31">
        <v>27967627</v>
      </c>
      <c r="F6" s="31">
        <v>11176084</v>
      </c>
      <c r="G6" s="31">
        <v>11186035</v>
      </c>
      <c r="H6" s="31">
        <v>16781592</v>
      </c>
      <c r="I6" s="31">
        <v>8231153</v>
      </c>
      <c r="J6" s="31">
        <v>8255417</v>
      </c>
      <c r="K6" s="32">
        <v>105440</v>
      </c>
    </row>
    <row r="7" spans="2:11" ht="15.75" thickBot="1" x14ac:dyDescent="0.3">
      <c r="B7" s="30" t="s">
        <v>132</v>
      </c>
      <c r="C7" s="65" t="s">
        <v>116</v>
      </c>
      <c r="D7" s="31">
        <v>7946761</v>
      </c>
      <c r="E7" s="31">
        <v>10241483</v>
      </c>
      <c r="F7" s="31">
        <v>1716335</v>
      </c>
      <c r="G7" s="31">
        <v>5941296</v>
      </c>
      <c r="H7" s="31">
        <v>4300187</v>
      </c>
      <c r="I7" s="31">
        <v>453789</v>
      </c>
      <c r="J7" s="31">
        <v>605888</v>
      </c>
      <c r="K7" s="32">
        <v>158993</v>
      </c>
    </row>
    <row r="8" spans="2:11" ht="15.75" thickBot="1" x14ac:dyDescent="0.3">
      <c r="B8" s="30" t="s">
        <v>133</v>
      </c>
      <c r="C8" s="65" t="s">
        <v>116</v>
      </c>
      <c r="D8" s="31">
        <v>16776444</v>
      </c>
      <c r="E8" s="31">
        <v>39357045</v>
      </c>
      <c r="F8" s="31">
        <v>9409197</v>
      </c>
      <c r="G8" s="31">
        <v>16001967</v>
      </c>
      <c r="H8" s="31">
        <v>23355078</v>
      </c>
      <c r="I8" s="31">
        <v>3148252</v>
      </c>
      <c r="J8" s="31">
        <v>3822059</v>
      </c>
      <c r="K8" s="32">
        <v>798148</v>
      </c>
    </row>
    <row r="9" spans="2:11" ht="15.75" thickBot="1" x14ac:dyDescent="0.3">
      <c r="B9" s="30" t="s">
        <v>115</v>
      </c>
      <c r="C9" s="65" t="s">
        <v>116</v>
      </c>
      <c r="D9" s="31">
        <v>51047611</v>
      </c>
      <c r="E9" s="31">
        <v>52397195</v>
      </c>
      <c r="F9" s="31">
        <v>43899122</v>
      </c>
      <c r="G9" s="31">
        <v>43899122</v>
      </c>
      <c r="H9" s="31">
        <v>8498073</v>
      </c>
      <c r="I9" s="31">
        <v>7717941</v>
      </c>
      <c r="J9" s="31">
        <v>7161355</v>
      </c>
      <c r="K9" s="32">
        <v>791392</v>
      </c>
    </row>
    <row r="10" spans="2:11" ht="15.75" thickBot="1" x14ac:dyDescent="0.3">
      <c r="B10" s="30" t="s">
        <v>134</v>
      </c>
      <c r="C10" s="65" t="s">
        <v>116</v>
      </c>
      <c r="D10" s="31">
        <v>16077623</v>
      </c>
      <c r="E10" s="31">
        <v>18610801</v>
      </c>
      <c r="F10" s="31">
        <v>10062459</v>
      </c>
      <c r="G10" s="31">
        <v>15891521</v>
      </c>
      <c r="H10" s="31">
        <v>2719280</v>
      </c>
      <c r="I10" s="31">
        <v>2552694</v>
      </c>
      <c r="J10" s="31">
        <v>3161367</v>
      </c>
      <c r="K10" s="32">
        <v>1179925</v>
      </c>
    </row>
    <row r="11" spans="2:11" ht="15.75" thickBot="1" x14ac:dyDescent="0.3">
      <c r="B11" s="30" t="s">
        <v>135</v>
      </c>
      <c r="C11" s="65" t="s">
        <v>116</v>
      </c>
      <c r="D11" s="31">
        <v>28549125</v>
      </c>
      <c r="E11" s="31">
        <v>29668647</v>
      </c>
      <c r="F11" s="31">
        <v>14938749</v>
      </c>
      <c r="G11" s="31">
        <v>14938749</v>
      </c>
      <c r="H11" s="31">
        <v>14729898</v>
      </c>
      <c r="I11" s="31">
        <v>-2673037</v>
      </c>
      <c r="J11" s="31">
        <v>-2673037</v>
      </c>
      <c r="K11" s="32"/>
    </row>
    <row r="12" spans="2:11" ht="15.75" thickBot="1" x14ac:dyDescent="0.3">
      <c r="B12" s="30" t="s">
        <v>110</v>
      </c>
      <c r="C12" s="65" t="s">
        <v>116</v>
      </c>
      <c r="D12" s="31">
        <v>10992223</v>
      </c>
      <c r="E12" s="31">
        <v>11675241</v>
      </c>
      <c r="F12" s="31">
        <v>8221922</v>
      </c>
      <c r="G12" s="31">
        <v>8316281</v>
      </c>
      <c r="H12" s="31">
        <v>3358960</v>
      </c>
      <c r="I12" s="31">
        <v>-432</v>
      </c>
      <c r="J12" s="31">
        <v>414135</v>
      </c>
      <c r="K12" s="32">
        <v>2518528</v>
      </c>
    </row>
    <row r="13" spans="2:11" ht="15.75" thickBot="1" x14ac:dyDescent="0.3">
      <c r="B13" s="30" t="s">
        <v>136</v>
      </c>
      <c r="C13" s="65" t="s">
        <v>116</v>
      </c>
      <c r="D13" s="31">
        <v>9136483</v>
      </c>
      <c r="E13" s="31">
        <v>11789902</v>
      </c>
      <c r="F13" s="31">
        <v>5086940</v>
      </c>
      <c r="G13" s="31">
        <v>5995329</v>
      </c>
      <c r="H13" s="31">
        <v>5794573</v>
      </c>
      <c r="I13" s="31">
        <v>-2038795</v>
      </c>
      <c r="J13" s="31">
        <v>-1426933</v>
      </c>
      <c r="K13" s="32">
        <v>676833</v>
      </c>
    </row>
    <row r="14" spans="2:11" ht="15.75" thickBot="1" x14ac:dyDescent="0.3">
      <c r="B14" s="30" t="s">
        <v>113</v>
      </c>
      <c r="C14" s="65" t="s">
        <v>116</v>
      </c>
      <c r="D14" s="31">
        <v>57320459</v>
      </c>
      <c r="E14" s="31">
        <v>65206340</v>
      </c>
      <c r="F14" s="31">
        <v>47300103</v>
      </c>
      <c r="G14" s="31">
        <v>50276885</v>
      </c>
      <c r="H14" s="31">
        <v>14929455</v>
      </c>
      <c r="I14" s="31">
        <v>-314827</v>
      </c>
      <c r="J14" s="31">
        <v>1688278</v>
      </c>
      <c r="K14" s="32">
        <v>2989187</v>
      </c>
    </row>
    <row r="15" spans="2:11" ht="15.75" thickBot="1" x14ac:dyDescent="0.3">
      <c r="B15" s="30" t="s">
        <v>114</v>
      </c>
      <c r="C15" s="65" t="s">
        <v>116</v>
      </c>
      <c r="D15" s="31">
        <v>611440415</v>
      </c>
      <c r="E15" s="31">
        <v>694122060</v>
      </c>
      <c r="F15" s="31">
        <v>643033874</v>
      </c>
      <c r="G15" s="31">
        <v>663489696</v>
      </c>
      <c r="H15" s="31">
        <v>30632364</v>
      </c>
      <c r="I15" s="31">
        <v>-51494818</v>
      </c>
      <c r="J15" s="31">
        <v>-29140477</v>
      </c>
      <c r="K15" s="32">
        <v>24956016</v>
      </c>
    </row>
    <row r="16" spans="2:11" ht="15.75" thickBot="1" x14ac:dyDescent="0.3">
      <c r="B16" s="152" t="s">
        <v>12</v>
      </c>
      <c r="C16" s="153"/>
      <c r="D16" s="33">
        <f t="shared" ref="D16:K16" si="0">SUM(D5:D15)</f>
        <v>837456212</v>
      </c>
      <c r="E16" s="33">
        <f t="shared" si="0"/>
        <v>963494416</v>
      </c>
      <c r="F16" s="33">
        <f t="shared" si="0"/>
        <v>796179051</v>
      </c>
      <c r="G16" s="33">
        <f t="shared" si="0"/>
        <v>837328977</v>
      </c>
      <c r="H16" s="33">
        <f t="shared" si="0"/>
        <v>126165439</v>
      </c>
      <c r="I16" s="33">
        <f t="shared" si="0"/>
        <v>-34069024</v>
      </c>
      <c r="J16" s="33">
        <f t="shared" si="0"/>
        <v>-7680524</v>
      </c>
      <c r="K16" s="33">
        <f t="shared" si="0"/>
        <v>34277252</v>
      </c>
    </row>
    <row r="17" spans="2:11" ht="15.75" thickBot="1" x14ac:dyDescent="0.3">
      <c r="B17" s="137" t="s">
        <v>103</v>
      </c>
      <c r="C17" s="138"/>
      <c r="D17" s="138"/>
      <c r="E17" s="138"/>
      <c r="F17" s="138"/>
      <c r="G17" s="138"/>
      <c r="H17" s="138"/>
      <c r="I17" s="138"/>
      <c r="J17" s="138"/>
      <c r="K17" s="139"/>
    </row>
    <row r="18" spans="2:11" ht="15.75" thickBot="1" x14ac:dyDescent="0.3">
      <c r="B18" s="137" t="s">
        <v>11</v>
      </c>
      <c r="C18" s="138"/>
      <c r="D18" s="138"/>
      <c r="E18" s="138"/>
      <c r="F18" s="138"/>
      <c r="G18" s="138"/>
      <c r="H18" s="138"/>
      <c r="I18" s="138"/>
      <c r="J18" s="138"/>
      <c r="K18" s="139"/>
    </row>
    <row r="19" spans="2:11" ht="60.75" thickBot="1" x14ac:dyDescent="0.3">
      <c r="B19" s="28" t="s">
        <v>93</v>
      </c>
      <c r="C19" s="28" t="s">
        <v>9</v>
      </c>
      <c r="D19" s="28" t="s">
        <v>0</v>
      </c>
      <c r="E19" s="28" t="s">
        <v>1</v>
      </c>
      <c r="F19" s="28" t="s">
        <v>2</v>
      </c>
      <c r="G19" s="29" t="s">
        <v>3</v>
      </c>
      <c r="H19" s="28" t="s">
        <v>4</v>
      </c>
      <c r="I19" s="28" t="s">
        <v>7</v>
      </c>
      <c r="J19" s="28" t="s">
        <v>6</v>
      </c>
      <c r="K19" s="28" t="s">
        <v>8</v>
      </c>
    </row>
    <row r="20" spans="2:11" ht="15.75" thickBot="1" x14ac:dyDescent="0.3">
      <c r="B20" s="30" t="s">
        <v>130</v>
      </c>
      <c r="C20" s="65" t="s">
        <v>116</v>
      </c>
      <c r="D20" s="31">
        <v>1944885</v>
      </c>
      <c r="E20" s="31">
        <v>2034584</v>
      </c>
      <c r="F20" s="31">
        <v>984344</v>
      </c>
      <c r="G20" s="31">
        <v>1068177</v>
      </c>
      <c r="H20" s="31">
        <v>966407</v>
      </c>
      <c r="I20" s="31">
        <v>919270</v>
      </c>
      <c r="J20" s="31">
        <v>911438</v>
      </c>
      <c r="K20" s="32">
        <v>4855</v>
      </c>
    </row>
    <row r="21" spans="2:11" ht="15.75" thickBot="1" x14ac:dyDescent="0.3">
      <c r="B21" s="30" t="s">
        <v>131</v>
      </c>
      <c r="C21" s="65" t="s">
        <v>116</v>
      </c>
      <c r="D21" s="31">
        <v>19474692</v>
      </c>
      <c r="E21" s="31">
        <v>21658266</v>
      </c>
      <c r="F21" s="31">
        <v>5104119</v>
      </c>
      <c r="G21" s="31">
        <v>5104119</v>
      </c>
      <c r="H21" s="31">
        <v>16554147</v>
      </c>
      <c r="I21" s="31">
        <v>-2159801</v>
      </c>
      <c r="J21" s="31">
        <v>-2207695</v>
      </c>
      <c r="K21" s="32">
        <v>9368</v>
      </c>
    </row>
    <row r="22" spans="2:11" ht="15.75" thickBot="1" x14ac:dyDescent="0.3">
      <c r="B22" s="30" t="s">
        <v>132</v>
      </c>
      <c r="C22" s="65" t="s">
        <v>116</v>
      </c>
      <c r="D22" s="31">
        <v>8288693</v>
      </c>
      <c r="E22" s="31">
        <v>10204488</v>
      </c>
      <c r="F22" s="31">
        <v>1972967</v>
      </c>
      <c r="G22" s="31">
        <v>6097928</v>
      </c>
      <c r="H22" s="31">
        <v>4106560</v>
      </c>
      <c r="I22" s="31">
        <v>427779</v>
      </c>
      <c r="J22" s="31">
        <v>442529</v>
      </c>
      <c r="K22" s="32">
        <v>18156</v>
      </c>
    </row>
    <row r="23" spans="2:11" ht="15.75" thickBot="1" x14ac:dyDescent="0.3">
      <c r="B23" s="30" t="s">
        <v>133</v>
      </c>
      <c r="C23" s="65" t="s">
        <v>116</v>
      </c>
      <c r="D23" s="31">
        <v>17283304</v>
      </c>
      <c r="E23" s="31">
        <v>38249618</v>
      </c>
      <c r="F23" s="31">
        <v>12893789</v>
      </c>
      <c r="G23" s="31">
        <v>14179610</v>
      </c>
      <c r="H23" s="31">
        <v>24070008</v>
      </c>
      <c r="I23" s="31">
        <v>3022675</v>
      </c>
      <c r="J23" s="31">
        <v>3381115</v>
      </c>
      <c r="K23" s="32">
        <v>178940</v>
      </c>
    </row>
    <row r="24" spans="2:11" ht="15.75" thickBot="1" x14ac:dyDescent="0.3">
      <c r="B24" s="30" t="s">
        <v>115</v>
      </c>
      <c r="C24" s="65" t="s">
        <v>116</v>
      </c>
      <c r="D24" s="31">
        <v>44535402</v>
      </c>
      <c r="E24" s="31">
        <v>48233995</v>
      </c>
      <c r="F24" s="31">
        <v>45958141</v>
      </c>
      <c r="G24" s="31">
        <v>45958141</v>
      </c>
      <c r="H24" s="31">
        <v>2275854</v>
      </c>
      <c r="I24" s="31">
        <v>677414</v>
      </c>
      <c r="J24" s="31">
        <v>599430</v>
      </c>
      <c r="K24" s="32">
        <v>433352</v>
      </c>
    </row>
    <row r="25" spans="2:11" ht="15.75" thickBot="1" x14ac:dyDescent="0.3">
      <c r="B25" s="30" t="s">
        <v>134</v>
      </c>
      <c r="C25" s="65" t="s">
        <v>116</v>
      </c>
      <c r="D25" s="31">
        <v>14738016</v>
      </c>
      <c r="E25" s="31">
        <v>18254811</v>
      </c>
      <c r="F25" s="31">
        <v>9944290</v>
      </c>
      <c r="G25" s="31">
        <v>16080655</v>
      </c>
      <c r="H25" s="31">
        <v>2174156</v>
      </c>
      <c r="I25" s="31">
        <v>1036616</v>
      </c>
      <c r="J25" s="31">
        <v>996097</v>
      </c>
      <c r="K25" s="32">
        <v>622623</v>
      </c>
    </row>
    <row r="26" spans="2:11" ht="15.75" thickBot="1" x14ac:dyDescent="0.3">
      <c r="B26" s="30" t="s">
        <v>135</v>
      </c>
      <c r="C26" s="65" t="s">
        <v>116</v>
      </c>
      <c r="D26" s="31">
        <v>39777110</v>
      </c>
      <c r="E26" s="31">
        <v>41357628</v>
      </c>
      <c r="F26" s="31">
        <v>41878425</v>
      </c>
      <c r="G26" s="31">
        <v>41878425</v>
      </c>
      <c r="H26" s="31">
        <v>-520797</v>
      </c>
      <c r="I26" s="31">
        <v>-14516268</v>
      </c>
      <c r="J26" s="31">
        <v>-14516268</v>
      </c>
      <c r="K26" s="32"/>
    </row>
    <row r="27" spans="2:11" ht="15.75" thickBot="1" x14ac:dyDescent="0.3">
      <c r="B27" s="30" t="s">
        <v>110</v>
      </c>
      <c r="C27" s="65" t="s">
        <v>116</v>
      </c>
      <c r="D27" s="31">
        <v>20968018</v>
      </c>
      <c r="E27" s="31">
        <v>21629821</v>
      </c>
      <c r="F27" s="31">
        <v>15377218</v>
      </c>
      <c r="G27" s="31">
        <v>15407345</v>
      </c>
      <c r="H27" s="31">
        <v>6222476</v>
      </c>
      <c r="I27" s="31">
        <v>4826356</v>
      </c>
      <c r="J27" s="31">
        <v>4960261</v>
      </c>
      <c r="K27" s="32">
        <v>636086</v>
      </c>
    </row>
    <row r="28" spans="2:11" ht="15.75" thickBot="1" x14ac:dyDescent="0.3">
      <c r="B28" s="30" t="s">
        <v>136</v>
      </c>
      <c r="C28" s="65" t="s">
        <v>116</v>
      </c>
      <c r="D28" s="31">
        <v>9441214</v>
      </c>
      <c r="E28" s="31">
        <v>13941201</v>
      </c>
      <c r="F28" s="31">
        <v>5852059</v>
      </c>
      <c r="G28" s="31">
        <v>6518459</v>
      </c>
      <c r="H28" s="31">
        <v>7422742</v>
      </c>
      <c r="I28" s="31">
        <v>-3433049</v>
      </c>
      <c r="J28" s="31">
        <v>-2626158</v>
      </c>
      <c r="K28" s="32">
        <v>1057544</v>
      </c>
    </row>
    <row r="29" spans="2:11" ht="15.75" thickBot="1" x14ac:dyDescent="0.3">
      <c r="B29" s="30" t="s">
        <v>113</v>
      </c>
      <c r="C29" s="65" t="s">
        <v>116</v>
      </c>
      <c r="D29" s="31">
        <v>52061899</v>
      </c>
      <c r="E29" s="31">
        <v>72005932</v>
      </c>
      <c r="F29" s="31">
        <v>48432201</v>
      </c>
      <c r="G29" s="31">
        <v>57174712</v>
      </c>
      <c r="H29" s="31">
        <v>14831220</v>
      </c>
      <c r="I29" s="31">
        <v>1200715</v>
      </c>
      <c r="J29" s="31">
        <v>2107265</v>
      </c>
      <c r="K29" s="32">
        <v>2231113</v>
      </c>
    </row>
    <row r="30" spans="2:11" ht="15.75" thickBot="1" x14ac:dyDescent="0.3">
      <c r="B30" s="30" t="s">
        <v>114</v>
      </c>
      <c r="C30" s="65" t="s">
        <v>116</v>
      </c>
      <c r="D30" s="31">
        <v>680603786</v>
      </c>
      <c r="E30" s="31">
        <v>768430666</v>
      </c>
      <c r="F30" s="31">
        <v>532675128</v>
      </c>
      <c r="G30" s="31">
        <v>552977687</v>
      </c>
      <c r="H30" s="31">
        <v>215452979</v>
      </c>
      <c r="I30" s="31">
        <v>12330615</v>
      </c>
      <c r="J30" s="31">
        <v>11992920</v>
      </c>
      <c r="K30" s="32">
        <v>1523762</v>
      </c>
    </row>
    <row r="31" spans="2:11" ht="15.75" thickBot="1" x14ac:dyDescent="0.3">
      <c r="B31" s="154" t="s">
        <v>12</v>
      </c>
      <c r="C31" s="155"/>
      <c r="D31" s="63">
        <f t="shared" ref="D31:K31" si="1">SUM(D20:D30)</f>
        <v>909117019</v>
      </c>
      <c r="E31" s="63">
        <f t="shared" si="1"/>
        <v>1056001010</v>
      </c>
      <c r="F31" s="63">
        <f t="shared" si="1"/>
        <v>721072681</v>
      </c>
      <c r="G31" s="63">
        <f t="shared" si="1"/>
        <v>762445258</v>
      </c>
      <c r="H31" s="63">
        <f t="shared" si="1"/>
        <v>293555752</v>
      </c>
      <c r="I31" s="63">
        <f t="shared" si="1"/>
        <v>4332322</v>
      </c>
      <c r="J31" s="63">
        <f t="shared" si="1"/>
        <v>6040934</v>
      </c>
      <c r="K31" s="63">
        <f t="shared" si="1"/>
        <v>6715799</v>
      </c>
    </row>
    <row r="32" spans="2:11" ht="15.75" thickBot="1" x14ac:dyDescent="0.3">
      <c r="B32" s="150" t="s">
        <v>13</v>
      </c>
      <c r="C32" s="151"/>
      <c r="D32" s="35">
        <f t="shared" ref="D32:K32" si="2">+D31+D16</f>
        <v>1746573231</v>
      </c>
      <c r="E32" s="36">
        <f t="shared" si="2"/>
        <v>2019495426</v>
      </c>
      <c r="F32" s="36">
        <f t="shared" si="2"/>
        <v>1517251732</v>
      </c>
      <c r="G32" s="36">
        <f t="shared" si="2"/>
        <v>1599774235</v>
      </c>
      <c r="H32" s="36">
        <f t="shared" si="2"/>
        <v>419721191</v>
      </c>
      <c r="I32" s="36">
        <f t="shared" si="2"/>
        <v>-29736702</v>
      </c>
      <c r="J32" s="36">
        <f t="shared" si="2"/>
        <v>-1639590</v>
      </c>
      <c r="K32" s="37">
        <f t="shared" si="2"/>
        <v>40993051</v>
      </c>
    </row>
    <row r="33" spans="2:6" ht="15.75" thickBot="1" x14ac:dyDescent="0.3"/>
    <row r="34" spans="2:6" ht="30.75" thickBot="1" x14ac:dyDescent="0.3">
      <c r="B34" s="38" t="s">
        <v>14</v>
      </c>
      <c r="C34" s="38" t="s">
        <v>15</v>
      </c>
      <c r="D34" s="38" t="s">
        <v>16</v>
      </c>
      <c r="E34" s="38" t="s">
        <v>17</v>
      </c>
      <c r="F34" s="38" t="s">
        <v>18</v>
      </c>
    </row>
    <row r="35" spans="2:6" ht="61.5" customHeight="1" thickBot="1" x14ac:dyDescent="0.3">
      <c r="B35" s="39" t="s">
        <v>19</v>
      </c>
      <c r="C35" s="40" t="s">
        <v>20</v>
      </c>
      <c r="D35" s="41" t="s">
        <v>33</v>
      </c>
      <c r="E35" s="42" t="s">
        <v>21</v>
      </c>
      <c r="F35" s="43">
        <f>+D32/F32</f>
        <v>1.1511426839485064</v>
      </c>
    </row>
    <row r="36" spans="2:6" ht="45.75" thickBot="1" x14ac:dyDescent="0.3">
      <c r="B36" s="39" t="s">
        <v>22</v>
      </c>
      <c r="C36" s="44" t="s">
        <v>23</v>
      </c>
      <c r="D36" s="45" t="s">
        <v>24</v>
      </c>
      <c r="E36" s="45" t="s">
        <v>25</v>
      </c>
      <c r="F36" s="46">
        <f>G32/E32*100</f>
        <v>79.216531733803492</v>
      </c>
    </row>
    <row r="37" spans="2:6" ht="90.75" thickBot="1" x14ac:dyDescent="0.3">
      <c r="B37" s="47" t="s">
        <v>26</v>
      </c>
      <c r="C37" s="48" t="s">
        <v>27</v>
      </c>
      <c r="D37" s="49" t="s">
        <v>34</v>
      </c>
      <c r="E37" s="49" t="s">
        <v>21</v>
      </c>
      <c r="F37" s="50">
        <f>+K32/J32</f>
        <v>-25.0020133082051</v>
      </c>
    </row>
    <row r="38" spans="2:6" ht="95.25" thickBot="1" x14ac:dyDescent="0.3">
      <c r="B38" s="22" t="s">
        <v>19</v>
      </c>
      <c r="C38" s="23" t="s">
        <v>35</v>
      </c>
      <c r="D38" s="24" t="s">
        <v>36</v>
      </c>
      <c r="E38" s="24" t="s">
        <v>38</v>
      </c>
      <c r="F38" s="26">
        <f>+D32-F32</f>
        <v>229321499</v>
      </c>
    </row>
    <row r="39" spans="2:6" ht="15.75" thickBot="1" x14ac:dyDescent="0.3">
      <c r="B39" s="52"/>
      <c r="C39" s="52"/>
      <c r="D39" s="52"/>
      <c r="E39" s="52"/>
      <c r="F39" s="52"/>
    </row>
    <row r="40" spans="2:6" ht="30.75" thickBot="1" x14ac:dyDescent="0.3">
      <c r="B40" s="38" t="s">
        <v>14</v>
      </c>
      <c r="C40" s="53" t="s">
        <v>15</v>
      </c>
      <c r="D40" s="54" t="s">
        <v>16</v>
      </c>
      <c r="E40" s="54" t="s">
        <v>17</v>
      </c>
      <c r="F40" s="55" t="s">
        <v>18</v>
      </c>
    </row>
    <row r="41" spans="2:6" ht="75.75" thickBot="1" x14ac:dyDescent="0.3">
      <c r="B41" s="56" t="s">
        <v>28</v>
      </c>
      <c r="C41" s="57" t="s">
        <v>29</v>
      </c>
      <c r="D41" s="58" t="s">
        <v>31</v>
      </c>
      <c r="E41" s="58" t="s">
        <v>25</v>
      </c>
      <c r="F41" s="59">
        <f>I32/E32*100</f>
        <v>-1.4724817703053317</v>
      </c>
    </row>
    <row r="42" spans="2:6" ht="75.75" thickBot="1" x14ac:dyDescent="0.3">
      <c r="B42" s="56" t="s">
        <v>28</v>
      </c>
      <c r="C42" s="60" t="s">
        <v>30</v>
      </c>
      <c r="D42" s="61" t="s">
        <v>32</v>
      </c>
      <c r="E42" s="61" t="s">
        <v>25</v>
      </c>
      <c r="F42" s="50">
        <f>I32/H32*100</f>
        <v>-7.0848702990552601</v>
      </c>
    </row>
  </sheetData>
  <mergeCells count="7">
    <mergeCell ref="B32:C32"/>
    <mergeCell ref="B2:K2"/>
    <mergeCell ref="B3:K3"/>
    <mergeCell ref="B16:C16"/>
    <mergeCell ref="B17:K17"/>
    <mergeCell ref="B18:K18"/>
    <mergeCell ref="B31:C31"/>
  </mergeCells>
  <conditionalFormatting sqref="B4">
    <cfRule type="duplicateValues" dxfId="1" priority="1"/>
  </conditionalFormatting>
  <conditionalFormatting sqref="B19">
    <cfRule type="duplicateValues" dxfId="0" priority="2"/>
  </conditionalFormatting>
  <pageMargins left="0.7" right="0.7" top="0.75" bottom="0.75" header="0.3" footer="0.3"/>
  <pageSetup paperSize="9"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0A0A0-1D14-4AD0-A18D-D546265BF737}">
  <sheetPr>
    <tabColor theme="9" tint="0.79998168889431442"/>
  </sheetPr>
  <dimension ref="A1:S28"/>
  <sheetViews>
    <sheetView zoomScale="98" zoomScaleNormal="98" workbookViewId="0">
      <selection activeCell="S20" sqref="S20"/>
    </sheetView>
  </sheetViews>
  <sheetFormatPr baseColWidth="10" defaultColWidth="11.42578125" defaultRowHeight="15.75" x14ac:dyDescent="0.25"/>
  <cols>
    <col min="1" max="1" width="17.28515625" style="85" customWidth="1"/>
    <col min="2" max="2" width="45.5703125" style="85" customWidth="1"/>
    <col min="3" max="3" width="20" style="85" bestFit="1" customWidth="1"/>
    <col min="4" max="6" width="19.42578125" style="85" bestFit="1" customWidth="1"/>
    <col min="7" max="7" width="25.85546875" style="85" bestFit="1" customWidth="1"/>
    <col min="8" max="8" width="24.5703125" style="85" customWidth="1"/>
    <col min="9" max="10" width="19.42578125" style="85" bestFit="1" customWidth="1"/>
    <col min="11" max="11" width="20.28515625" style="85" bestFit="1" customWidth="1"/>
    <col min="12" max="12" width="20.140625" style="85" bestFit="1" customWidth="1"/>
    <col min="13" max="13" width="19.85546875" style="85" bestFit="1" customWidth="1"/>
    <col min="14" max="14" width="20.140625" style="85" bestFit="1" customWidth="1"/>
    <col min="15" max="15" width="19.42578125" style="85" bestFit="1" customWidth="1"/>
    <col min="16" max="16" width="19.85546875" style="85" bestFit="1" customWidth="1"/>
    <col min="17" max="17" width="21.42578125" style="85" customWidth="1"/>
    <col min="18" max="18" width="37.42578125" style="85" customWidth="1"/>
    <col min="19" max="19" width="18.28515625" style="85" bestFit="1" customWidth="1"/>
    <col min="20" max="16384" width="11.42578125" style="85"/>
  </cols>
  <sheetData>
    <row r="1" spans="1:19" ht="16.5" thickBot="1" x14ac:dyDescent="0.3"/>
    <row r="2" spans="1:19" x14ac:dyDescent="0.25">
      <c r="A2" s="159" t="s">
        <v>39</v>
      </c>
      <c r="B2" s="161" t="s">
        <v>40</v>
      </c>
      <c r="C2" s="162"/>
      <c r="D2" s="162"/>
      <c r="E2" s="162"/>
      <c r="F2" s="162"/>
      <c r="G2" s="162"/>
      <c r="H2" s="162"/>
      <c r="I2" s="162"/>
      <c r="J2" s="162"/>
      <c r="K2" s="162"/>
      <c r="L2" s="162"/>
      <c r="M2" s="162"/>
      <c r="N2" s="162"/>
      <c r="O2" s="162"/>
      <c r="P2" s="162"/>
      <c r="Q2" s="162"/>
    </row>
    <row r="3" spans="1:19" ht="16.5" thickBot="1" x14ac:dyDescent="0.3">
      <c r="A3" s="160"/>
      <c r="B3" s="163"/>
      <c r="C3" s="164"/>
      <c r="D3" s="164"/>
      <c r="E3" s="164"/>
      <c r="F3" s="164"/>
      <c r="G3" s="164"/>
      <c r="H3" s="164"/>
      <c r="I3" s="164"/>
      <c r="J3" s="164"/>
      <c r="K3" s="164"/>
      <c r="L3" s="164"/>
      <c r="M3" s="164"/>
      <c r="N3" s="164"/>
      <c r="O3" s="164"/>
      <c r="P3" s="164"/>
      <c r="Q3" s="164"/>
    </row>
    <row r="4" spans="1:19" ht="75.75" thickBot="1" x14ac:dyDescent="0.3">
      <c r="A4" s="70" t="s">
        <v>58</v>
      </c>
      <c r="B4" s="67" t="s">
        <v>41</v>
      </c>
      <c r="C4" s="120" t="s">
        <v>137</v>
      </c>
      <c r="D4" s="120" t="s">
        <v>138</v>
      </c>
      <c r="E4" s="120" t="s">
        <v>139</v>
      </c>
      <c r="F4" s="68" t="s">
        <v>42</v>
      </c>
      <c r="G4" s="68" t="s">
        <v>43</v>
      </c>
      <c r="H4" s="68" t="s">
        <v>44</v>
      </c>
      <c r="I4" s="68" t="s">
        <v>45</v>
      </c>
      <c r="J4" s="68" t="s">
        <v>46</v>
      </c>
      <c r="K4" s="68" t="s">
        <v>47</v>
      </c>
      <c r="L4" s="69" t="s">
        <v>48</v>
      </c>
      <c r="M4" s="69" t="s">
        <v>49</v>
      </c>
      <c r="N4" s="69" t="s">
        <v>50</v>
      </c>
      <c r="O4" s="69" t="s">
        <v>51</v>
      </c>
      <c r="P4" s="69" t="s">
        <v>84</v>
      </c>
      <c r="Q4" s="68" t="s">
        <v>52</v>
      </c>
    </row>
    <row r="5" spans="1:19" ht="16.5" thickBot="1" x14ac:dyDescent="0.3">
      <c r="B5" s="165" t="s">
        <v>53</v>
      </c>
      <c r="C5" s="166"/>
      <c r="D5" s="166"/>
      <c r="E5" s="166"/>
      <c r="F5" s="166"/>
      <c r="G5" s="166"/>
      <c r="H5" s="166"/>
      <c r="I5" s="166"/>
      <c r="J5" s="166"/>
      <c r="K5" s="166"/>
      <c r="L5" s="166"/>
      <c r="M5" s="166"/>
      <c r="N5" s="166"/>
      <c r="O5" s="166"/>
      <c r="P5" s="166"/>
      <c r="Q5" s="166"/>
      <c r="R5" s="73" t="s">
        <v>81</v>
      </c>
      <c r="S5" s="94"/>
    </row>
    <row r="6" spans="1:19" ht="16.5" thickBot="1" x14ac:dyDescent="0.3">
      <c r="A6" s="156">
        <v>2019</v>
      </c>
      <c r="B6" s="104" t="s">
        <v>19</v>
      </c>
      <c r="C6" s="105">
        <f>+'C3312 - 2019'!F29</f>
        <v>1.4465455706660668</v>
      </c>
      <c r="D6" s="106">
        <f>+'S9511 -2019 '!F19</f>
        <v>1.2592909625784663</v>
      </c>
      <c r="E6" s="106">
        <f>+'J6209 -2019'!F29</f>
        <v>0.96995394986914751</v>
      </c>
      <c r="F6" s="86">
        <f>AVERAGE(C6:E6)</f>
        <v>1.2252634943712268</v>
      </c>
      <c r="G6" s="86">
        <f>GEOMEAN(C6:E6)</f>
        <v>1.208935435327527</v>
      </c>
      <c r="H6" s="86">
        <f t="shared" ref="H6:H8" si="0">AVERAGE(F6:G6)</f>
        <v>1.2170994648493769</v>
      </c>
      <c r="I6" s="87">
        <f>+MEDIAN(C6:E6)</f>
        <v>1.2592909625784663</v>
      </c>
      <c r="J6" s="87">
        <f>+MIN(C6:E6)</f>
        <v>0.96995394986914751</v>
      </c>
      <c r="K6" s="87">
        <f>+MAX(C6:E6)</f>
        <v>1.4465455706660668</v>
      </c>
      <c r="L6" s="86">
        <f>+_xlfn.STDEV.P(C6:E6)</f>
        <v>0.19604981458446469</v>
      </c>
      <c r="M6" s="86">
        <f>+I6-L6</f>
        <v>1.0632411479940016</v>
      </c>
      <c r="N6" s="86">
        <f>+I6+L6</f>
        <v>1.455340777162931</v>
      </c>
      <c r="O6" s="86">
        <f>H6-L6</f>
        <v>1.0210496502649122</v>
      </c>
      <c r="P6" s="86">
        <f>H6+L6</f>
        <v>1.4131492794338416</v>
      </c>
      <c r="Q6" s="88">
        <f>+K6</f>
        <v>1.4465455706660668</v>
      </c>
      <c r="R6" s="72" t="s">
        <v>19</v>
      </c>
      <c r="S6" s="124">
        <f>AVERAGE(Q6,Q14,Q22)</f>
        <v>1.3953516777231594</v>
      </c>
    </row>
    <row r="7" spans="1:19" ht="16.5" thickBot="1" x14ac:dyDescent="0.3">
      <c r="A7" s="157"/>
      <c r="B7" s="101" t="s">
        <v>22</v>
      </c>
      <c r="C7" s="107">
        <f>+'C3312 - 2019'!F30</f>
        <v>74.839659790438688</v>
      </c>
      <c r="D7" s="108">
        <f>+'S9511 -2019 '!F20</f>
        <v>66.052557363632815</v>
      </c>
      <c r="E7" s="108">
        <f>+'J6209 -2019'!F30</f>
        <v>93.929095776534581</v>
      </c>
      <c r="F7" s="89">
        <f>AVERAGE(C7:E7)</f>
        <v>78.27377097686869</v>
      </c>
      <c r="G7" s="89">
        <f>GEOMEAN(C7:E7)</f>
        <v>77.435575020998243</v>
      </c>
      <c r="H7" s="89">
        <f t="shared" si="0"/>
        <v>77.854672998933466</v>
      </c>
      <c r="I7" s="90">
        <f>+MEDIAN(C7:E7)</f>
        <v>74.839659790438688</v>
      </c>
      <c r="J7" s="90">
        <f>+MIN(C7:E7)</f>
        <v>66.052557363632815</v>
      </c>
      <c r="K7" s="90">
        <f>+MAX(C7:E7)</f>
        <v>93.929095776534581</v>
      </c>
      <c r="L7" s="89">
        <f>+_xlfn.STDEV.P(C7:E7)</f>
        <v>11.636728870321793</v>
      </c>
      <c r="M7" s="89">
        <f t="shared" ref="M7:M12" si="1">+I7-L7</f>
        <v>63.202930920116899</v>
      </c>
      <c r="N7" s="89">
        <f t="shared" ref="N7:N12" si="2">+I7+L7</f>
        <v>86.476388660760477</v>
      </c>
      <c r="O7" s="89">
        <f t="shared" ref="O7" si="3">H7-L7</f>
        <v>66.217944128611677</v>
      </c>
      <c r="P7" s="89">
        <f t="shared" ref="P7:P12" si="4">H7+L7</f>
        <v>89.491401869255256</v>
      </c>
      <c r="Q7" s="88">
        <v>48</v>
      </c>
      <c r="R7" s="72" t="s">
        <v>22</v>
      </c>
      <c r="S7" s="124">
        <f>AVERAGE(Q7,Q15,Q23)</f>
        <v>54.708022826121521</v>
      </c>
    </row>
    <row r="8" spans="1:19" ht="32.25" thickBot="1" x14ac:dyDescent="0.3">
      <c r="A8" s="157"/>
      <c r="B8" s="101" t="s">
        <v>54</v>
      </c>
      <c r="C8" s="107">
        <f>+'C3312 - 2019'!F31</f>
        <v>-0.45636417514051597</v>
      </c>
      <c r="D8" s="108">
        <f>+'S9511 -2019 '!F21</f>
        <v>5.685997409565708</v>
      </c>
      <c r="E8" s="108">
        <f>+'J6209 -2019'!F31</f>
        <v>-0.96841923976977007</v>
      </c>
      <c r="F8" s="89">
        <f>AVERAGE(C8:E8)</f>
        <v>1.4204046648851405</v>
      </c>
      <c r="G8" s="89">
        <f>GEOMEAN(D8)</f>
        <v>5.685997409565708</v>
      </c>
      <c r="H8" s="89">
        <f t="shared" si="0"/>
        <v>3.5532010372254241</v>
      </c>
      <c r="I8" s="90">
        <f>+MEDIAN(C8:E8)</f>
        <v>-0.45636417514051597</v>
      </c>
      <c r="J8" s="90">
        <f>+MIN(C8:E8)</f>
        <v>-0.96841923976977007</v>
      </c>
      <c r="K8" s="90">
        <f>+MAX(C8:E8)</f>
        <v>5.685997409565708</v>
      </c>
      <c r="L8" s="89">
        <f>+_xlfn.STDEV.P(C8:E8)</f>
        <v>3.0234650314836604</v>
      </c>
      <c r="M8" s="89">
        <f t="shared" si="1"/>
        <v>-3.4798292066241765</v>
      </c>
      <c r="N8" s="89">
        <f t="shared" si="2"/>
        <v>2.5671008563431443</v>
      </c>
      <c r="O8" s="89">
        <f>L8-H8</f>
        <v>-0.52973600574176372</v>
      </c>
      <c r="P8" s="89">
        <f t="shared" si="4"/>
        <v>6.5766660687090841</v>
      </c>
      <c r="Q8" s="88">
        <f>+F8</f>
        <v>1.4204046648851405</v>
      </c>
      <c r="R8" s="97" t="s">
        <v>54</v>
      </c>
      <c r="S8" s="128">
        <f>AVERAGE(Q8,Q16,Q24)</f>
        <v>7.5252962713214195</v>
      </c>
    </row>
    <row r="9" spans="1:19" ht="16.5" thickBot="1" x14ac:dyDescent="0.3">
      <c r="A9" s="158"/>
      <c r="B9" s="96" t="s">
        <v>35</v>
      </c>
      <c r="C9" s="109">
        <f>+'C3312 - 2019'!F32</f>
        <v>254062436</v>
      </c>
      <c r="D9" s="110">
        <f>+'S9511 -2019 '!F22</f>
        <v>51414750</v>
      </c>
      <c r="E9" s="110">
        <f>+'J6209 -2019'!F32</f>
        <v>-47476911</v>
      </c>
      <c r="F9" s="99">
        <f>AVERAGE(C9:E9)</f>
        <v>86000091.666666672</v>
      </c>
      <c r="G9" s="99">
        <f>GEOMEAN(C9:D9)</f>
        <v>114291542.25633234</v>
      </c>
      <c r="H9" s="99">
        <f t="shared" ref="H9" si="5">AVERAGE(F9:G9)</f>
        <v>100145816.96149951</v>
      </c>
      <c r="I9" s="99">
        <f>+MEDIAN(C9:E9)</f>
        <v>51414750</v>
      </c>
      <c r="J9" s="99">
        <f>+MIN(C9:E9)</f>
        <v>-47476911</v>
      </c>
      <c r="K9" s="99">
        <f>+MAX(C9:E9)</f>
        <v>254062436</v>
      </c>
      <c r="L9" s="99">
        <f>+_xlfn.STDEV.P(C9:E9)</f>
        <v>125508575.6457745</v>
      </c>
      <c r="M9" s="99">
        <f t="shared" ref="M9" si="6">+I9-L9</f>
        <v>-74093825.645774499</v>
      </c>
      <c r="N9" s="99">
        <f t="shared" ref="N9" si="7">+I9+L9</f>
        <v>176923325.64577448</v>
      </c>
      <c r="O9" s="99">
        <f>L9-H9</f>
        <v>25362758.684274986</v>
      </c>
      <c r="P9" s="99">
        <f t="shared" ref="P9" si="8">H9+L9</f>
        <v>225654392.607274</v>
      </c>
      <c r="Q9" s="131">
        <f>+P9</f>
        <v>225654392.607274</v>
      </c>
      <c r="R9" s="95" t="s">
        <v>35</v>
      </c>
      <c r="S9" s="133">
        <f>+AVERAGE(Q9,Q17,Q25)</f>
        <v>288024964.85871458</v>
      </c>
    </row>
    <row r="10" spans="1:19" ht="16.5" thickBot="1" x14ac:dyDescent="0.3">
      <c r="A10" s="92"/>
      <c r="B10" s="167" t="s">
        <v>55</v>
      </c>
      <c r="C10" s="169"/>
      <c r="D10" s="169"/>
      <c r="E10" s="169"/>
      <c r="F10" s="169"/>
      <c r="G10" s="169"/>
      <c r="H10" s="169"/>
      <c r="I10" s="169"/>
      <c r="J10" s="169"/>
      <c r="K10" s="169"/>
      <c r="L10" s="169"/>
      <c r="M10" s="169"/>
      <c r="N10" s="169"/>
      <c r="O10" s="169"/>
      <c r="P10" s="169"/>
      <c r="Q10" s="169"/>
      <c r="R10" s="85" t="s">
        <v>89</v>
      </c>
      <c r="S10" s="125">
        <v>345000000</v>
      </c>
    </row>
    <row r="11" spans="1:19" ht="16.5" thickBot="1" x14ac:dyDescent="0.3">
      <c r="A11" s="159">
        <v>2019</v>
      </c>
      <c r="B11" s="71" t="s">
        <v>56</v>
      </c>
      <c r="C11" s="108">
        <f>+'C3312 - 2019'!F35</f>
        <v>0.74315543676934759</v>
      </c>
      <c r="D11" s="108">
        <f>+'S9511 -2019 '!F25</f>
        <v>11.171667816740438</v>
      </c>
      <c r="E11" s="108">
        <f>+'J6209 -2019'!F35</f>
        <v>-5.40438696313206</v>
      </c>
      <c r="F11" s="87">
        <f>AVERAGE(C11:E11)</f>
        <v>2.1701454301259084</v>
      </c>
      <c r="G11" s="86">
        <f>GEOMEAN(C11:D11)</f>
        <v>2.8813687156960328</v>
      </c>
      <c r="H11" s="86">
        <v>3.09</v>
      </c>
      <c r="I11" s="87">
        <f>+MEDIAN(C11:E11)</f>
        <v>0.74315543676934759</v>
      </c>
      <c r="J11" s="87">
        <f>+MIN(C11:E11)</f>
        <v>-5.40438696313206</v>
      </c>
      <c r="K11" s="87">
        <f>+MAX(C11:E11)</f>
        <v>11.171667816740438</v>
      </c>
      <c r="L11" s="86">
        <f>+_xlfn.STDEV.P(C11:E11)</f>
        <v>6.8419599213085283</v>
      </c>
      <c r="M11" s="86">
        <f t="shared" si="1"/>
        <v>-6.0988044845391807</v>
      </c>
      <c r="N11" s="86">
        <f t="shared" si="2"/>
        <v>7.5851153580778758</v>
      </c>
      <c r="O11" s="86">
        <f>L11 - H11</f>
        <v>3.7519599213085284</v>
      </c>
      <c r="P11" s="86">
        <f t="shared" si="4"/>
        <v>9.931959921308529</v>
      </c>
      <c r="Q11" s="88">
        <f>+G11</f>
        <v>2.8813687156960328</v>
      </c>
      <c r="R11" s="126" t="s">
        <v>52</v>
      </c>
      <c r="S11" s="127">
        <f>+S9/S10</f>
        <v>0.83485497060496983</v>
      </c>
    </row>
    <row r="12" spans="1:19" ht="16.5" thickBot="1" x14ac:dyDescent="0.3">
      <c r="A12" s="160"/>
      <c r="B12" s="72" t="s">
        <v>57</v>
      </c>
      <c r="C12" s="108">
        <f>+'C3312 - 2019'!F36</f>
        <v>2.953678013014057</v>
      </c>
      <c r="D12" s="108">
        <f>+'S9511 -2019 '!F26</f>
        <v>32.908716972902297</v>
      </c>
      <c r="E12" s="108"/>
      <c r="F12" s="89">
        <f>AVERAGE(C12:E12)</f>
        <v>17.931197492958177</v>
      </c>
      <c r="G12" s="89">
        <f>GEOMEAN(C12:D12)</f>
        <v>9.8590949766884801</v>
      </c>
      <c r="H12" s="89">
        <v>3.2666666666666671</v>
      </c>
      <c r="I12" s="90">
        <f>+MEDIAN(C12:E12)</f>
        <v>17.931197492958177</v>
      </c>
      <c r="J12" s="90">
        <f>+MIN(C12:E12)</f>
        <v>2.953678013014057</v>
      </c>
      <c r="K12" s="90">
        <f>+MAX(C12:E12)</f>
        <v>32.908716972902297</v>
      </c>
      <c r="L12" s="89">
        <f>+_xlfn.STDEV.P(C12:E12)</f>
        <v>14.977519479944121</v>
      </c>
      <c r="M12" s="89">
        <f t="shared" si="1"/>
        <v>2.9536780130140556</v>
      </c>
      <c r="N12" s="89">
        <f t="shared" si="2"/>
        <v>32.908716972902297</v>
      </c>
      <c r="O12" s="89">
        <f>L12-H12</f>
        <v>11.710852813277453</v>
      </c>
      <c r="P12" s="89">
        <f t="shared" si="4"/>
        <v>18.244186146610787</v>
      </c>
      <c r="Q12" s="88">
        <f>+I12</f>
        <v>17.931197492958177</v>
      </c>
    </row>
    <row r="13" spans="1:19" ht="16.5" thickBot="1" x14ac:dyDescent="0.3">
      <c r="B13" s="165" t="s">
        <v>53</v>
      </c>
      <c r="C13" s="171"/>
      <c r="D13" s="171"/>
      <c r="E13" s="171"/>
      <c r="F13" s="166"/>
      <c r="G13" s="166"/>
      <c r="H13" s="166"/>
      <c r="I13" s="166"/>
      <c r="J13" s="166"/>
      <c r="K13" s="166"/>
      <c r="L13" s="166"/>
      <c r="M13" s="166"/>
      <c r="N13" s="166"/>
      <c r="O13" s="166"/>
      <c r="P13" s="166"/>
      <c r="Q13" s="166"/>
    </row>
    <row r="14" spans="1:19" ht="32.25" thickBot="1" x14ac:dyDescent="0.3">
      <c r="A14" s="159">
        <v>2020</v>
      </c>
      <c r="B14" s="100" t="s">
        <v>19</v>
      </c>
      <c r="C14" s="105">
        <f>+'C3312 -2020'!F29</f>
        <v>1.553648056816765</v>
      </c>
      <c r="D14" s="106">
        <f>+'S9511 -2020'!F19</f>
        <v>1.225411740979869</v>
      </c>
      <c r="E14" s="106">
        <f>+'J6209 -2020'!F35</f>
        <v>1.0658499739718974</v>
      </c>
      <c r="F14" s="102">
        <f>AVERAGE(C14:E14)</f>
        <v>1.2816365905895106</v>
      </c>
      <c r="G14" s="89">
        <f>GEOMEAN(C14:E14)</f>
        <v>1.2660288062800018</v>
      </c>
      <c r="H14" s="89">
        <f t="shared" ref="H14:H16" si="9">AVERAGE(F14:G14)</f>
        <v>1.2738326984347563</v>
      </c>
      <c r="I14" s="90">
        <f>+MEDIAN(C14:E14)</f>
        <v>1.225411740979869</v>
      </c>
      <c r="J14" s="90">
        <f>+MIN(C14:E14)</f>
        <v>1.0658499739718974</v>
      </c>
      <c r="K14" s="90">
        <f>+MAX(C14:E14)</f>
        <v>1.553648056816765</v>
      </c>
      <c r="L14" s="89">
        <f>+_xlfn.STDEV.P(C14:E14)</f>
        <v>0.20307251199510265</v>
      </c>
      <c r="M14" s="89">
        <f>+I14-L14</f>
        <v>1.0223392289847664</v>
      </c>
      <c r="N14" s="89">
        <f>+I14+L14</f>
        <v>1.4284842529749717</v>
      </c>
      <c r="O14" s="89">
        <f>H14-L14</f>
        <v>1.0707601864396536</v>
      </c>
      <c r="P14" s="89">
        <f>H14+L14</f>
        <v>1.476905210429859</v>
      </c>
      <c r="Q14" s="91">
        <f>+P14</f>
        <v>1.476905210429859</v>
      </c>
      <c r="R14" s="83" t="s">
        <v>80</v>
      </c>
      <c r="S14" s="132">
        <f>AVERAGE(Q11,Q19,Q27)</f>
        <v>2.1172363144375712</v>
      </c>
    </row>
    <row r="15" spans="1:19" ht="32.25" thickBot="1" x14ac:dyDescent="0.3">
      <c r="A15" s="170"/>
      <c r="B15" s="101" t="s">
        <v>22</v>
      </c>
      <c r="C15" s="111">
        <f>+'C3312 -2020'!F30</f>
        <v>67.860307795749776</v>
      </c>
      <c r="D15" s="112">
        <f>+'S9511 -2020'!F20</f>
        <v>59.945505992614045</v>
      </c>
      <c r="E15" s="112">
        <f>+'J6209 -2020'!F36</f>
        <v>85.569158997983948</v>
      </c>
      <c r="F15" s="102">
        <f>AVERAGE(C15:E15)</f>
        <v>71.124990928782594</v>
      </c>
      <c r="G15" s="89">
        <f>GEOMEAN(C15:E15)</f>
        <v>70.34446101454094</v>
      </c>
      <c r="H15" s="89">
        <f t="shared" si="9"/>
        <v>70.73472597166176</v>
      </c>
      <c r="I15" s="90">
        <f>+MEDIAN(C15:E15)</f>
        <v>67.860307795749776</v>
      </c>
      <c r="J15" s="90">
        <f>+MIN(C15:E15)</f>
        <v>59.945505992614045</v>
      </c>
      <c r="K15" s="90">
        <f>+MAX(C15:E15)</f>
        <v>85.569158997983948</v>
      </c>
      <c r="L15" s="89">
        <f>+_xlfn.STDEV.P(C15:E15)</f>
        <v>10.712500962403118</v>
      </c>
      <c r="M15" s="89">
        <f t="shared" ref="M15:M16" si="10">+I15-L15</f>
        <v>57.147806833346657</v>
      </c>
      <c r="N15" s="89">
        <f t="shared" ref="N15:N16" si="11">+I15+L15</f>
        <v>78.572808758152888</v>
      </c>
      <c r="O15" s="89">
        <f t="shared" ref="O15" si="12">H15-L15</f>
        <v>60.022225009258641</v>
      </c>
      <c r="P15" s="89">
        <f t="shared" ref="P15:P16" si="13">H15+L15</f>
        <v>81.447226934064872</v>
      </c>
      <c r="Q15" s="91">
        <f>+M15</f>
        <v>57.147806833346657</v>
      </c>
      <c r="R15" s="84" t="s">
        <v>57</v>
      </c>
      <c r="S15" s="132">
        <f>AVERAGE(Q12,Q20,Q28)</f>
        <v>7.2361501237959942</v>
      </c>
    </row>
    <row r="16" spans="1:19" ht="16.5" thickBot="1" x14ac:dyDescent="0.3">
      <c r="A16" s="170"/>
      <c r="B16" s="101" t="s">
        <v>54</v>
      </c>
      <c r="C16" s="111"/>
      <c r="D16" s="112">
        <f>+'S9511 -2020'!F21</f>
        <v>18.54611320048679</v>
      </c>
      <c r="E16" s="112"/>
      <c r="F16" s="102">
        <f>AVERAGE(C16:E16)</f>
        <v>18.54611320048679</v>
      </c>
      <c r="G16" s="89">
        <f>GEOMEAN(D16)</f>
        <v>18.54611320048679</v>
      </c>
      <c r="H16" s="89">
        <f t="shared" si="9"/>
        <v>18.54611320048679</v>
      </c>
      <c r="I16" s="90">
        <f>+MEDIAN(C16:E16)</f>
        <v>18.54611320048679</v>
      </c>
      <c r="J16" s="90">
        <f>+MIN(C16:E16)</f>
        <v>18.54611320048679</v>
      </c>
      <c r="K16" s="90">
        <f>+MAX(C16:E16)</f>
        <v>18.54611320048679</v>
      </c>
      <c r="L16" s="89">
        <f>+_xlfn.STDEV.P(C16:E16)</f>
        <v>0</v>
      </c>
      <c r="M16" s="89">
        <f t="shared" si="10"/>
        <v>18.54611320048679</v>
      </c>
      <c r="N16" s="89">
        <f t="shared" si="11"/>
        <v>18.54611320048679</v>
      </c>
      <c r="O16" s="89">
        <f>L16-H16</f>
        <v>-18.54611320048679</v>
      </c>
      <c r="P16" s="89">
        <f t="shared" si="13"/>
        <v>18.54611320048679</v>
      </c>
      <c r="Q16" s="91">
        <f>+F16</f>
        <v>18.54611320048679</v>
      </c>
    </row>
    <row r="17" spans="1:19" ht="16.5" thickBot="1" x14ac:dyDescent="0.3">
      <c r="A17" s="160"/>
      <c r="B17" s="96" t="s">
        <v>35</v>
      </c>
      <c r="C17" s="117">
        <f>+'C3312 -2020'!F32</f>
        <v>294696921</v>
      </c>
      <c r="D17" s="118">
        <f>+'S9511 -2020'!F22</f>
        <v>42839954</v>
      </c>
      <c r="E17" s="118">
        <f>+'J6209 -2020'!F38</f>
        <v>101774847</v>
      </c>
      <c r="F17" s="115">
        <f>AVERAGE(C17:E17)</f>
        <v>146437240.66666666</v>
      </c>
      <c r="G17" s="99">
        <f>GEOMEAN(C17:E17)</f>
        <v>108714719.78392547</v>
      </c>
      <c r="H17" s="99">
        <f t="shared" ref="H17" si="14">AVERAGE(F17:G17)</f>
        <v>127575980.22529607</v>
      </c>
      <c r="I17" s="99">
        <f>+MEDIAN(C17:E17)</f>
        <v>101774847</v>
      </c>
      <c r="J17" s="99">
        <f>+MIN(C17:E17)</f>
        <v>42839954</v>
      </c>
      <c r="K17" s="99">
        <f>+MAX(C17:E17)</f>
        <v>294696921</v>
      </c>
      <c r="L17" s="99">
        <f>+_xlfn.STDEV.P(C17:E17)</f>
        <v>107560928.50918496</v>
      </c>
      <c r="M17" s="99">
        <f t="shared" ref="M17" si="15">+I17-L17</f>
        <v>-5786081.5091849566</v>
      </c>
      <c r="N17" s="99">
        <f t="shared" ref="N17" si="16">+I17+L17</f>
        <v>209335775.50918496</v>
      </c>
      <c r="O17" s="99">
        <f>L17-H17</f>
        <v>-20015051.716111109</v>
      </c>
      <c r="P17" s="99">
        <f t="shared" ref="P17" si="17">H17+L17</f>
        <v>235136908.73448104</v>
      </c>
      <c r="Q17" s="116">
        <f>+K17</f>
        <v>294696921</v>
      </c>
    </row>
    <row r="18" spans="1:19" ht="18" customHeight="1" thickBot="1" x14ac:dyDescent="0.3">
      <c r="B18" s="167" t="s">
        <v>55</v>
      </c>
      <c r="C18" s="168"/>
      <c r="D18" s="168"/>
      <c r="E18" s="168"/>
      <c r="F18" s="169"/>
      <c r="G18" s="169"/>
      <c r="H18" s="169"/>
      <c r="I18" s="169"/>
      <c r="J18" s="169"/>
      <c r="K18" s="169"/>
      <c r="L18" s="169"/>
      <c r="M18" s="169"/>
      <c r="N18" s="169"/>
      <c r="O18" s="169"/>
      <c r="P18" s="169"/>
      <c r="Q18" s="169"/>
    </row>
    <row r="19" spans="1:19" ht="16.5" thickBot="1" x14ac:dyDescent="0.3">
      <c r="A19" s="159">
        <v>2020</v>
      </c>
      <c r="B19" s="71" t="s">
        <v>56</v>
      </c>
      <c r="C19" s="108">
        <f>+'C3312 -2020'!F35</f>
        <v>0.73859239294776324</v>
      </c>
      <c r="D19" s="108">
        <f>+'S9511 -2020'!F25</f>
        <v>13.102657103558107</v>
      </c>
      <c r="E19" s="108">
        <f>+'J6209 -2020'!F41</f>
        <v>-3.4539567262686899</v>
      </c>
      <c r="F19" s="87">
        <f>AVERAGE(C19:E19)</f>
        <v>3.4624309234123936</v>
      </c>
      <c r="G19" s="86">
        <f>GEOMEAN(C19:D19)</f>
        <v>3.1108717209314483</v>
      </c>
      <c r="H19" s="86">
        <v>3.09</v>
      </c>
      <c r="I19" s="87">
        <f>+MEDIAN(C19:E19)</f>
        <v>0.73859239294776324</v>
      </c>
      <c r="J19" s="87">
        <f>+MIN(C19:E19)</f>
        <v>-3.4539567262686899</v>
      </c>
      <c r="K19" s="87">
        <f>+MAX(C19:E19)</f>
        <v>13.102657103558107</v>
      </c>
      <c r="L19" s="86">
        <f>+_xlfn.STDEV.P(C19:E19)</f>
        <v>7.0282685223097809</v>
      </c>
      <c r="M19" s="86">
        <f t="shared" ref="M19:M20" si="18">+I19-L19</f>
        <v>-6.289676129362018</v>
      </c>
      <c r="N19" s="86">
        <f t="shared" ref="N19:N20" si="19">+I19+L19</f>
        <v>7.7668609152575439</v>
      </c>
      <c r="O19" s="86">
        <f>L19 - H19</f>
        <v>3.9382685223097811</v>
      </c>
      <c r="P19" s="86">
        <f t="shared" ref="P19:P20" si="20">H19+L19</f>
        <v>10.11826852230978</v>
      </c>
      <c r="Q19" s="88">
        <f>+G19</f>
        <v>3.1108717209314483</v>
      </c>
      <c r="R19" s="134">
        <v>10800000</v>
      </c>
      <c r="S19" s="85">
        <f>+R19/6</f>
        <v>1800000</v>
      </c>
    </row>
    <row r="20" spans="1:19" ht="16.5" thickBot="1" x14ac:dyDescent="0.3">
      <c r="A20" s="160"/>
      <c r="B20" s="72" t="s">
        <v>57</v>
      </c>
      <c r="C20" s="108">
        <f>+'C3312 -2020'!F36</f>
        <v>2.2980692791142849</v>
      </c>
      <c r="D20" s="108">
        <f>+'S9511 -2020'!F26</f>
        <v>32.712077454135382</v>
      </c>
      <c r="E20" s="108">
        <f>+'J6209 -2020'!F42</f>
        <v>-23.934549107610266</v>
      </c>
      <c r="F20" s="89">
        <f>AVERAGE(C20:E20)</f>
        <v>3.6918658752131344</v>
      </c>
      <c r="G20" s="89">
        <f>GEOMEAN(C20:D20)</f>
        <v>8.6703298814610026</v>
      </c>
      <c r="H20" s="89">
        <v>3.2666666666666671</v>
      </c>
      <c r="I20" s="90">
        <f>+MEDIAN(C20:E20)</f>
        <v>2.2980692791142849</v>
      </c>
      <c r="J20" s="90">
        <f>+MIN(C20:E20)</f>
        <v>-23.934549107610266</v>
      </c>
      <c r="K20" s="90">
        <f>+MAX(C20:E20)</f>
        <v>32.712077454135382</v>
      </c>
      <c r="L20" s="89">
        <f>+_xlfn.STDEV.P(C20:E20)</f>
        <v>23.14687994698118</v>
      </c>
      <c r="M20" s="89">
        <f t="shared" si="18"/>
        <v>-20.848810667866896</v>
      </c>
      <c r="N20" s="89">
        <f t="shared" si="19"/>
        <v>25.444949226095464</v>
      </c>
      <c r="O20" s="89">
        <f>L20-H20</f>
        <v>19.880213280314514</v>
      </c>
      <c r="P20" s="89">
        <f t="shared" si="20"/>
        <v>26.413546613647846</v>
      </c>
      <c r="Q20" s="88">
        <f>+I20</f>
        <v>2.2980692791142849</v>
      </c>
    </row>
    <row r="21" spans="1:19" ht="16.5" thickBot="1" x14ac:dyDescent="0.3">
      <c r="B21" s="165" t="s">
        <v>53</v>
      </c>
      <c r="C21" s="171"/>
      <c r="D21" s="171"/>
      <c r="E21" s="171"/>
      <c r="F21" s="166"/>
      <c r="G21" s="166"/>
      <c r="H21" s="166"/>
      <c r="I21" s="166"/>
      <c r="J21" s="166"/>
      <c r="K21" s="166"/>
      <c r="L21" s="166"/>
      <c r="M21" s="166"/>
      <c r="N21" s="166"/>
      <c r="O21" s="166"/>
      <c r="P21" s="166"/>
      <c r="Q21" s="166"/>
    </row>
    <row r="22" spans="1:19" ht="16.5" thickBot="1" x14ac:dyDescent="0.3">
      <c r="A22" s="159">
        <v>2021</v>
      </c>
      <c r="B22" s="100" t="s">
        <v>19</v>
      </c>
      <c r="C22" s="105">
        <f>+'C3312 -2021'!F31</f>
        <v>1.5783777406169102</v>
      </c>
      <c r="D22" s="106">
        <f>+'S9511 -2021'!F15</f>
        <v>1.4406536587301935</v>
      </c>
      <c r="E22" s="106">
        <f>+'J6209-2021'!F35</f>
        <v>1.1511426839485064</v>
      </c>
      <c r="F22" s="102">
        <f>AVERAGE(C22:E22)</f>
        <v>1.3900580277652033</v>
      </c>
      <c r="G22" s="89">
        <f>GEOMEAN(C22:E22)</f>
        <v>1.3781608141193447</v>
      </c>
      <c r="H22" s="89">
        <f t="shared" ref="H22:H24" si="21">AVERAGE(F22:G22)</f>
        <v>1.384109420942274</v>
      </c>
      <c r="I22" s="90">
        <f>+MEDIAN(C22:E22)</f>
        <v>1.4406536587301935</v>
      </c>
      <c r="J22" s="90">
        <f>+MIN(C22:E22)</f>
        <v>1.1511426839485064</v>
      </c>
      <c r="K22" s="90">
        <f>+MAX(C22:E22)</f>
        <v>1.5783777406169102</v>
      </c>
      <c r="L22" s="89">
        <f>+_xlfn.STDEV.P(C22:E22)</f>
        <v>0.17804940665664079</v>
      </c>
      <c r="M22" s="89">
        <f>+I22-L22</f>
        <v>1.2626042520735528</v>
      </c>
      <c r="N22" s="89">
        <f>+I22+L22</f>
        <v>1.6187030653868342</v>
      </c>
      <c r="O22" s="89">
        <f>H22-L22</f>
        <v>1.2060600142856333</v>
      </c>
      <c r="P22" s="89">
        <f>H22+L22</f>
        <v>1.5621588275989147</v>
      </c>
      <c r="Q22" s="91">
        <f>+M22</f>
        <v>1.2626042520735528</v>
      </c>
    </row>
    <row r="23" spans="1:19" ht="16.5" thickBot="1" x14ac:dyDescent="0.3">
      <c r="A23" s="170"/>
      <c r="B23" s="101" t="s">
        <v>22</v>
      </c>
      <c r="C23" s="111">
        <f>+'C3312 -2021'!F32</f>
        <v>68.0613869185906</v>
      </c>
      <c r="D23" s="112">
        <f>+'S9511 -2021'!F16</f>
        <v>58.976261645017892</v>
      </c>
      <c r="E23" s="112">
        <f>+'J6209-2021'!F36</f>
        <v>79.216531733803492</v>
      </c>
      <c r="F23" s="102">
        <f>AVERAGE(C23:E23)</f>
        <v>68.751393432470664</v>
      </c>
      <c r="G23" s="89">
        <f>GEOMEAN(C23:E23)</f>
        <v>68.254499496478033</v>
      </c>
      <c r="H23" s="89">
        <f t="shared" si="21"/>
        <v>68.502946464474348</v>
      </c>
      <c r="I23" s="90">
        <f>+MEDIAN(C23:E23)</f>
        <v>68.0613869185906</v>
      </c>
      <c r="J23" s="90">
        <f>+MIN(C23:E23)</f>
        <v>58.976261645017892</v>
      </c>
      <c r="K23" s="90">
        <f>+MAX(C23:E23)</f>
        <v>79.216531733803492</v>
      </c>
      <c r="L23" s="89">
        <f>+_xlfn.STDEV.P(C23:E23)</f>
        <v>8.2774478779652334</v>
      </c>
      <c r="M23" s="89">
        <f t="shared" ref="M23:M24" si="22">+I23-L23</f>
        <v>59.78393904062537</v>
      </c>
      <c r="N23" s="89">
        <f t="shared" ref="N23:N24" si="23">+I23+L23</f>
        <v>76.33883479655583</v>
      </c>
      <c r="O23" s="89">
        <f t="shared" ref="O23" si="24">H23-L23</f>
        <v>60.225498586509119</v>
      </c>
      <c r="P23" s="89">
        <f t="shared" ref="P23:P24" si="25">H23+L23</f>
        <v>76.780394342439578</v>
      </c>
      <c r="Q23" s="91">
        <f>+J23</f>
        <v>58.976261645017892</v>
      </c>
    </row>
    <row r="24" spans="1:19" ht="16.5" thickBot="1" x14ac:dyDescent="0.3">
      <c r="A24" s="170"/>
      <c r="B24" s="101" t="s">
        <v>54</v>
      </c>
      <c r="C24" s="111">
        <f>+'C3312 -2021'!F33</f>
        <v>2.6093709485923275</v>
      </c>
      <c r="D24" s="112">
        <f>+'S9511 -2021'!F17</f>
        <v>1.3952775619256038E-2</v>
      </c>
      <c r="E24" s="112">
        <f>+'J6209-2021'!F37</f>
        <v>-25.0020133082051</v>
      </c>
      <c r="F24" s="102">
        <f>AVERAGE(C24:E24)</f>
        <v>-7.4595631946645051</v>
      </c>
      <c r="G24" s="89">
        <f>GEOMEAN(C24:D24)</f>
        <v>0.19080871927958121</v>
      </c>
      <c r="H24" s="89">
        <f t="shared" si="21"/>
        <v>-3.6343772376924619</v>
      </c>
      <c r="I24" s="90">
        <f>+MEDIAN(C24:E24)</f>
        <v>1.3952775619256038E-2</v>
      </c>
      <c r="J24" s="90">
        <f>+MIN(C24:E24)</f>
        <v>-25.0020133082051</v>
      </c>
      <c r="K24" s="90">
        <f>+MAX(C24:E24)</f>
        <v>2.6093709485923275</v>
      </c>
      <c r="L24" s="89">
        <f>+_xlfn.STDEV.P(C24:E24)</f>
        <v>12.449557311077237</v>
      </c>
      <c r="M24" s="89">
        <f t="shared" si="22"/>
        <v>-12.435604535457982</v>
      </c>
      <c r="N24" s="89">
        <f t="shared" si="23"/>
        <v>12.463510086696493</v>
      </c>
      <c r="O24" s="89">
        <f>L24-H24</f>
        <v>16.083934548769697</v>
      </c>
      <c r="P24" s="89">
        <f t="shared" si="25"/>
        <v>8.8151800733847754</v>
      </c>
      <c r="Q24" s="91">
        <f>+K24</f>
        <v>2.6093709485923275</v>
      </c>
    </row>
    <row r="25" spans="1:19" ht="16.5" thickBot="1" x14ac:dyDescent="0.3">
      <c r="A25" s="160"/>
      <c r="B25" s="96" t="s">
        <v>35</v>
      </c>
      <c r="C25" s="119">
        <f>'C3312 -2021'!F34</f>
        <v>401417707</v>
      </c>
      <c r="D25" s="119">
        <f>'S9511 -2021'!F18</f>
        <v>63439554</v>
      </c>
      <c r="E25" s="129">
        <f>'J6209-2021'!F38</f>
        <v>229321499</v>
      </c>
      <c r="F25" s="122">
        <f>AVERAGE(C25:E25)</f>
        <v>231392920</v>
      </c>
      <c r="G25" s="99">
        <f>GEOMEAN(C25:E25)</f>
        <v>180080687.33492482</v>
      </c>
      <c r="H25" s="123">
        <f>AVERAGE(F25:G25)</f>
        <v>205736803.66746241</v>
      </c>
      <c r="I25" s="122">
        <f>+MEDIAN(C25:E25)</f>
        <v>229321499</v>
      </c>
      <c r="J25" s="122">
        <f>+MIN(C25:E25)</f>
        <v>63439554</v>
      </c>
      <c r="K25" s="122">
        <f>+MAX(C25:E25)</f>
        <v>401417707</v>
      </c>
      <c r="L25" s="122">
        <f>+_xlfn.STDEV.P(C25:E25)</f>
        <v>137986777.3014074</v>
      </c>
      <c r="M25" s="122">
        <f>+L25-I25</f>
        <v>-91334721.698592603</v>
      </c>
      <c r="N25" s="122">
        <f>+I25+L25</f>
        <v>367308276.3014074</v>
      </c>
      <c r="O25" s="122">
        <f>L25-H25</f>
        <v>-67750026.366055012</v>
      </c>
      <c r="P25" s="115">
        <f>+H25+L25</f>
        <v>343723580.96886981</v>
      </c>
      <c r="Q25" s="116">
        <f>+P25</f>
        <v>343723580.96886981</v>
      </c>
    </row>
    <row r="26" spans="1:19" ht="18" customHeight="1" thickBot="1" x14ac:dyDescent="0.3">
      <c r="B26" s="167" t="s">
        <v>55</v>
      </c>
      <c r="C26" s="172"/>
      <c r="D26" s="172"/>
      <c r="E26" s="172"/>
      <c r="F26" s="169"/>
      <c r="G26" s="169"/>
      <c r="H26" s="169"/>
      <c r="I26" s="169"/>
      <c r="J26" s="169"/>
      <c r="K26" s="169"/>
      <c r="L26" s="169"/>
      <c r="M26" s="169"/>
      <c r="N26" s="169"/>
      <c r="O26" s="169"/>
      <c r="P26" s="169"/>
      <c r="Q26" s="169"/>
    </row>
    <row r="27" spans="1:19" ht="16.5" thickBot="1" x14ac:dyDescent="0.3">
      <c r="A27" s="159">
        <v>2021</v>
      </c>
      <c r="B27" s="100" t="s">
        <v>56</v>
      </c>
      <c r="C27" s="105">
        <f>+'C3312 -2021'!F37</f>
        <v>3.606914797279976</v>
      </c>
      <c r="D27" s="106">
        <f>+'S9511 -2021'!F21</f>
        <v>6.3687616871363204</v>
      </c>
      <c r="E27" s="106">
        <f>+'J6209-2021'!F41</f>
        <v>-1.4724817703053317</v>
      </c>
      <c r="F27" s="103">
        <f>AVERAGE(C27:E27)</f>
        <v>2.8343982380369881</v>
      </c>
      <c r="G27" s="86">
        <f>GEOMEAN(C27:D27)</f>
        <v>4.7928676979113227</v>
      </c>
      <c r="H27" s="86">
        <v>3.09</v>
      </c>
      <c r="I27" s="87">
        <f>+MEDIAN(C27:E27)</f>
        <v>3.606914797279976</v>
      </c>
      <c r="J27" s="87">
        <f>+MIN(C27:E27)</f>
        <v>-1.4724817703053317</v>
      </c>
      <c r="K27" s="87">
        <f>+MAX(C27:E27)</f>
        <v>6.3687616871363204</v>
      </c>
      <c r="L27" s="86">
        <f>+_xlfn.STDEV.P(C27:E27)</f>
        <v>3.2474462905947443</v>
      </c>
      <c r="M27" s="86">
        <f t="shared" ref="M27:M28" si="26">+I27-L27</f>
        <v>0.35946850668523167</v>
      </c>
      <c r="N27" s="86">
        <f t="shared" ref="N27:N28" si="27">+I27+L27</f>
        <v>6.8543610878747199</v>
      </c>
      <c r="O27" s="86">
        <f>L27 - H27</f>
        <v>0.15744629059474446</v>
      </c>
      <c r="P27" s="86">
        <f t="shared" ref="P27:P28" si="28">H27+L27</f>
        <v>6.3374462905947446</v>
      </c>
      <c r="Q27" s="88">
        <f>+M27</f>
        <v>0.35946850668523167</v>
      </c>
    </row>
    <row r="28" spans="1:19" ht="16.5" thickBot="1" x14ac:dyDescent="0.3">
      <c r="A28" s="160"/>
      <c r="B28" s="121" t="s">
        <v>57</v>
      </c>
      <c r="C28" s="113">
        <f>+'C3312 -2021'!F38</f>
        <v>11.29327309262362</v>
      </c>
      <c r="D28" s="114">
        <f>+'S9511 -2021'!F22</f>
        <v>15.524576604956991</v>
      </c>
      <c r="E28" s="114">
        <f>+'J6209-2021'!F42</f>
        <v>-7.0848702990552601</v>
      </c>
      <c r="F28" s="102">
        <f>AVERAGE(C28:E28)</f>
        <v>6.5776597995084503</v>
      </c>
      <c r="G28" s="89">
        <f>GEOMEAN(C28:D28)</f>
        <v>13.240969875622215</v>
      </c>
      <c r="H28" s="89">
        <v>3.2666666666666671</v>
      </c>
      <c r="I28" s="90">
        <f>+MEDIAN(C28:E28)</f>
        <v>11.29327309262362</v>
      </c>
      <c r="J28" s="90">
        <f>+MIN(C28:E28)</f>
        <v>-7.0848702990552601</v>
      </c>
      <c r="K28" s="90">
        <f>+MAX(C28:E28)</f>
        <v>15.524576604956991</v>
      </c>
      <c r="L28" s="89">
        <f>+_xlfn.STDEV.P(C28:E28)</f>
        <v>9.8140894933080993</v>
      </c>
      <c r="M28" s="89">
        <f t="shared" si="26"/>
        <v>1.4791835993155207</v>
      </c>
      <c r="N28" s="89">
        <f t="shared" si="27"/>
        <v>21.107362585931718</v>
      </c>
      <c r="O28" s="89">
        <f>L28-H28</f>
        <v>6.5474228266414318</v>
      </c>
      <c r="P28" s="89">
        <f t="shared" si="28"/>
        <v>13.080756159974767</v>
      </c>
      <c r="Q28" s="88">
        <f>+M28</f>
        <v>1.4791835993155207</v>
      </c>
    </row>
  </sheetData>
  <mergeCells count="14">
    <mergeCell ref="A6:A9"/>
    <mergeCell ref="A2:A3"/>
    <mergeCell ref="B2:Q3"/>
    <mergeCell ref="B5:Q5"/>
    <mergeCell ref="A27:A28"/>
    <mergeCell ref="B18:Q18"/>
    <mergeCell ref="A19:A20"/>
    <mergeCell ref="B10:Q10"/>
    <mergeCell ref="A11:A12"/>
    <mergeCell ref="A14:A17"/>
    <mergeCell ref="A22:A25"/>
    <mergeCell ref="B13:Q13"/>
    <mergeCell ref="B21:Q21"/>
    <mergeCell ref="B26:Q26"/>
  </mergeCells>
  <pageMargins left="0.7" right="0.7" top="1.3149999999999999" bottom="0.75" header="0.3" footer="0.3"/>
  <pageSetup paperSize="9" scale="33" orientation="portrait" verticalDpi="599" r:id="rId1"/>
  <colBreaks count="1" manualBreakCount="1">
    <brk id="9" max="1048575" man="1"/>
  </colBreaks>
  <ignoredErrors>
    <ignoredError sqref="G8 G16"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76B60-A69D-4D24-990D-FCDFBC3CD7F5}">
  <sheetPr>
    <tabColor rgb="FF00B050"/>
  </sheetPr>
  <dimension ref="B1:E12"/>
  <sheetViews>
    <sheetView tabSelected="1" topLeftCell="C1" workbookViewId="0">
      <selection activeCell="D12" sqref="D12"/>
    </sheetView>
  </sheetViews>
  <sheetFormatPr baseColWidth="10" defaultColWidth="11.42578125" defaultRowHeight="15" x14ac:dyDescent="0.25"/>
  <cols>
    <col min="1" max="1" width="11.42578125" style="27"/>
    <col min="2" max="2" width="16.28515625" style="27" customWidth="1"/>
    <col min="3" max="3" width="30.140625" style="27" customWidth="1"/>
    <col min="4" max="4" width="78.42578125" style="27" bestFit="1" customWidth="1"/>
    <col min="5" max="5" width="34.42578125" style="27" customWidth="1"/>
    <col min="6" max="16384" width="11.42578125" style="27"/>
  </cols>
  <sheetData>
    <row r="1" spans="2:5" ht="15.75" thickBot="1" x14ac:dyDescent="0.3"/>
    <row r="2" spans="2:5" ht="15.75" thickBot="1" x14ac:dyDescent="0.3">
      <c r="B2" s="173" t="s">
        <v>77</v>
      </c>
      <c r="C2" s="174"/>
      <c r="D2" s="174"/>
      <c r="E2" s="175"/>
    </row>
    <row r="3" spans="2:5" ht="15.75" thickBot="1" x14ac:dyDescent="0.3">
      <c r="B3" s="74" t="s">
        <v>59</v>
      </c>
      <c r="C3" s="74" t="s">
        <v>16</v>
      </c>
      <c r="D3" s="74" t="s">
        <v>60</v>
      </c>
      <c r="E3" s="74" t="s">
        <v>18</v>
      </c>
    </row>
    <row r="4" spans="2:5" ht="45.75" thickBot="1" x14ac:dyDescent="0.3">
      <c r="B4" s="75" t="s">
        <v>61</v>
      </c>
      <c r="C4" s="76" t="s">
        <v>78</v>
      </c>
      <c r="D4" s="77" t="s">
        <v>62</v>
      </c>
      <c r="E4" s="74" t="s">
        <v>140</v>
      </c>
    </row>
    <row r="5" spans="2:5" ht="45.75" thickBot="1" x14ac:dyDescent="0.3">
      <c r="B5" s="75" t="s">
        <v>63</v>
      </c>
      <c r="C5" s="76" t="s">
        <v>79</v>
      </c>
      <c r="D5" s="78" t="s">
        <v>64</v>
      </c>
      <c r="E5" s="74" t="s">
        <v>141</v>
      </c>
    </row>
    <row r="6" spans="2:5" ht="60.75" thickBot="1" x14ac:dyDescent="0.3">
      <c r="B6" s="75" t="s">
        <v>65</v>
      </c>
      <c r="C6" s="76" t="s">
        <v>66</v>
      </c>
      <c r="D6" s="79" t="s">
        <v>67</v>
      </c>
      <c r="E6" s="74" t="s">
        <v>142</v>
      </c>
    </row>
    <row r="7" spans="2:5" ht="90.75" thickBot="1" x14ac:dyDescent="0.3">
      <c r="B7" s="75" t="s">
        <v>90</v>
      </c>
      <c r="C7" s="76" t="s">
        <v>91</v>
      </c>
      <c r="D7" s="79" t="s">
        <v>92</v>
      </c>
      <c r="E7" s="74" t="s">
        <v>143</v>
      </c>
    </row>
    <row r="8" spans="2:5" ht="15.75" thickBot="1" x14ac:dyDescent="0.3"/>
    <row r="9" spans="2:5" ht="15.75" thickBot="1" x14ac:dyDescent="0.3">
      <c r="B9" s="173" t="s">
        <v>55</v>
      </c>
      <c r="C9" s="174"/>
      <c r="D9" s="174"/>
      <c r="E9" s="175"/>
    </row>
    <row r="10" spans="2:5" ht="30.75" thickBot="1" x14ac:dyDescent="0.3">
      <c r="B10" s="80" t="s">
        <v>41</v>
      </c>
      <c r="C10" s="80" t="s">
        <v>68</v>
      </c>
      <c r="D10" s="75" t="s">
        <v>69</v>
      </c>
      <c r="E10" s="75" t="s">
        <v>70</v>
      </c>
    </row>
    <row r="11" spans="2:5" ht="150.75" thickBot="1" x14ac:dyDescent="0.3">
      <c r="B11" s="75" t="s">
        <v>71</v>
      </c>
      <c r="C11" s="81" t="s">
        <v>144</v>
      </c>
      <c r="D11" s="76" t="s">
        <v>72</v>
      </c>
      <c r="E11" s="74" t="s">
        <v>73</v>
      </c>
    </row>
    <row r="12" spans="2:5" ht="150.75" thickBot="1" x14ac:dyDescent="0.3">
      <c r="B12" s="75" t="s">
        <v>74</v>
      </c>
      <c r="C12" s="81" t="s">
        <v>145</v>
      </c>
      <c r="D12" s="76" t="s">
        <v>75</v>
      </c>
      <c r="E12" s="82" t="s">
        <v>76</v>
      </c>
    </row>
  </sheetData>
  <mergeCells count="2">
    <mergeCell ref="B2:E2"/>
    <mergeCell ref="B9:E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C3312 - 2019</vt:lpstr>
      <vt:lpstr>S9511 -2019 </vt:lpstr>
      <vt:lpstr>J6209 -2019</vt:lpstr>
      <vt:lpstr>C3312 -2020</vt:lpstr>
      <vt:lpstr>S9511 -2020</vt:lpstr>
      <vt:lpstr>J6209 -2020</vt:lpstr>
      <vt:lpstr>C3312 -2021</vt:lpstr>
      <vt:lpstr>S9511 -2021</vt:lpstr>
      <vt:lpstr>J6209-2021</vt:lpstr>
      <vt:lpstr>ESTADISTICAS</vt:lpstr>
      <vt:lpstr>RESULTADO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Sergio Rivera Calderón</cp:lastModifiedBy>
  <cp:lastPrinted>2023-06-22T21:39:49Z</cp:lastPrinted>
  <dcterms:created xsi:type="dcterms:W3CDTF">2022-06-08T07:25:35Z</dcterms:created>
  <dcterms:modified xsi:type="dcterms:W3CDTF">2023-07-26T19:57:39Z</dcterms:modified>
</cp:coreProperties>
</file>