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YOLY.MURCIA.FAC\OneDrive - Fuerza Aerea\FAC 2023\PROCESOS 2023\MENOR CUANTIA\7. PROCESO No. 026- MANTENIMIENTO SHELTER\5. PROCESO DE ADJUDICACIÓN\"/>
    </mc:Choice>
  </mc:AlternateContent>
  <xr:revisionPtr revIDLastSave="8" documentId="13_ncr:1_{562E257D-301E-441E-A8EA-3D0A3E73D26F}" xr6:coauthVersionLast="36" xr6:coauthVersionMax="36" xr10:uidLastSave="{439796CA-A1A0-4630-803A-08CE7B4DE1F3}"/>
  <bookViews>
    <workbookView xWindow="0" yWindow="0" windowWidth="8100" windowHeight="10515" tabRatio="786" xr2:uid="{FD0CED50-2AB6-4C1B-A14C-F1865C14E280}"/>
  </bookViews>
  <sheets>
    <sheet name="VERIFICACIÓN ECONÓMICA" sheetId="1" r:id="rId1"/>
    <sheet name="ECONTAINERS S.A.S." sheetId="2" state="hidden" r:id="rId2"/>
    <sheet name="PROYECTOS Y SOLUCIONES EN INGEN" sheetId="3" state="hidden" r:id="rId3"/>
    <sheet name="CONSORCIO VENTURA" sheetId="4" state="hidden" r:id="rId4"/>
    <sheet name="FABIO GARZON DAZA" sheetId="5" state="hidden" r:id="rId5"/>
    <sheet name="SKYTECH S.A.S" sheetId="6" state="hidden" r:id="rId6"/>
  </sheets>
  <externalReferences>
    <externalReference r:id="rId7"/>
  </externalReferences>
  <definedNames>
    <definedName name="_xlnm._FilterDatabase" localSheetId="3" hidden="1">'CONSORCIO VENTURA'!$B$18:$H$18</definedName>
    <definedName name="_xlnm._FilterDatabase" localSheetId="1" hidden="1">'ECONTAINERS S.A.S.'!$B$18:$H$18</definedName>
    <definedName name="_xlnm._FilterDatabase" localSheetId="4" hidden="1">'FABIO GARZON DAZA'!$B$18:$H$18</definedName>
    <definedName name="_xlnm._FilterDatabase" localSheetId="2" hidden="1">'PROYECTOS Y SOLUCIONES EN INGEN'!$B$18:$H$18</definedName>
    <definedName name="_xlnm._FilterDatabase" localSheetId="5" hidden="1">'SKYTECH S.A.S'!$B$18:$H$18</definedName>
    <definedName name="_xlnm._FilterDatabase" localSheetId="0" hidden="1">'VERIFICACIÓN ECONÓMICA'!$A$5:$D$5</definedName>
    <definedName name="_xlnm.Print_Area" localSheetId="3">'CONSORCIO VENTURA'!$B$1:$H$138</definedName>
    <definedName name="_xlnm.Print_Area" localSheetId="1">'ECONTAINERS S.A.S.'!$B$1:$H$147</definedName>
    <definedName name="_xlnm.Print_Area" localSheetId="4">'FABIO GARZON DAZA'!$B$1:$H$138</definedName>
    <definedName name="_xlnm.Print_Area" localSheetId="2">'PROYECTOS Y SOLUCIONES EN INGEN'!$B$1:$H$152</definedName>
    <definedName name="_xlnm.Print_Area" localSheetId="5">'SKYTECH S.A.S'!$B$1:$H$138</definedName>
    <definedName name="_xlnm.Print_Area" localSheetId="0">'VERIFICACIÓN ECONÓMICA'!$A$1:$D$110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5" i="1" l="1"/>
  <c r="H124" i="1"/>
  <c r="H123" i="1"/>
  <c r="H122" i="1"/>
  <c r="J116" i="1" l="1"/>
  <c r="J118" i="1" s="1"/>
  <c r="G120" i="6" l="1"/>
  <c r="G119" i="6"/>
  <c r="G118" i="6"/>
  <c r="H117" i="6" s="1"/>
  <c r="H121" i="6" s="1"/>
  <c r="G106" i="6"/>
  <c r="H105" i="6"/>
  <c r="G104" i="6"/>
  <c r="H103" i="6" s="1"/>
  <c r="G102" i="6"/>
  <c r="H101" i="6"/>
  <c r="G100" i="6"/>
  <c r="G99" i="6"/>
  <c r="G98" i="6"/>
  <c r="H97" i="6"/>
  <c r="G96" i="6"/>
  <c r="H95" i="6" s="1"/>
  <c r="G94" i="6"/>
  <c r="H93" i="6"/>
  <c r="G90" i="6"/>
  <c r="H89" i="6"/>
  <c r="G88" i="6"/>
  <c r="G87" i="6"/>
  <c r="G86" i="6"/>
  <c r="H85" i="6" s="1"/>
  <c r="G84" i="6"/>
  <c r="G83" i="6"/>
  <c r="H82" i="6" s="1"/>
  <c r="G81" i="6"/>
  <c r="H80" i="6" s="1"/>
  <c r="G79" i="6"/>
  <c r="H75" i="6" s="1"/>
  <c r="G78" i="6"/>
  <c r="G77" i="6"/>
  <c r="G76" i="6"/>
  <c r="G74" i="6"/>
  <c r="H73" i="6"/>
  <c r="G72" i="6"/>
  <c r="G71" i="6"/>
  <c r="H70" i="6" s="1"/>
  <c r="G67" i="6"/>
  <c r="G66" i="6"/>
  <c r="H65" i="6"/>
  <c r="G64" i="6"/>
  <c r="H63" i="6"/>
  <c r="G62" i="6"/>
  <c r="G61" i="6"/>
  <c r="H60" i="6" s="1"/>
  <c r="G59" i="6"/>
  <c r="H58" i="6" s="1"/>
  <c r="G57" i="6"/>
  <c r="H56" i="6" s="1"/>
  <c r="G55" i="6"/>
  <c r="G54" i="6"/>
  <c r="G53" i="6"/>
  <c r="G52" i="6"/>
  <c r="H51" i="6" s="1"/>
  <c r="G50" i="6"/>
  <c r="H49" i="6"/>
  <c r="G48" i="6"/>
  <c r="H47" i="6"/>
  <c r="G46" i="6"/>
  <c r="G45" i="6"/>
  <c r="H44" i="6" s="1"/>
  <c r="H107" i="6" s="1"/>
  <c r="G30" i="6"/>
  <c r="H29" i="6" s="1"/>
  <c r="G28" i="6"/>
  <c r="H27" i="6"/>
  <c r="G26" i="6"/>
  <c r="H25" i="6"/>
  <c r="G24" i="6"/>
  <c r="G23" i="6"/>
  <c r="G22" i="6"/>
  <c r="G21" i="6"/>
  <c r="G20" i="6"/>
  <c r="G19" i="6"/>
  <c r="H18" i="6" s="1"/>
  <c r="D125" i="1"/>
  <c r="G120" i="5"/>
  <c r="G119" i="5"/>
  <c r="G118" i="5"/>
  <c r="H117" i="5"/>
  <c r="H121" i="5" s="1"/>
  <c r="G106" i="5"/>
  <c r="H105" i="5" s="1"/>
  <c r="G104" i="5"/>
  <c r="H103" i="5" s="1"/>
  <c r="G102" i="5"/>
  <c r="H101" i="5" s="1"/>
  <c r="G100" i="5"/>
  <c r="G99" i="5"/>
  <c r="G98" i="5"/>
  <c r="H97" i="5" s="1"/>
  <c r="G96" i="5"/>
  <c r="H95" i="5" s="1"/>
  <c r="G94" i="5"/>
  <c r="H93" i="5" s="1"/>
  <c r="G90" i="5"/>
  <c r="H89" i="5" s="1"/>
  <c r="G88" i="5"/>
  <c r="G87" i="5"/>
  <c r="G86" i="5"/>
  <c r="H85" i="5" s="1"/>
  <c r="G84" i="5"/>
  <c r="G83" i="5"/>
  <c r="H82" i="5"/>
  <c r="G81" i="5"/>
  <c r="H80" i="5"/>
  <c r="G79" i="5"/>
  <c r="G78" i="5"/>
  <c r="G77" i="5"/>
  <c r="G76" i="5"/>
  <c r="H75" i="5" s="1"/>
  <c r="G74" i="5"/>
  <c r="H73" i="5" s="1"/>
  <c r="G72" i="5"/>
  <c r="H70" i="5" s="1"/>
  <c r="G71" i="5"/>
  <c r="G67" i="5"/>
  <c r="G66" i="5"/>
  <c r="H65" i="5" s="1"/>
  <c r="G64" i="5"/>
  <c r="H63" i="5" s="1"/>
  <c r="G62" i="5"/>
  <c r="H60" i="5" s="1"/>
  <c r="G61" i="5"/>
  <c r="G59" i="5"/>
  <c r="H58" i="5"/>
  <c r="G57" i="5"/>
  <c r="H56" i="5"/>
  <c r="G55" i="5"/>
  <c r="G54" i="5"/>
  <c r="G53" i="5"/>
  <c r="G52" i="5"/>
  <c r="H51" i="5" s="1"/>
  <c r="G50" i="5"/>
  <c r="H49" i="5" s="1"/>
  <c r="G48" i="5"/>
  <c r="H47" i="5" s="1"/>
  <c r="G46" i="5"/>
  <c r="G45" i="5"/>
  <c r="H44" i="5" s="1"/>
  <c r="G30" i="5"/>
  <c r="H29" i="5" s="1"/>
  <c r="G28" i="5"/>
  <c r="H27" i="5" s="1"/>
  <c r="G26" i="5"/>
  <c r="H25" i="5" s="1"/>
  <c r="G24" i="5"/>
  <c r="H18" i="5" s="1"/>
  <c r="H31" i="5" s="1"/>
  <c r="G23" i="5"/>
  <c r="G22" i="5"/>
  <c r="G21" i="5"/>
  <c r="G20" i="5"/>
  <c r="G19" i="5"/>
  <c r="H110" i="6" l="1"/>
  <c r="H111" i="6" s="1"/>
  <c r="H109" i="6"/>
  <c r="H108" i="6"/>
  <c r="H112" i="6" s="1"/>
  <c r="H113" i="6" s="1"/>
  <c r="F132" i="6" s="1"/>
  <c r="H123" i="6"/>
  <c r="H122" i="6"/>
  <c r="H124" i="6"/>
  <c r="H125" i="6" s="1"/>
  <c r="H31" i="6"/>
  <c r="H34" i="5"/>
  <c r="H35" i="5" s="1"/>
  <c r="H33" i="5"/>
  <c r="H32" i="5"/>
  <c r="H107" i="5"/>
  <c r="H123" i="5"/>
  <c r="H122" i="5"/>
  <c r="H124" i="5"/>
  <c r="H125" i="5" s="1"/>
  <c r="H34" i="6" l="1"/>
  <c r="H35" i="6" s="1"/>
  <c r="H33" i="6"/>
  <c r="H32" i="6"/>
  <c r="H126" i="6"/>
  <c r="H127" i="6" s="1"/>
  <c r="F133" i="6" s="1"/>
  <c r="H126" i="5"/>
  <c r="H127" i="5" s="1"/>
  <c r="F133" i="5" s="1"/>
  <c r="H36" i="5"/>
  <c r="H37" i="5" s="1"/>
  <c r="F131" i="5" s="1"/>
  <c r="H110" i="5"/>
  <c r="H111" i="5" s="1"/>
  <c r="H109" i="5"/>
  <c r="H108" i="5"/>
  <c r="H112" i="5" s="1"/>
  <c r="H113" i="5" s="1"/>
  <c r="F132" i="5" s="1"/>
  <c r="H36" i="6" l="1"/>
  <c r="H37" i="6" s="1"/>
  <c r="F131" i="6" s="1"/>
  <c r="F137" i="6" s="1"/>
  <c r="F137" i="5"/>
  <c r="G102" i="1" l="1"/>
  <c r="F102" i="1"/>
  <c r="G101" i="1"/>
  <c r="H101" i="1" s="1"/>
  <c r="E101" i="1"/>
  <c r="F101" i="1" s="1"/>
  <c r="G100" i="1"/>
  <c r="E100" i="1"/>
  <c r="F100" i="1" s="1"/>
  <c r="E89" i="1"/>
  <c r="F89" i="1" s="1"/>
  <c r="G89" i="1"/>
  <c r="G87" i="1"/>
  <c r="E87" i="1"/>
  <c r="F87" i="1" s="1"/>
  <c r="G85" i="1"/>
  <c r="H85" i="1" s="1"/>
  <c r="E85" i="1"/>
  <c r="F85" i="1" s="1"/>
  <c r="G83" i="1"/>
  <c r="E83" i="1"/>
  <c r="F83" i="1" s="1"/>
  <c r="G82" i="1"/>
  <c r="E82" i="1"/>
  <c r="F82" i="1" s="1"/>
  <c r="G81" i="1"/>
  <c r="F81" i="1"/>
  <c r="G79" i="1"/>
  <c r="H79" i="1" s="1"/>
  <c r="F79" i="1"/>
  <c r="G77" i="1"/>
  <c r="E77" i="1"/>
  <c r="F77" i="1" s="1"/>
  <c r="G73" i="1"/>
  <c r="E73" i="1"/>
  <c r="F73" i="1" s="1"/>
  <c r="G71" i="1"/>
  <c r="E71" i="1"/>
  <c r="F71" i="1" s="1"/>
  <c r="G70" i="1"/>
  <c r="H70" i="1" s="1"/>
  <c r="E70" i="1"/>
  <c r="F70" i="1" s="1"/>
  <c r="G69" i="1"/>
  <c r="E69" i="1"/>
  <c r="F69" i="1" s="1"/>
  <c r="G67" i="1"/>
  <c r="E67" i="1"/>
  <c r="F67" i="1" s="1"/>
  <c r="G66" i="1"/>
  <c r="H66" i="1" s="1"/>
  <c r="E66" i="1"/>
  <c r="F66" i="1" s="1"/>
  <c r="G64" i="1"/>
  <c r="H64" i="1" s="1"/>
  <c r="E64" i="1"/>
  <c r="F64" i="1" s="1"/>
  <c r="G62" i="1"/>
  <c r="E62" i="1"/>
  <c r="F62" i="1" s="1"/>
  <c r="G61" i="1"/>
  <c r="E61" i="1"/>
  <c r="F61" i="1" s="1"/>
  <c r="G60" i="1"/>
  <c r="E60" i="1"/>
  <c r="F60" i="1" s="1"/>
  <c r="G59" i="1"/>
  <c r="H59" i="1" s="1"/>
  <c r="E59" i="1"/>
  <c r="F59" i="1" s="1"/>
  <c r="G57" i="1"/>
  <c r="E57" i="1"/>
  <c r="F57" i="1" s="1"/>
  <c r="G55" i="1"/>
  <c r="E55" i="1"/>
  <c r="F55" i="1" s="1"/>
  <c r="G54" i="1"/>
  <c r="E54" i="1"/>
  <c r="F54" i="1" s="1"/>
  <c r="G50" i="1"/>
  <c r="H50" i="1" s="1"/>
  <c r="E50" i="1"/>
  <c r="F50" i="1" s="1"/>
  <c r="G49" i="1"/>
  <c r="E49" i="1"/>
  <c r="F49" i="1" s="1"/>
  <c r="G47" i="1"/>
  <c r="E47" i="1"/>
  <c r="F47" i="1" s="1"/>
  <c r="G45" i="1"/>
  <c r="E45" i="1"/>
  <c r="F45" i="1" s="1"/>
  <c r="G44" i="1"/>
  <c r="H44" i="1" s="1"/>
  <c r="E44" i="1"/>
  <c r="F44" i="1" s="1"/>
  <c r="G42" i="1"/>
  <c r="E42" i="1"/>
  <c r="F42" i="1" s="1"/>
  <c r="G40" i="1"/>
  <c r="E40" i="1"/>
  <c r="F40" i="1" s="1"/>
  <c r="G38" i="1"/>
  <c r="E38" i="1"/>
  <c r="F38" i="1" s="1"/>
  <c r="G37" i="1"/>
  <c r="H37" i="1" s="1"/>
  <c r="E37" i="1"/>
  <c r="F37" i="1" s="1"/>
  <c r="G36" i="1"/>
  <c r="E36" i="1"/>
  <c r="F36" i="1" s="1"/>
  <c r="G35" i="1"/>
  <c r="E35" i="1"/>
  <c r="F35" i="1" s="1"/>
  <c r="G33" i="1"/>
  <c r="H33" i="1" s="1"/>
  <c r="F33" i="1"/>
  <c r="G31" i="1"/>
  <c r="H31" i="1" s="1"/>
  <c r="E31" i="1"/>
  <c r="F31" i="1" s="1"/>
  <c r="G29" i="1"/>
  <c r="E29" i="1"/>
  <c r="F29" i="1" s="1"/>
  <c r="G28" i="1"/>
  <c r="E28" i="1"/>
  <c r="F28" i="1" s="1"/>
  <c r="G17" i="1"/>
  <c r="H17" i="1" s="1"/>
  <c r="E17" i="1"/>
  <c r="F17" i="1" s="1"/>
  <c r="G15" i="1"/>
  <c r="E15" i="1"/>
  <c r="F15" i="1" s="1"/>
  <c r="G13" i="1"/>
  <c r="H13" i="1" s="1"/>
  <c r="F13" i="1"/>
  <c r="G11" i="1"/>
  <c r="E11" i="1"/>
  <c r="F11" i="1" s="1"/>
  <c r="G10" i="1"/>
  <c r="H10" i="1" s="1"/>
  <c r="E10" i="1"/>
  <c r="F10" i="1" s="1"/>
  <c r="G9" i="1"/>
  <c r="E9" i="1"/>
  <c r="F9" i="1" s="1"/>
  <c r="G8" i="1"/>
  <c r="E8" i="1"/>
  <c r="F8" i="1" s="1"/>
  <c r="G7" i="1"/>
  <c r="E7" i="1"/>
  <c r="F7" i="1" s="1"/>
  <c r="G6" i="1"/>
  <c r="E6" i="1"/>
  <c r="F6" i="1" s="1"/>
  <c r="E120" i="4"/>
  <c r="G120" i="4" s="1"/>
  <c r="E119" i="4"/>
  <c r="G119" i="4" s="1"/>
  <c r="G118" i="4"/>
  <c r="H117" i="4" s="1"/>
  <c r="H121" i="4" s="1"/>
  <c r="E118" i="4"/>
  <c r="G106" i="4"/>
  <c r="H105" i="4" s="1"/>
  <c r="E106" i="4"/>
  <c r="E105" i="4"/>
  <c r="E104" i="4"/>
  <c r="G104" i="4" s="1"/>
  <c r="H103" i="4" s="1"/>
  <c r="E103" i="4"/>
  <c r="G102" i="4"/>
  <c r="H101" i="4" s="1"/>
  <c r="E102" i="4"/>
  <c r="E101" i="4"/>
  <c r="E100" i="4"/>
  <c r="G100" i="4" s="1"/>
  <c r="G99" i="4"/>
  <c r="E99" i="4"/>
  <c r="G98" i="4"/>
  <c r="H97" i="4" s="1"/>
  <c r="E98" i="4"/>
  <c r="E97" i="4"/>
  <c r="E96" i="4"/>
  <c r="G96" i="4" s="1"/>
  <c r="H95" i="4" s="1"/>
  <c r="E95" i="4"/>
  <c r="G94" i="4"/>
  <c r="H93" i="4" s="1"/>
  <c r="E94" i="4"/>
  <c r="G90" i="4"/>
  <c r="H89" i="4" s="1"/>
  <c r="E90" i="4"/>
  <c r="E89" i="4"/>
  <c r="G88" i="4"/>
  <c r="E88" i="4"/>
  <c r="G87" i="4"/>
  <c r="E87" i="4"/>
  <c r="G86" i="4"/>
  <c r="H85" i="4" s="1"/>
  <c r="E86" i="4"/>
  <c r="E85" i="4"/>
  <c r="G84" i="4"/>
  <c r="H82" i="4" s="1"/>
  <c r="E84" i="4"/>
  <c r="G83" i="4"/>
  <c r="E83" i="4"/>
  <c r="E82" i="4"/>
  <c r="E81" i="4"/>
  <c r="G81" i="4" s="1"/>
  <c r="H80" i="4" s="1"/>
  <c r="E80" i="4"/>
  <c r="G79" i="4"/>
  <c r="E79" i="4"/>
  <c r="G78" i="4"/>
  <c r="E78" i="4"/>
  <c r="E77" i="4"/>
  <c r="G77" i="4" s="1"/>
  <c r="G76" i="4"/>
  <c r="H75" i="4" s="1"/>
  <c r="E76" i="4"/>
  <c r="E75" i="4"/>
  <c r="G74" i="4"/>
  <c r="H73" i="4" s="1"/>
  <c r="E74" i="4"/>
  <c r="E73" i="4"/>
  <c r="G72" i="4"/>
  <c r="H70" i="4" s="1"/>
  <c r="E72" i="4"/>
  <c r="G71" i="4"/>
  <c r="E71" i="4"/>
  <c r="E67" i="4"/>
  <c r="G67" i="4" s="1"/>
  <c r="G66" i="4"/>
  <c r="E66" i="4"/>
  <c r="E65" i="4"/>
  <c r="E64" i="4"/>
  <c r="G64" i="4" s="1"/>
  <c r="H63" i="4" s="1"/>
  <c r="E63" i="4"/>
  <c r="G62" i="4"/>
  <c r="E62" i="4"/>
  <c r="G61" i="4"/>
  <c r="H60" i="4" s="1"/>
  <c r="E61" i="4"/>
  <c r="E60" i="4"/>
  <c r="E59" i="4"/>
  <c r="G59" i="4" s="1"/>
  <c r="H58" i="4" s="1"/>
  <c r="E58" i="4"/>
  <c r="G57" i="4"/>
  <c r="H56" i="4" s="1"/>
  <c r="E57" i="4"/>
  <c r="E56" i="4"/>
  <c r="E55" i="4"/>
  <c r="G55" i="4" s="1"/>
  <c r="G54" i="4"/>
  <c r="E54" i="4"/>
  <c r="G53" i="4"/>
  <c r="E53" i="4"/>
  <c r="E52" i="4"/>
  <c r="G52" i="4" s="1"/>
  <c r="E51" i="4"/>
  <c r="G50" i="4"/>
  <c r="H49" i="4" s="1"/>
  <c r="E50" i="4"/>
  <c r="E49" i="4"/>
  <c r="E48" i="4"/>
  <c r="G48" i="4" s="1"/>
  <c r="H47" i="4" s="1"/>
  <c r="E47" i="4"/>
  <c r="G46" i="4"/>
  <c r="E46" i="4"/>
  <c r="G45" i="4"/>
  <c r="H44" i="4" s="1"/>
  <c r="E45" i="4"/>
  <c r="E30" i="4"/>
  <c r="G30" i="4" s="1"/>
  <c r="H29" i="4" s="1"/>
  <c r="E29" i="4"/>
  <c r="G28" i="4"/>
  <c r="H27" i="4" s="1"/>
  <c r="E28" i="4"/>
  <c r="E27" i="4"/>
  <c r="E26" i="4"/>
  <c r="G26" i="4" s="1"/>
  <c r="H25" i="4" s="1"/>
  <c r="E25" i="4"/>
  <c r="G24" i="4"/>
  <c r="E24" i="4"/>
  <c r="G23" i="4"/>
  <c r="E23" i="4"/>
  <c r="E22" i="4"/>
  <c r="G22" i="4" s="1"/>
  <c r="E21" i="4"/>
  <c r="G21" i="4" s="1"/>
  <c r="G20" i="4"/>
  <c r="E20" i="4"/>
  <c r="G19" i="4"/>
  <c r="H18" i="4" s="1"/>
  <c r="E19" i="4"/>
  <c r="H38" i="1" l="1"/>
  <c r="H60" i="1"/>
  <c r="H71" i="1"/>
  <c r="H45" i="1"/>
  <c r="H81" i="1"/>
  <c r="H40" i="1"/>
  <c r="H47" i="1"/>
  <c r="H55" i="1"/>
  <c r="H61" i="1"/>
  <c r="H67" i="1"/>
  <c r="H73" i="1"/>
  <c r="H82" i="1"/>
  <c r="H35" i="1"/>
  <c r="H11" i="1"/>
  <c r="H7" i="1"/>
  <c r="H87" i="1"/>
  <c r="H102" i="1"/>
  <c r="H49" i="1"/>
  <c r="H83" i="1"/>
  <c r="H42" i="1"/>
  <c r="H15" i="1"/>
  <c r="H69" i="1"/>
  <c r="H29" i="1"/>
  <c r="H62" i="1"/>
  <c r="H9" i="1"/>
  <c r="H36" i="1"/>
  <c r="H57" i="1"/>
  <c r="H8" i="1"/>
  <c r="H100" i="1"/>
  <c r="H89" i="1"/>
  <c r="H77" i="1"/>
  <c r="H54" i="1"/>
  <c r="H28" i="1"/>
  <c r="H6" i="1"/>
  <c r="H65" i="4"/>
  <c r="H123" i="4"/>
  <c r="H122" i="4"/>
  <c r="H124" i="4"/>
  <c r="H125" i="4" s="1"/>
  <c r="H31" i="4"/>
  <c r="H51" i="4"/>
  <c r="H107" i="4" s="1"/>
  <c r="H103" i="1" l="1"/>
  <c r="H105" i="1" s="1"/>
  <c r="H18" i="1"/>
  <c r="H21" i="1" s="1"/>
  <c r="H22" i="1" s="1"/>
  <c r="H90" i="1"/>
  <c r="H91" i="1" s="1"/>
  <c r="H110" i="4"/>
  <c r="H111" i="4" s="1"/>
  <c r="H109" i="4"/>
  <c r="H108" i="4"/>
  <c r="H112" i="4" s="1"/>
  <c r="H113" i="4" s="1"/>
  <c r="F132" i="4" s="1"/>
  <c r="H33" i="4"/>
  <c r="H32" i="4"/>
  <c r="H34" i="4"/>
  <c r="H35" i="4" s="1"/>
  <c r="H126" i="4"/>
  <c r="H127" i="4" s="1"/>
  <c r="F133" i="4" s="1"/>
  <c r="H104" i="1" l="1"/>
  <c r="H106" i="1"/>
  <c r="H107" i="1" s="1"/>
  <c r="H19" i="1"/>
  <c r="H20" i="1"/>
  <c r="H93" i="1"/>
  <c r="H94" i="1" s="1"/>
  <c r="H92" i="1"/>
  <c r="H36" i="4"/>
  <c r="H37" i="4" s="1"/>
  <c r="F131" i="4" s="1"/>
  <c r="F137" i="4" s="1"/>
  <c r="H108" i="1" l="1"/>
  <c r="H109" i="1" s="1"/>
  <c r="H23" i="1"/>
  <c r="H24" i="1" s="1"/>
  <c r="H95" i="1"/>
  <c r="H96" i="1" s="1"/>
  <c r="J120" i="3"/>
  <c r="K120" i="3" s="1"/>
  <c r="G120" i="3"/>
  <c r="J119" i="3"/>
  <c r="K119" i="3" s="1"/>
  <c r="G119" i="3"/>
  <c r="H117" i="3" s="1"/>
  <c r="H121" i="3" s="1"/>
  <c r="K118" i="3"/>
  <c r="J118" i="3"/>
  <c r="G118" i="3"/>
  <c r="J115" i="3"/>
  <c r="K115" i="3" s="1"/>
  <c r="J114" i="3"/>
  <c r="K114" i="3" s="1"/>
  <c r="K113" i="3"/>
  <c r="J113" i="3"/>
  <c r="K112" i="3"/>
  <c r="J112" i="3"/>
  <c r="J111" i="3"/>
  <c r="K111" i="3" s="1"/>
  <c r="J110" i="3"/>
  <c r="K110" i="3" s="1"/>
  <c r="J109" i="3"/>
  <c r="K109" i="3" s="1"/>
  <c r="J108" i="3"/>
  <c r="K108" i="3" s="1"/>
  <c r="J107" i="3"/>
  <c r="K107" i="3" s="1"/>
  <c r="J106" i="3"/>
  <c r="K106" i="3" s="1"/>
  <c r="G106" i="3"/>
  <c r="H105" i="3" s="1"/>
  <c r="K105" i="3"/>
  <c r="J105" i="3"/>
  <c r="K104" i="3"/>
  <c r="J104" i="3"/>
  <c r="G104" i="3"/>
  <c r="J103" i="3"/>
  <c r="K103" i="3" s="1"/>
  <c r="H103" i="3"/>
  <c r="J102" i="3"/>
  <c r="K102" i="3" s="1"/>
  <c r="G102" i="3"/>
  <c r="H101" i="3" s="1"/>
  <c r="K101" i="3"/>
  <c r="J101" i="3"/>
  <c r="J100" i="3"/>
  <c r="K100" i="3" s="1"/>
  <c r="G100" i="3"/>
  <c r="J99" i="3"/>
  <c r="K99" i="3" s="1"/>
  <c r="G99" i="3"/>
  <c r="J98" i="3"/>
  <c r="K98" i="3" s="1"/>
  <c r="G98" i="3"/>
  <c r="H97" i="3" s="1"/>
  <c r="K97" i="3"/>
  <c r="J97" i="3"/>
  <c r="K96" i="3"/>
  <c r="J96" i="3"/>
  <c r="G96" i="3"/>
  <c r="J95" i="3"/>
  <c r="K95" i="3" s="1"/>
  <c r="H95" i="3"/>
  <c r="J94" i="3"/>
  <c r="K94" i="3" s="1"/>
  <c r="G94" i="3"/>
  <c r="H93" i="3" s="1"/>
  <c r="K93" i="3"/>
  <c r="J93" i="3"/>
  <c r="J91" i="3"/>
  <c r="K91" i="3" s="1"/>
  <c r="J90" i="3"/>
  <c r="K90" i="3" s="1"/>
  <c r="G90" i="3"/>
  <c r="H89" i="3" s="1"/>
  <c r="K89" i="3"/>
  <c r="J89" i="3"/>
  <c r="J88" i="3"/>
  <c r="K88" i="3" s="1"/>
  <c r="G88" i="3"/>
  <c r="J87" i="3"/>
  <c r="K87" i="3" s="1"/>
  <c r="G87" i="3"/>
  <c r="J86" i="3"/>
  <c r="K86" i="3" s="1"/>
  <c r="G86" i="3"/>
  <c r="H85" i="3" s="1"/>
  <c r="K85" i="3"/>
  <c r="J85" i="3"/>
  <c r="K84" i="3"/>
  <c r="J84" i="3"/>
  <c r="G84" i="3"/>
  <c r="J83" i="3"/>
  <c r="K83" i="3" s="1"/>
  <c r="G83" i="3"/>
  <c r="H82" i="3" s="1"/>
  <c r="J82" i="3"/>
  <c r="K82" i="3" s="1"/>
  <c r="K81" i="3"/>
  <c r="J81" i="3"/>
  <c r="G81" i="3"/>
  <c r="J80" i="3"/>
  <c r="K80" i="3" s="1"/>
  <c r="H80" i="3"/>
  <c r="J79" i="3"/>
  <c r="K79" i="3" s="1"/>
  <c r="G79" i="3"/>
  <c r="J78" i="3"/>
  <c r="K78" i="3" s="1"/>
  <c r="G78" i="3"/>
  <c r="K77" i="3"/>
  <c r="J77" i="3"/>
  <c r="G77" i="3"/>
  <c r="K76" i="3"/>
  <c r="J76" i="3"/>
  <c r="G76" i="3"/>
  <c r="J75" i="3"/>
  <c r="K75" i="3" s="1"/>
  <c r="H75" i="3"/>
  <c r="J74" i="3"/>
  <c r="K74" i="3" s="1"/>
  <c r="G74" i="3"/>
  <c r="H73" i="3" s="1"/>
  <c r="K73" i="3"/>
  <c r="J73" i="3"/>
  <c r="J72" i="3"/>
  <c r="K72" i="3" s="1"/>
  <c r="G72" i="3"/>
  <c r="J71" i="3"/>
  <c r="K71" i="3" s="1"/>
  <c r="G71" i="3"/>
  <c r="H70" i="3" s="1"/>
  <c r="J68" i="3"/>
  <c r="K68" i="3" s="1"/>
  <c r="K67" i="3"/>
  <c r="J67" i="3"/>
  <c r="G67" i="3"/>
  <c r="K66" i="3"/>
  <c r="J66" i="3"/>
  <c r="G66" i="3"/>
  <c r="J65" i="3"/>
  <c r="K65" i="3" s="1"/>
  <c r="H65" i="3"/>
  <c r="J64" i="3"/>
  <c r="K64" i="3" s="1"/>
  <c r="G64" i="3"/>
  <c r="H63" i="3" s="1"/>
  <c r="K63" i="3"/>
  <c r="J63" i="3"/>
  <c r="J62" i="3"/>
  <c r="K62" i="3" s="1"/>
  <c r="G62" i="3"/>
  <c r="J61" i="3"/>
  <c r="K61" i="3" s="1"/>
  <c r="G61" i="3"/>
  <c r="J60" i="3"/>
  <c r="K60" i="3" s="1"/>
  <c r="H60" i="3"/>
  <c r="K59" i="3"/>
  <c r="J59" i="3"/>
  <c r="G59" i="3"/>
  <c r="H58" i="3" s="1"/>
  <c r="K58" i="3"/>
  <c r="J58" i="3"/>
  <c r="J57" i="3"/>
  <c r="K57" i="3" s="1"/>
  <c r="G57" i="3"/>
  <c r="H56" i="3" s="1"/>
  <c r="J56" i="3"/>
  <c r="K56" i="3" s="1"/>
  <c r="K55" i="3"/>
  <c r="J55" i="3"/>
  <c r="G55" i="3"/>
  <c r="J54" i="3"/>
  <c r="K54" i="3" s="1"/>
  <c r="G54" i="3"/>
  <c r="J53" i="3"/>
  <c r="K53" i="3" s="1"/>
  <c r="G53" i="3"/>
  <c r="J52" i="3"/>
  <c r="K52" i="3" s="1"/>
  <c r="G52" i="3"/>
  <c r="H51" i="3" s="1"/>
  <c r="K51" i="3"/>
  <c r="J51" i="3"/>
  <c r="K50" i="3"/>
  <c r="J50" i="3"/>
  <c r="G50" i="3"/>
  <c r="J49" i="3"/>
  <c r="K49" i="3" s="1"/>
  <c r="H49" i="3"/>
  <c r="J48" i="3"/>
  <c r="K48" i="3" s="1"/>
  <c r="G48" i="3"/>
  <c r="H47" i="3" s="1"/>
  <c r="K47" i="3"/>
  <c r="J47" i="3"/>
  <c r="J46" i="3"/>
  <c r="K46" i="3" s="1"/>
  <c r="G46" i="3"/>
  <c r="J45" i="3"/>
  <c r="K45" i="3" s="1"/>
  <c r="G45" i="3"/>
  <c r="H44" i="3" s="1"/>
  <c r="J42" i="3"/>
  <c r="K42" i="3" s="1"/>
  <c r="K41" i="3"/>
  <c r="J41" i="3"/>
  <c r="J40" i="3"/>
  <c r="K40" i="3" s="1"/>
  <c r="J39" i="3"/>
  <c r="K39" i="3" s="1"/>
  <c r="J38" i="3"/>
  <c r="K38" i="3" s="1"/>
  <c r="K37" i="3"/>
  <c r="J37" i="3"/>
  <c r="K36" i="3"/>
  <c r="J36" i="3"/>
  <c r="J35" i="3"/>
  <c r="K35" i="3" s="1"/>
  <c r="J34" i="3"/>
  <c r="K34" i="3" s="1"/>
  <c r="J33" i="3"/>
  <c r="K33" i="3" s="1"/>
  <c r="J32" i="3"/>
  <c r="K32" i="3" s="1"/>
  <c r="J31" i="3"/>
  <c r="K31" i="3" s="1"/>
  <c r="J30" i="3"/>
  <c r="K30" i="3" s="1"/>
  <c r="G30" i="3"/>
  <c r="H29" i="3" s="1"/>
  <c r="K29" i="3"/>
  <c r="J29" i="3"/>
  <c r="K28" i="3"/>
  <c r="J28" i="3"/>
  <c r="G28" i="3"/>
  <c r="J27" i="3"/>
  <c r="K27" i="3" s="1"/>
  <c r="H27" i="3"/>
  <c r="J26" i="3"/>
  <c r="K26" i="3" s="1"/>
  <c r="G26" i="3"/>
  <c r="H25" i="3" s="1"/>
  <c r="J25" i="3"/>
  <c r="K25" i="3" s="1"/>
  <c r="J24" i="3"/>
  <c r="K24" i="3" s="1"/>
  <c r="G24" i="3"/>
  <c r="J23" i="3"/>
  <c r="K23" i="3" s="1"/>
  <c r="G23" i="3"/>
  <c r="J22" i="3"/>
  <c r="K22" i="3" s="1"/>
  <c r="G22" i="3"/>
  <c r="K21" i="3"/>
  <c r="J21" i="3"/>
  <c r="G21" i="3"/>
  <c r="K20" i="3"/>
  <c r="J20" i="3"/>
  <c r="G20" i="3"/>
  <c r="J19" i="3"/>
  <c r="K19" i="3" s="1"/>
  <c r="G19" i="3"/>
  <c r="H18" i="3" s="1"/>
  <c r="H31" i="3" l="1"/>
  <c r="H107" i="3"/>
  <c r="H124" i="3"/>
  <c r="H125" i="3" s="1"/>
  <c r="H122" i="3"/>
  <c r="H123" i="3"/>
  <c r="K121" i="3"/>
  <c r="K124" i="3" l="1"/>
  <c r="K125" i="3" s="1"/>
  <c r="K123" i="3"/>
  <c r="K122" i="3"/>
  <c r="H126" i="3"/>
  <c r="H127" i="3" s="1"/>
  <c r="F133" i="3" s="1"/>
  <c r="H108" i="3"/>
  <c r="H110" i="3"/>
  <c r="H111" i="3" s="1"/>
  <c r="H109" i="3"/>
  <c r="H32" i="3"/>
  <c r="H36" i="3" s="1"/>
  <c r="H37" i="3" s="1"/>
  <c r="F131" i="3" s="1"/>
  <c r="H34" i="3"/>
  <c r="H35" i="3" s="1"/>
  <c r="H33" i="3"/>
  <c r="K126" i="3" l="1"/>
  <c r="K127" i="3" s="1"/>
  <c r="K130" i="3" s="1"/>
  <c r="H112" i="3"/>
  <c r="H113" i="3" s="1"/>
  <c r="F132" i="3" s="1"/>
  <c r="F137" i="3" s="1"/>
  <c r="K136" i="3" s="1"/>
  <c r="G120" i="2" l="1"/>
  <c r="G119" i="2"/>
  <c r="G118" i="2"/>
  <c r="H117" i="2"/>
  <c r="H121" i="2" s="1"/>
  <c r="G106" i="2"/>
  <c r="H105" i="2" s="1"/>
  <c r="G104" i="2"/>
  <c r="H103" i="2" s="1"/>
  <c r="G102" i="2"/>
  <c r="H101" i="2" s="1"/>
  <c r="G100" i="2"/>
  <c r="G99" i="2"/>
  <c r="G98" i="2"/>
  <c r="H97" i="2" s="1"/>
  <c r="G96" i="2"/>
  <c r="H95" i="2" s="1"/>
  <c r="G94" i="2"/>
  <c r="H93" i="2"/>
  <c r="G90" i="2"/>
  <c r="H89" i="2" s="1"/>
  <c r="G88" i="2"/>
  <c r="G87" i="2"/>
  <c r="G86" i="2"/>
  <c r="H85" i="2" s="1"/>
  <c r="G84" i="2"/>
  <c r="G83" i="2"/>
  <c r="H82" i="2"/>
  <c r="G81" i="2"/>
  <c r="H80" i="2"/>
  <c r="G79" i="2"/>
  <c r="G78" i="2"/>
  <c r="G77" i="2"/>
  <c r="H75" i="2" s="1"/>
  <c r="G76" i="2"/>
  <c r="G74" i="2"/>
  <c r="H73" i="2" s="1"/>
  <c r="G72" i="2"/>
  <c r="G71" i="2"/>
  <c r="H70" i="2"/>
  <c r="G67" i="2"/>
  <c r="H65" i="2" s="1"/>
  <c r="G66" i="2"/>
  <c r="G64" i="2"/>
  <c r="H63" i="2" s="1"/>
  <c r="G62" i="2"/>
  <c r="G61" i="2"/>
  <c r="H60" i="2"/>
  <c r="G59" i="2"/>
  <c r="H58" i="2" s="1"/>
  <c r="G57" i="2"/>
  <c r="H56" i="2"/>
  <c r="G55" i="2"/>
  <c r="G54" i="2"/>
  <c r="G53" i="2"/>
  <c r="G52" i="2"/>
  <c r="H51" i="2" s="1"/>
  <c r="G50" i="2"/>
  <c r="H49" i="2"/>
  <c r="G48" i="2"/>
  <c r="H47" i="2" s="1"/>
  <c r="G46" i="2"/>
  <c r="G45" i="2"/>
  <c r="H44" i="2"/>
  <c r="H107" i="2" s="1"/>
  <c r="F32" i="2"/>
  <c r="G30" i="2"/>
  <c r="H29" i="2" s="1"/>
  <c r="G28" i="2"/>
  <c r="H27" i="2"/>
  <c r="G26" i="2"/>
  <c r="H25" i="2"/>
  <c r="G24" i="2"/>
  <c r="G23" i="2"/>
  <c r="G22" i="2"/>
  <c r="G21" i="2"/>
  <c r="G20" i="2"/>
  <c r="G19" i="2"/>
  <c r="H18" i="2" s="1"/>
  <c r="H110" i="2" l="1"/>
  <c r="H111" i="2" s="1"/>
  <c r="H109" i="2"/>
  <c r="H108" i="2"/>
  <c r="H31" i="2"/>
  <c r="H123" i="2"/>
  <c r="H122" i="2"/>
  <c r="H124" i="2"/>
  <c r="H125" i="2" s="1"/>
  <c r="H126" i="2" l="1"/>
  <c r="H127" i="2" s="1"/>
  <c r="F133" i="2" s="1"/>
  <c r="H34" i="2"/>
  <c r="H35" i="2" s="1"/>
  <c r="H32" i="2"/>
  <c r="H36" i="2" s="1"/>
  <c r="H37" i="2" s="1"/>
  <c r="F131" i="2" s="1"/>
  <c r="H33" i="2"/>
  <c r="H112" i="2"/>
  <c r="H113" i="2" s="1"/>
  <c r="F132" i="2" s="1"/>
  <c r="F137" i="2" l="1"/>
  <c r="D19" i="1" l="1"/>
</calcChain>
</file>

<file path=xl/sharedStrings.xml><?xml version="1.0" encoding="utf-8"?>
<sst xmlns="http://schemas.openxmlformats.org/spreadsheetml/2006/main" count="1311" uniqueCount="102">
  <si>
    <t>OBJETO:</t>
  </si>
  <si>
    <t>MANTENIMIENTO PREVENTIVO Y CORRECTIVO Y ADECUACIÓN A TODO COSTO DE LOS
CONTENEDORES (SHELTERS) DE LA FTC OMEGA - PAC RADAR DE SAN JOSE DEL GUAVIARE Y TORRE RADAR DE CONFORMIDAD CON LAS ESPECIFICACIONES TECNICAS.</t>
  </si>
  <si>
    <t>MANTENIMIENTO Y ADECUACION SHELTERS OMEGA $ 30.000.000,00</t>
  </si>
  <si>
    <t>ÍTEM</t>
  </si>
  <si>
    <t>ACTIVIDAD</t>
  </si>
  <si>
    <t>UND</t>
  </si>
  <si>
    <t>VALOR UNITARIO</t>
  </si>
  <si>
    <t>CANTIDAD</t>
  </si>
  <si>
    <t>VALOR PARCIAL</t>
  </si>
  <si>
    <t>VALOR TOTAL</t>
  </si>
  <si>
    <t>PRELIMINARES</t>
  </si>
  <si>
    <t>REMOCIÓN (DEMOLICIÓN) DE ACABADO DE PISO Y PAREDES, INCLUYE RETIRO</t>
  </si>
  <si>
    <t>M²</t>
  </si>
  <si>
    <t>DESMONTE DE PUERTAS INCLUYE EL MARCO Y TAPA LUCES, INCLUYE RETIRO</t>
  </si>
  <si>
    <t>Un</t>
  </si>
  <si>
    <t>DESMONTE DE APARATOS SANITARIOS Y DIVISIONES DE DUCHAS Y SANITARIOS.</t>
  </si>
  <si>
    <t xml:space="preserve">DESMONTE DE CIELO RASO, INCLUYE DESMONTE DE ESTRUCTURA Y RETIRO </t>
  </si>
  <si>
    <t>DESMONTE DE ESPEJOS, INCLUYE RETIRO</t>
  </si>
  <si>
    <t>UN</t>
  </si>
  <si>
    <t xml:space="preserve">ESCARIFICACIÓN Y RETIRO DE PAÑETE </t>
  </si>
  <si>
    <t>ESTRUCTURA METALICA</t>
  </si>
  <si>
    <t xml:space="preserve">LIMPIEZA MANUAL-MECÁNICA TIPO SSPC SP2 Y SSPC SP3 PARA PASARELA METÁLICA TORRE RADAR - ESTRUCTURA METALICA DE CONTENEDORES. INCLUYE SISTEMA DE RECUBRIMIENTO PARA LA ESTRUCTURA METÁLICA MEDIANTE IMPRIMANTE EPÓXICO FOSTATO DE CINC TIPO SIKA O SIMILAR Y/O BARNIZ QDS  TIPO SIKA O SIMILAR </t>
  </si>
  <si>
    <t>PINTURA</t>
  </si>
  <si>
    <t>PINTURA ESMALTE</t>
  </si>
  <si>
    <t>M2</t>
  </si>
  <si>
    <t>CARPINTERIA EN ALUMINIO</t>
  </si>
  <si>
    <t>MANTENIMIENTO A TODO COSTO DE VENTANERIA, PUERTAS CORREDIZAS EN ALUMINIO</t>
  </si>
  <si>
    <t>TOTAL COSTOS DIRECTOS</t>
  </si>
  <si>
    <t>ADMINISTRACIÓN %</t>
  </si>
  <si>
    <t>A</t>
  </si>
  <si>
    <t>IMPREVISTOS %</t>
  </si>
  <si>
    <t>I</t>
  </si>
  <si>
    <t>UTILIDADES %</t>
  </si>
  <si>
    <t>U</t>
  </si>
  <si>
    <t>IVA SOBRE UTILIDAD</t>
  </si>
  <si>
    <t>%</t>
  </si>
  <si>
    <t>TOTAL COSTOS INDIRECTOS (A.I.U)+ IVA SOBRE UTILIDAD</t>
  </si>
  <si>
    <t>VALOR TOTAL OBRAS CIVILES</t>
  </si>
  <si>
    <t xml:space="preserve">" MANTENIMIENTO PREVENTIVO Y CORRECTIVO DE LAS INSTALACIONES DEL RADAR SAN JOSE $ 40.000.000,00" </t>
  </si>
  <si>
    <t>ESCARIFICADO DE PINTURA EN PAREDES</t>
  </si>
  <si>
    <t>DESMONTE TUBERÍA HIDRÁULICA DE Ø 3" A Ø 6"</t>
  </si>
  <si>
    <t>ML</t>
  </si>
  <si>
    <t>MOVIMIENTO DE TIERRAS</t>
  </si>
  <si>
    <t>EXCAVACION MANUAL EN TERRENO CONSISTENTE, INCLUYE CARGUE, RETIRO Y DISPOCISION FINAL DE EXCAVACION</t>
  </si>
  <si>
    <t>M³</t>
  </si>
  <si>
    <t xml:space="preserve">LIMPIEZA MANUAL-MECÁNICA TIPO SSPC SP2 Y SSPC SP3 PARA ESTRUCTURA METÁLICA EXISTENTE (TUBO DIAMETRO 7", 10" Y 19", PERIL TIPO C 15 CM X 5 CM, PERFIL TIPO L 8 CM X 8 CM, IPE DE 60 A 270 ). INCLUYE SISTEMA DE RECUBRIMIENTO PARA LA ESTRUCTURA METÁLICA MEDIANTE IMPRIMANTE EPÓXICO FOSTATO DE CINC TIPO SIKA O SIMILAR Y/O BARNIZ QDS  TIPO SIKA O SIMILAR </t>
  </si>
  <si>
    <t>VINILO CORRIENTE TIPO-2,  3 MANOS (INCLUYE FILOS Y DILATACIONES)</t>
  </si>
  <si>
    <t>PINTURA PREMIUM PARA EXTERIORES BASE DE AGUA - TRES MANOS (INCLUYE FILOS Y DILATACIONES)</t>
  </si>
  <si>
    <t>ESTUCO PLÁSTICO ACRÍLICO PARA EXTERIORES A DOS (2) MANOS SOBRE MUROS, INCLUYE FILOS, DILATACIONES Y TODAS LAS ACTIVIDADES NECESARIAS PARA SU CORRECTA INSTALACIÓN</t>
  </si>
  <si>
    <t>ESMALTE POLIURETANO</t>
  </si>
  <si>
    <t>APARATOS SANITARIOS Y ACCESORIOS</t>
  </si>
  <si>
    <t>SUMINISTRO E INSTALACIÓN DE LAVAPLATOS DE EMPOTRAR 0,57 X 0,51 MEZCLADOR PRACTICO</t>
  </si>
  <si>
    <t>CARPINTERIA EN MADERA</t>
  </si>
  <si>
    <t>SUMINISTRO E INSTALACIÓN  DE MUEBLE BAJO COCINA 2.50 APROXIMADAMENTE X 0.60 X 0.80M  ESTRUCTURA EN QUINTUPLEX Y CUERPO EN MADECOR RH DE 15 MM, FORRADO INTERNAMENTE EN FORMICA COLOR BLANCA Y EXTERNAMENTE EN FORMICA COLOR POR DEFINIR, MESON EN GRANITO PULIDO CON SALPICADERO  COLOR A ESCOGER POR EL SUPERVISOR, POCETAS,  PUERTAS, CAJONERAS, ENTREPAÑOS, MANIJAS DE ACERO. INCLUYE ACCESORIOS, ELEMENTOS DE FIJACIÓN, Y  TODO LO DEMÁS  PARA SU CORRECTO FUNCIONAMIENTO  E INSTALACIÓN.</t>
  </si>
  <si>
    <t>SUMINISTRO E INSTALACIÓN DE MUEBLE ALTO DE COCINA 2.50 APROXIMADAMENTE  0,35 X 0,70 M ESTRUCTURA EN QUINTUPLEX Y CUERPO EN MADECOR RH DE  15 MM, FORRADO INTERNAMENTE EN FORMICA COLOR BLANCA Y EXTERNAMENTE EN FORMICA COLOR POR DEFINIR,  PUERTAS , CAJONERAS, MANIJAS DE ACERO, INCLUYE LOCERO Y VAJILLERO PLASTIFICADO,  ACCESORIOS, ELEMENTOS DE FIJACIÓN, Y  TODO LO DEMÁS  PARA SU CORRECTO FUNCIONAMIENTO  E INSTALACIÓN.</t>
  </si>
  <si>
    <t>VIDRIOS Y ESPEJOS</t>
  </si>
  <si>
    <t>SUMINISTRO E INSTALACION DE ESPEJO BISELADO  E= 4 MM (FLOTADO EN MURO)</t>
  </si>
  <si>
    <t>INSTALACIONES HIDROSANITARIAS</t>
  </si>
  <si>
    <t>SUMINISTRO E INSTALACIÓN DE PUNTO DE AGUA FRIA Ø 1/2" , INCLUYE ACCESORIOS PARA SU CORRECTA INSTALACIÓN.</t>
  </si>
  <si>
    <t>SUMINISTRO E INSTALACIÓN DE TUBERÍA PVC PRESIÓN RDE 21 Ø 4", INCLUYE ACCESORIOS PARA SU CORRECTA INSTALACIÓN.</t>
  </si>
  <si>
    <t>SHELTERS 5</t>
  </si>
  <si>
    <t>PRUEBA SANITARIA</t>
  </si>
  <si>
    <t xml:space="preserve">SUMINISTRO E INSTALACION DE CLOSETS EN TABLERO MELAMINICO RH 15MM  SEGÚN DISEÑO </t>
  </si>
  <si>
    <t>SHELTERS 8</t>
  </si>
  <si>
    <t>ACABADOS E IMPERMEABILIZACIONES</t>
  </si>
  <si>
    <t xml:space="preserve">REFORZAMIENTO PISO EXISTENTE </t>
  </si>
  <si>
    <t xml:space="preserve">" MANTENIMIENTO TORRES RADAR $ 40.000.000,00" </t>
  </si>
  <si>
    <t xml:space="preserve">LIMPIEZA MANUAL-MECÁNICA TIPO SSPC SP2 Y SSPC SP3 DE BARANDA METÁLICA EXISTENTE COMPUESTA POR (PASAMANOS DE 5CM X 5 CM, Y BARANDAS 5 CM X 5 CM ). INCLUYE SISTEMA DE RECUBRIMIENTO PARA LA ESTRUCTURA METÁLICA MEDIANTE IMPRIMANTE EPÓXICO FOSTATO DE CINC TIPO SIKA O SIMILAR Y/O BARNIZ QDS  TIPO SIKA O SIMILAR </t>
  </si>
  <si>
    <t>DESTINACION Y/O AREA</t>
  </si>
  <si>
    <t xml:space="preserve">TOTAL OFERTA POR DESTINACION </t>
  </si>
  <si>
    <t xml:space="preserve">MANTENIMIENTO Y ADECUACIÓN SHELTERS OMEGA </t>
  </si>
  <si>
    <t>MANTENIMIENTO PREVENTIVO Y
CORRECTIVO DE LOS SHELTERS
DEL RADAR SAN JOSÉ</t>
  </si>
  <si>
    <t>MANTENIMIENTO TORRE RADAR</t>
  </si>
  <si>
    <t>TOTAL OFERTA RUBRO 02-02-02-005-004 R 10</t>
  </si>
  <si>
    <t>TOTAL OFERTA RUBRO 02-02-02</t>
  </si>
  <si>
    <t xml:space="preserve">_____________________________________________________________
Nombre: JOHN JAIRO VALENCIA HINCAPIE
Cargo: REPRESENTANTE LEGAL
Documento de Identidad: 75105554
</t>
  </si>
  <si>
    <t>CANT</t>
  </si>
  <si>
    <t>FUERZAS MILITARES DE COLOMBIA- MINISTERIO DE DEFENSA NACIONAL</t>
  </si>
  <si>
    <t>FUERZA AÉREA COLOMBIANA</t>
  </si>
  <si>
    <t>COMANDO AÉREO DE COMBATE No.2</t>
  </si>
  <si>
    <t xml:space="preserve">NOTAS: </t>
  </si>
  <si>
    <t xml:space="preserve">Las cantidades de obra que a continuación se presentan son aproximadas.  </t>
  </si>
  <si>
    <t>Su pago será determinado por la obra medida, realmente ejecutada, previa medición por parte de la supervision.</t>
  </si>
  <si>
    <t>Durante la ejecución de la obra se deben verificar las medidas por parte del contratista y la supervision</t>
  </si>
  <si>
    <t>El contratista deberá prever todos los costos correspondientes a materiales, mano de obra, transportes y demás costos directos e indirectos requeridos para realizar la totalidad de las obras.</t>
  </si>
  <si>
    <t>ANEXO 7.2.</t>
  </si>
  <si>
    <t>PRESUPUESTO OFICIAL RUBRO 02-02-02-005-004-01-2 REC 10
$110.000.000,00</t>
  </si>
  <si>
    <t>OFERTA ECONOMICA</t>
  </si>
  <si>
    <t>SHELTERS 9</t>
  </si>
  <si>
    <r>
      <t>TOTAL PRESUPUESTO ASIGNADO POR RUBRO -</t>
    </r>
    <r>
      <rPr>
        <b/>
        <sz val="11"/>
        <color rgb="FFFF0000"/>
        <rFont val="Calibri"/>
        <family val="2"/>
        <scheme val="minor"/>
      </rPr>
      <t>SOBREPASAR EL VALOR DEL PRESUPUESTO ASIGNADO SERÁ CAUSAL DE RECHAZO</t>
    </r>
  </si>
  <si>
    <r>
      <t xml:space="preserve">TOTAL PRESUPUESTO ASIGNADO                         RUBRO 02-02-02                       </t>
    </r>
    <r>
      <rPr>
        <b/>
        <sz val="11"/>
        <color rgb="FFFF0000"/>
        <rFont val="Calibri"/>
        <family val="2"/>
        <scheme val="minor"/>
      </rPr>
      <t>SOBREPASAR EL VALOR DEL PRESUPUESTO ASIGNADO SERÁ CAUSAL DE RECHAZO</t>
    </r>
  </si>
  <si>
    <r>
      <t>NOTA 1: EL PROPONENTE</t>
    </r>
    <r>
      <rPr>
        <b/>
        <u/>
        <sz val="10"/>
        <color theme="1"/>
        <rFont val="Arial"/>
        <family val="2"/>
      </rPr>
      <t xml:space="preserve"> NO PODRÁ SOBREPASAR EL VALOR </t>
    </r>
    <r>
      <rPr>
        <b/>
        <sz val="10"/>
        <color rgb="FFFF0000"/>
        <rFont val="Arial"/>
        <family val="2"/>
      </rPr>
      <t>TOTAL</t>
    </r>
    <r>
      <rPr>
        <b/>
        <sz val="10"/>
        <color theme="1"/>
        <rFont val="Arial"/>
        <family val="2"/>
      </rPr>
      <t xml:space="preserve"> ASIGNADO Y/O POR </t>
    </r>
    <r>
      <rPr>
        <b/>
        <sz val="10"/>
        <color rgb="FFFF0000"/>
        <rFont val="Arial"/>
        <family val="2"/>
      </rPr>
      <t>RUBRO</t>
    </r>
    <r>
      <rPr>
        <b/>
        <sz val="10"/>
        <color theme="1"/>
        <rFont val="Arial"/>
        <family val="2"/>
      </rPr>
      <t xml:space="preserve"> Y/O DESTINO Y/O UNA VEZ REALIZADA CORRECCIÓN ARITMÉTICA POR PARTE DEL COMITÉ EVALUADOR ECONÓMICO, SO PENA DE RECHAZO</t>
    </r>
  </si>
  <si>
    <r>
      <rPr>
        <b/>
        <sz val="11"/>
        <color theme="1"/>
        <rFont val="Calibri"/>
        <family val="2"/>
        <scheme val="minor"/>
      </rPr>
      <t xml:space="preserve">NOTA 2. </t>
    </r>
    <r>
      <rPr>
        <sz val="11"/>
        <color theme="1"/>
        <rFont val="Calibri"/>
        <family val="2"/>
        <scheme val="minor"/>
      </rPr>
      <t>LA ADMINISTRACIÓN ADJUNTA "ANEXO - OFERTA ECONÓMICA" EN ARCHIVO EXCEL PARA FACILIDAD EN EL DILIGENCIAMIENTO POR PARTE DE LOS PROPONENTES, SIN EMBARGO SE ACLARA QUE ES RESPONSABILIDAD DEL MISMO LA INFORMACIÓN CONTENIDA EN EL ANEXO, POR LO QUE E SU DEBER VERIFICAR LOS DATOS REGISTRADOS (DESCRIPCIONES, CANTIDADES, FÓRMULAS Y DEMÁS NECESARIOS), LOS CUALES DEBERÁN CONCORDAR CON LO ESTABLECIDO EN EL ANEXO TÉCNICO</t>
    </r>
  </si>
  <si>
    <t>MANTENIMIENTO PREVENTIVO Y CORRECTIVO DE LOS SHELTERS DEL RADAR SAN JOSÉ</t>
  </si>
  <si>
    <t>$ 5.289,00</t>
  </si>
  <si>
    <t>$ 14.127,45</t>
  </si>
  <si>
    <t>_____________________________________________________________
PROYECTOS Y SOLUCIONES EN INGENIERÍA SAS
Nombre:  ALVARO RODRIGUEZ RANGEL
Cargo:Representante legal
Documento de Identidad:88.240.653_ de Cúcuta</t>
  </si>
  <si>
    <t>_____________________________________________________________
MARIA JOSE HERRERA GUZMAN 
Representante Legal CONSORCIO VENTURA
CC. 52,452,955 de Bogotá</t>
  </si>
  <si>
    <t>CONSORCIO VENTURA</t>
  </si>
  <si>
    <r>
      <t>_____________________________________________________________
[</t>
    </r>
    <r>
      <rPr>
        <b/>
        <sz val="10"/>
        <color rgb="FFFF0000"/>
        <rFont val="Arial"/>
        <family val="2"/>
      </rPr>
      <t xml:space="preserve">Firma representante legal del Proponente o del Proponente persona natural] </t>
    </r>
    <r>
      <rPr>
        <b/>
        <sz val="10"/>
        <color theme="1"/>
        <rFont val="Arial"/>
        <family val="2"/>
      </rPr>
      <t xml:space="preserve">
Nombre: FABIO GARZON DAZA 
Cargo: ARQUITECTO
Documento de Identidad: 19,336,660 de Bogota 
</t>
    </r>
  </si>
  <si>
    <t>PRESUPUESTO OFICIAL</t>
  </si>
  <si>
    <t>ajustado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</si>
</sst>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_-;\-&quot;$&quot;\ * #,##0.0_-;_-&quot;$&quot;\ * &quot;-&quot;_-;_-@_-"/>
    <numFmt numFmtId="165" formatCode="_-* #,##0.0_-;\-* #,##0.0_-;_-* &quot;-&quot;_-;_-@_-"/>
    <numFmt numFmtId="166" formatCode="_-&quot;$&quot;\ * #,##0.00_-;\-&quot;$&quot;\ * #,##0.00_-;_-&quot;$&quot;\ * &quot;-&quot;_-;_-@_-"/>
    <numFmt numFmtId="167" formatCode="&quot;$&quot;\ #,##0.00"/>
    <numFmt numFmtId="168" formatCode="0.0000000%"/>
  </numFmts>
  <fonts count="20"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b/>
      <sz val="11"/>
      <color theme="1"/>
      <name val="Calibri"/>
      <family val="2"/>
      <scheme val="minor"/>
    </font>
    <font>
      <sz val="11"/>
      <color theme="0"/>
      <name val="Calibri"/>
      <family val="2"/>
      <scheme val="minor"/>
    </font>
    <font>
      <b/>
      <sz val="18"/>
      <color theme="1"/>
      <name val="Calibri"/>
      <family val="2"/>
      <scheme val="minor"/>
    </font>
    <font>
      <b/>
      <sz val="14"/>
      <color theme="1"/>
      <name val="Calibri"/>
      <family val="2"/>
      <scheme val="minor"/>
    </font>
    <font>
      <b/>
      <sz val="22"/>
      <color theme="1"/>
      <name val="Arial"/>
      <family val="2"/>
    </font>
    <font>
      <b/>
      <sz val="14"/>
      <color theme="1"/>
      <name val="Arial"/>
      <family val="2"/>
    </font>
    <font>
      <b/>
      <sz val="11"/>
      <color theme="1"/>
      <name val="Arial"/>
      <family val="2"/>
    </font>
    <font>
      <sz val="10"/>
      <color theme="1"/>
      <name val="Arial"/>
      <family val="2"/>
    </font>
    <font>
      <sz val="11"/>
      <color theme="1"/>
      <name val="Arial"/>
      <family val="2"/>
    </font>
    <font>
      <sz val="14"/>
      <color theme="1"/>
      <name val="Calibri"/>
      <family val="2"/>
      <scheme val="minor"/>
    </font>
    <font>
      <b/>
      <sz val="11"/>
      <color rgb="FFFF0000"/>
      <name val="Calibri"/>
      <family val="2"/>
      <scheme val="minor"/>
    </font>
    <font>
      <b/>
      <sz val="10"/>
      <color theme="1"/>
      <name val="Arial"/>
      <family val="2"/>
    </font>
    <font>
      <b/>
      <u/>
      <sz val="10"/>
      <color theme="1"/>
      <name val="Arial"/>
      <family val="2"/>
    </font>
    <font>
      <b/>
      <sz val="10"/>
      <color rgb="FFFF0000"/>
      <name val="Arial"/>
      <family val="2"/>
    </font>
    <font>
      <sz val="10"/>
      <color theme="0"/>
      <name val="Arial"/>
      <family val="2"/>
    </font>
    <font>
      <sz val="14"/>
      <color theme="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rgb="FFFFFF00"/>
        <bgColor indexed="64"/>
      </patternFill>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style="thin">
        <color indexed="64"/>
      </top>
      <bottom/>
      <diagonal/>
    </border>
    <border>
      <left/>
      <right/>
      <top style="thin">
        <color indexed="64"/>
      </top>
      <bottom style="thin">
        <color indexed="64"/>
      </bottom>
      <diagonal/>
    </border>
  </borders>
  <cellStyleXfs count="6">
    <xf numFmtId="0" fontId="0"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300">
    <xf numFmtId="0" fontId="0" fillId="0" borderId="0" xfId="0"/>
    <xf numFmtId="0" fontId="3" fillId="3" borderId="14" xfId="0" applyFont="1" applyFill="1" applyBorder="1" applyAlignment="1">
      <alignment horizontal="center" vertical="center" wrapText="1"/>
    </xf>
    <xf numFmtId="0" fontId="2" fillId="0" borderId="14"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5" xfId="0" applyFont="1" applyBorder="1" applyAlignment="1">
      <alignment horizontal="justify" vertical="center" wrapText="1"/>
    </xf>
    <xf numFmtId="0" fontId="2" fillId="0" borderId="28" xfId="0" applyFont="1" applyBorder="1" applyAlignment="1">
      <alignment horizontal="justify" vertical="center" wrapText="1"/>
    </xf>
    <xf numFmtId="0" fontId="3" fillId="0" borderId="0" xfId="0" applyFont="1" applyAlignment="1">
      <alignment horizontal="center" vertical="center" wrapText="1"/>
    </xf>
    <xf numFmtId="0" fontId="3" fillId="3" borderId="22" xfId="0" applyFont="1" applyFill="1" applyBorder="1" applyAlignment="1">
      <alignment horizontal="center" vertical="center" wrapText="1"/>
    </xf>
    <xf numFmtId="0" fontId="2" fillId="0" borderId="22" xfId="0" applyFont="1" applyBorder="1" applyAlignment="1">
      <alignment horizontal="justify" vertical="center" wrapText="1"/>
    </xf>
    <xf numFmtId="0" fontId="2" fillId="0" borderId="22" xfId="0" applyFont="1" applyBorder="1" applyAlignment="1">
      <alignment vertical="center" wrapText="1"/>
    </xf>
    <xf numFmtId="0" fontId="2" fillId="0" borderId="17" xfId="0" applyFont="1" applyBorder="1" applyAlignment="1">
      <alignment vertical="center" wrapText="1"/>
    </xf>
    <xf numFmtId="0" fontId="2" fillId="0" borderId="14" xfId="0" applyFont="1" applyBorder="1" applyAlignment="1">
      <alignment vertical="center" wrapText="1"/>
    </xf>
    <xf numFmtId="0" fontId="2" fillId="0" borderId="21" xfId="0" applyFont="1" applyBorder="1" applyAlignment="1">
      <alignment vertical="center" wrapText="1"/>
    </xf>
    <xf numFmtId="0" fontId="2" fillId="0" borderId="25" xfId="0" applyFont="1" applyBorder="1" applyAlignment="1">
      <alignment vertical="center" wrapText="1"/>
    </xf>
    <xf numFmtId="0" fontId="2" fillId="0" borderId="45" xfId="0" applyFont="1" applyBorder="1" applyAlignment="1">
      <alignment horizontal="justify" vertical="center" wrapText="1"/>
    </xf>
    <xf numFmtId="0" fontId="2" fillId="0" borderId="0" xfId="0" applyFont="1" applyAlignment="1">
      <alignment wrapText="1"/>
    </xf>
    <xf numFmtId="0" fontId="3" fillId="3" borderId="13" xfId="0" applyFont="1" applyFill="1" applyBorder="1" applyAlignment="1">
      <alignment horizontal="center" vertical="center" wrapText="1"/>
    </xf>
    <xf numFmtId="165" fontId="3" fillId="3" borderId="14" xfId="1" applyNumberFormat="1" applyFont="1" applyFill="1" applyBorder="1" applyAlignment="1" applyProtection="1">
      <alignment horizontal="center" vertical="center" wrapText="1"/>
    </xf>
    <xf numFmtId="0" fontId="3" fillId="5" borderId="1" xfId="0" applyFont="1" applyFill="1" applyBorder="1" applyAlignment="1">
      <alignment horizontal="center" vertical="center" wrapText="1"/>
    </xf>
    <xf numFmtId="0" fontId="2" fillId="0" borderId="0" xfId="0" applyFont="1" applyAlignment="1" applyProtection="1">
      <alignment vertical="center" wrapText="1"/>
      <protection hidden="1"/>
    </xf>
    <xf numFmtId="0" fontId="2" fillId="0" borderId="13" xfId="0" applyFont="1" applyBorder="1" applyAlignment="1">
      <alignment horizontal="center" vertical="center" wrapText="1"/>
    </xf>
    <xf numFmtId="3" fontId="2" fillId="0" borderId="14" xfId="0" applyNumberFormat="1" applyFont="1" applyBorder="1" applyAlignment="1">
      <alignment horizontal="center" vertical="center" wrapText="1"/>
    </xf>
    <xf numFmtId="0" fontId="2" fillId="0" borderId="14" xfId="0" applyFont="1" applyBorder="1" applyAlignment="1">
      <alignment horizontal="center" vertical="center" wrapText="1"/>
    </xf>
    <xf numFmtId="0" fontId="2" fillId="0" borderId="0" xfId="0" applyFont="1" applyAlignment="1">
      <alignment horizontal="center" vertical="center" wrapText="1"/>
    </xf>
    <xf numFmtId="0" fontId="2" fillId="0" borderId="16" xfId="0" applyFont="1" applyBorder="1" applyAlignment="1">
      <alignment horizontal="center" vertical="center" wrapText="1"/>
    </xf>
    <xf numFmtId="3" fontId="2" fillId="0" borderId="17" xfId="0" applyNumberFormat="1" applyFont="1" applyBorder="1" applyAlignment="1">
      <alignment horizontal="center" vertical="center" wrapText="1"/>
    </xf>
    <xf numFmtId="0" fontId="2" fillId="0" borderId="17" xfId="0" applyFont="1" applyBorder="1" applyAlignment="1">
      <alignment horizontal="center" vertical="center" wrapText="1"/>
    </xf>
    <xf numFmtId="0" fontId="3" fillId="5" borderId="10" xfId="0" applyFont="1" applyFill="1" applyBorder="1" applyAlignment="1">
      <alignment horizontal="center" vertical="center" wrapText="1"/>
    </xf>
    <xf numFmtId="0" fontId="2" fillId="0" borderId="20" xfId="0" applyFont="1" applyBorder="1" applyAlignment="1">
      <alignment horizontal="center" vertical="center" wrapText="1"/>
    </xf>
    <xf numFmtId="3" fontId="2" fillId="0" borderId="21" xfId="0" applyNumberFormat="1"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3" fontId="2" fillId="0" borderId="25" xfId="0" applyNumberFormat="1" applyFont="1" applyBorder="1" applyAlignment="1">
      <alignment horizontal="center" vertical="center" wrapText="1"/>
    </xf>
    <xf numFmtId="0" fontId="2" fillId="0" borderId="25" xfId="0" applyFont="1" applyBorder="1" applyAlignment="1">
      <alignment horizontal="center" vertical="center" wrapText="1"/>
    </xf>
    <xf numFmtId="0" fontId="2" fillId="0" borderId="27" xfId="0" applyFont="1" applyBorder="1" applyAlignment="1">
      <alignment horizontal="center" vertical="center" wrapText="1"/>
    </xf>
    <xf numFmtId="3" fontId="2" fillId="0" borderId="28" xfId="0" applyNumberFormat="1" applyFont="1" applyBorder="1" applyAlignment="1">
      <alignment horizontal="center" vertical="center" wrapText="1"/>
    </xf>
    <xf numFmtId="0" fontId="2" fillId="0" borderId="28" xfId="0" applyFont="1" applyBorder="1" applyAlignment="1">
      <alignment horizontal="center" vertical="center" wrapText="1"/>
    </xf>
    <xf numFmtId="0" fontId="2" fillId="0" borderId="31" xfId="0" applyFont="1" applyBorder="1" applyAlignment="1">
      <alignment horizontal="center" vertical="center" wrapText="1"/>
    </xf>
    <xf numFmtId="10" fontId="2" fillId="0" borderId="31" xfId="4" applyNumberFormat="1" applyFont="1" applyBorder="1" applyAlignment="1" applyProtection="1">
      <alignment horizontal="center" vertical="center" wrapText="1"/>
    </xf>
    <xf numFmtId="0" fontId="2" fillId="0" borderId="34" xfId="0" applyFont="1" applyBorder="1" applyAlignment="1">
      <alignment horizontal="center" vertical="center" wrapText="1"/>
    </xf>
    <xf numFmtId="10" fontId="2" fillId="0" borderId="34" xfId="4" applyNumberFormat="1" applyFont="1" applyBorder="1" applyAlignment="1" applyProtection="1">
      <alignment horizontal="center" vertical="center" wrapText="1"/>
    </xf>
    <xf numFmtId="0" fontId="2" fillId="0" borderId="37" xfId="0" applyFont="1" applyBorder="1" applyAlignment="1">
      <alignment horizontal="center" vertical="center" wrapText="1"/>
    </xf>
    <xf numFmtId="9" fontId="2" fillId="0" borderId="37" xfId="4" applyFont="1" applyBorder="1" applyAlignment="1" applyProtection="1">
      <alignment horizontal="center" vertical="center" wrapText="1"/>
    </xf>
    <xf numFmtId="0" fontId="2" fillId="0" borderId="0" xfId="0" applyFont="1" applyAlignment="1">
      <alignment vertical="center" wrapText="1"/>
    </xf>
    <xf numFmtId="0" fontId="3" fillId="3" borderId="43" xfId="0" applyFont="1" applyFill="1" applyBorder="1" applyAlignment="1">
      <alignment horizontal="center" vertical="center" wrapText="1"/>
    </xf>
    <xf numFmtId="165" fontId="3" fillId="3" borderId="22" xfId="1" applyNumberFormat="1" applyFont="1" applyFill="1" applyBorder="1" applyAlignment="1" applyProtection="1">
      <alignment horizontal="center" vertical="center" wrapText="1"/>
    </xf>
    <xf numFmtId="0" fontId="2" fillId="0" borderId="43" xfId="0" applyFont="1" applyBorder="1" applyAlignment="1">
      <alignment horizontal="center" vertical="center" wrapText="1"/>
    </xf>
    <xf numFmtId="3" fontId="2" fillId="0" borderId="22" xfId="0" applyNumberFormat="1" applyFont="1" applyBorder="1" applyAlignment="1">
      <alignment horizontal="center" vertical="center" wrapText="1"/>
    </xf>
    <xf numFmtId="0" fontId="2" fillId="0" borderId="21" xfId="0" applyFont="1" applyBorder="1" applyAlignment="1">
      <alignment horizontal="center" vertical="center" wrapText="1"/>
    </xf>
    <xf numFmtId="0" fontId="3" fillId="5" borderId="9" xfId="0" applyFont="1" applyFill="1" applyBorder="1" applyAlignment="1">
      <alignment horizontal="center" vertical="center" wrapText="1"/>
    </xf>
    <xf numFmtId="0" fontId="2" fillId="0" borderId="44" xfId="0" applyFont="1" applyBorder="1" applyAlignment="1">
      <alignment horizontal="center" vertical="center" wrapText="1"/>
    </xf>
    <xf numFmtId="3" fontId="2" fillId="0" borderId="45" xfId="0" applyNumberFormat="1" applyFont="1" applyBorder="1" applyAlignment="1">
      <alignment horizontal="center" vertical="center" wrapText="1"/>
    </xf>
    <xf numFmtId="0" fontId="2" fillId="0" borderId="45" xfId="0" applyFont="1" applyBorder="1" applyAlignment="1">
      <alignment horizontal="center" vertical="center" wrapText="1"/>
    </xf>
    <xf numFmtId="0" fontId="3" fillId="0" borderId="0" xfId="0" applyFont="1" applyAlignment="1">
      <alignment horizontal="right" vertical="center" wrapText="1"/>
    </xf>
    <xf numFmtId="165" fontId="3" fillId="3" borderId="31" xfId="1" applyNumberFormat="1" applyFont="1" applyFill="1" applyBorder="1" applyAlignment="1" applyProtection="1">
      <alignment horizontal="center" vertical="center" wrapText="1"/>
    </xf>
    <xf numFmtId="0" fontId="0" fillId="0" borderId="0" xfId="0" applyAlignment="1">
      <alignment horizontal="center" vertical="center"/>
    </xf>
    <xf numFmtId="0" fontId="0" fillId="0" borderId="0" xfId="0" applyAlignment="1">
      <alignment vertical="center"/>
    </xf>
    <xf numFmtId="0" fontId="4" fillId="2" borderId="1" xfId="0" applyFont="1" applyFill="1" applyBorder="1" applyAlignment="1">
      <alignment horizontal="center" vertical="center"/>
    </xf>
    <xf numFmtId="164" fontId="4" fillId="0" borderId="2" xfId="3" applyNumberFormat="1" applyFont="1" applyBorder="1" applyAlignment="1" applyProtection="1">
      <alignment horizontal="center" vertical="center"/>
    </xf>
    <xf numFmtId="164" fontId="4" fillId="0" borderId="3" xfId="3" applyNumberFormat="1" applyFont="1" applyBorder="1" applyAlignment="1" applyProtection="1">
      <alignment horizontal="center" vertical="center"/>
    </xf>
    <xf numFmtId="0" fontId="10" fillId="3" borderId="13" xfId="0" applyFont="1" applyFill="1" applyBorder="1" applyAlignment="1">
      <alignment horizontal="center" vertical="center"/>
    </xf>
    <xf numFmtId="0" fontId="10" fillId="3" borderId="14" xfId="0" applyFont="1" applyFill="1" applyBorder="1" applyAlignment="1">
      <alignment horizontal="center" vertical="center" wrapText="1"/>
    </xf>
    <xf numFmtId="0" fontId="10" fillId="3" borderId="14" xfId="0" applyFont="1" applyFill="1" applyBorder="1" applyAlignment="1">
      <alignment horizontal="center" vertical="center"/>
    </xf>
    <xf numFmtId="164" fontId="10" fillId="3" borderId="14" xfId="3" applyNumberFormat="1" applyFont="1" applyFill="1" applyBorder="1" applyAlignment="1" applyProtection="1">
      <alignment horizontal="center" vertical="center"/>
    </xf>
    <xf numFmtId="165" fontId="10" fillId="3" borderId="14" xfId="1" applyNumberFormat="1" applyFont="1" applyFill="1" applyBorder="1" applyAlignment="1" applyProtection="1">
      <alignment horizontal="center" vertical="center"/>
    </xf>
    <xf numFmtId="166" fontId="10" fillId="3" borderId="15" xfId="0" applyNumberFormat="1" applyFont="1" applyFill="1" applyBorder="1" applyAlignment="1">
      <alignment horizontal="center" vertical="center"/>
    </xf>
    <xf numFmtId="0" fontId="10" fillId="5" borderId="1" xfId="0" applyFont="1" applyFill="1" applyBorder="1" applyAlignment="1">
      <alignment horizontal="center" vertical="center"/>
    </xf>
    <xf numFmtId="167" fontId="10" fillId="5" borderId="5" xfId="0" applyNumberFormat="1" applyFont="1" applyFill="1" applyBorder="1" applyAlignment="1">
      <alignment vertical="center"/>
    </xf>
    <xf numFmtId="0" fontId="11" fillId="0" borderId="0" xfId="0" applyFont="1" applyAlignment="1" applyProtection="1">
      <alignment vertical="center"/>
      <protection hidden="1"/>
    </xf>
    <xf numFmtId="0" fontId="12" fillId="0" borderId="13" xfId="0" applyFont="1" applyBorder="1" applyAlignment="1">
      <alignment horizontal="center" vertical="center"/>
    </xf>
    <xf numFmtId="0" fontId="12" fillId="0" borderId="14" xfId="0" applyFont="1" applyBorder="1" applyAlignment="1">
      <alignment horizontal="justify" vertical="center" wrapText="1"/>
    </xf>
    <xf numFmtId="3" fontId="12" fillId="0" borderId="14" xfId="0" applyNumberFormat="1" applyFont="1" applyBorder="1" applyAlignment="1">
      <alignment horizontal="center" vertical="center"/>
    </xf>
    <xf numFmtId="167" fontId="12" fillId="0" borderId="14" xfId="0" applyNumberFormat="1" applyFont="1" applyBorder="1" applyAlignment="1">
      <alignment horizontal="center" vertical="center"/>
    </xf>
    <xf numFmtId="0" fontId="12" fillId="0" borderId="14" xfId="0" applyFont="1" applyBorder="1" applyAlignment="1">
      <alignment horizontal="center" vertical="center"/>
    </xf>
    <xf numFmtId="168" fontId="12" fillId="0" borderId="15" xfId="0" applyNumberFormat="1" applyFont="1" applyBorder="1" applyAlignment="1">
      <alignment horizontal="center" vertical="center"/>
    </xf>
    <xf numFmtId="0" fontId="12" fillId="0" borderId="16" xfId="0" applyFont="1" applyBorder="1" applyAlignment="1">
      <alignment horizontal="center" vertical="center"/>
    </xf>
    <xf numFmtId="0" fontId="12" fillId="0" borderId="17" xfId="0" applyFont="1" applyBorder="1" applyAlignment="1">
      <alignment horizontal="justify" vertical="center" wrapText="1"/>
    </xf>
    <xf numFmtId="3" fontId="12" fillId="0" borderId="17" xfId="0" applyNumberFormat="1" applyFont="1" applyBorder="1" applyAlignment="1">
      <alignment horizontal="center" vertical="center"/>
    </xf>
    <xf numFmtId="167" fontId="12" fillId="0" borderId="17" xfId="0" applyNumberFormat="1" applyFont="1" applyBorder="1" applyAlignment="1">
      <alignment horizontal="center" vertical="center"/>
    </xf>
    <xf numFmtId="0" fontId="12" fillId="0" borderId="17" xfId="0" applyFont="1" applyBorder="1" applyAlignment="1">
      <alignment horizontal="center" vertical="center"/>
    </xf>
    <xf numFmtId="168" fontId="12" fillId="0" borderId="18" xfId="0" applyNumberFormat="1" applyFont="1" applyBorder="1" applyAlignment="1">
      <alignment horizontal="center" vertical="center"/>
    </xf>
    <xf numFmtId="0" fontId="10" fillId="5" borderId="10" xfId="0" applyFont="1" applyFill="1" applyBorder="1" applyAlignment="1">
      <alignment horizontal="center" vertical="center"/>
    </xf>
    <xf numFmtId="167" fontId="10" fillId="5" borderId="19" xfId="0" applyNumberFormat="1" applyFont="1" applyFill="1" applyBorder="1" applyAlignment="1">
      <alignment vertical="center"/>
    </xf>
    <xf numFmtId="0" fontId="12" fillId="0" borderId="20" xfId="0" applyFont="1" applyBorder="1" applyAlignment="1">
      <alignment horizontal="center" vertical="center"/>
    </xf>
    <xf numFmtId="0" fontId="12" fillId="0" borderId="21" xfId="0" applyFont="1" applyBorder="1" applyAlignment="1">
      <alignment horizontal="justify" vertical="center" wrapText="1"/>
    </xf>
    <xf numFmtId="3" fontId="12" fillId="0" borderId="21" xfId="0" applyNumberFormat="1" applyFont="1" applyBorder="1" applyAlignment="1">
      <alignment horizontal="center" vertical="center"/>
    </xf>
    <xf numFmtId="167" fontId="12" fillId="0" borderId="22" xfId="0" applyNumberFormat="1" applyFont="1" applyBorder="1" applyAlignment="1">
      <alignment horizontal="center" vertical="center"/>
    </xf>
    <xf numFmtId="0" fontId="12" fillId="0" borderId="22" xfId="0" applyFont="1" applyBorder="1" applyAlignment="1">
      <alignment horizontal="center" vertical="center"/>
    </xf>
    <xf numFmtId="168" fontId="12" fillId="0" borderId="23" xfId="0" applyNumberFormat="1"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justify" vertical="center" wrapText="1"/>
    </xf>
    <xf numFmtId="3" fontId="12" fillId="0" borderId="25" xfId="0" applyNumberFormat="1" applyFont="1" applyBorder="1" applyAlignment="1">
      <alignment horizontal="center" vertical="center"/>
    </xf>
    <xf numFmtId="167" fontId="12" fillId="0" borderId="25" xfId="0" applyNumberFormat="1" applyFont="1" applyBorder="1" applyAlignment="1">
      <alignment horizontal="center" vertical="center"/>
    </xf>
    <xf numFmtId="0" fontId="12" fillId="0" borderId="25" xfId="0" applyFont="1" applyBorder="1" applyAlignment="1">
      <alignment horizontal="center" vertical="center"/>
    </xf>
    <xf numFmtId="168" fontId="12" fillId="0" borderId="26" xfId="0" applyNumberFormat="1" applyFont="1" applyBorder="1" applyAlignment="1">
      <alignment horizontal="center" vertical="center"/>
    </xf>
    <xf numFmtId="0" fontId="12" fillId="0" borderId="27" xfId="0" applyFont="1" applyBorder="1" applyAlignment="1">
      <alignment horizontal="center" vertical="center"/>
    </xf>
    <xf numFmtId="0" fontId="12" fillId="0" borderId="28" xfId="0" applyFont="1" applyBorder="1" applyAlignment="1">
      <alignment horizontal="justify" vertical="center" wrapText="1"/>
    </xf>
    <xf numFmtId="3" fontId="12" fillId="0" borderId="28" xfId="0" applyNumberFormat="1" applyFont="1" applyBorder="1" applyAlignment="1">
      <alignment horizontal="center" vertical="center"/>
    </xf>
    <xf numFmtId="167" fontId="12" fillId="0" borderId="28" xfId="0" applyNumberFormat="1" applyFont="1" applyBorder="1" applyAlignment="1">
      <alignment horizontal="center" vertical="center"/>
    </xf>
    <xf numFmtId="0" fontId="12" fillId="0" borderId="28" xfId="0" applyFont="1" applyBorder="1" applyAlignment="1">
      <alignment horizontal="center" vertical="center"/>
    </xf>
    <xf numFmtId="168" fontId="12" fillId="0" borderId="29" xfId="0" applyNumberFormat="1" applyFont="1" applyBorder="1" applyAlignment="1">
      <alignment horizontal="center" vertical="center"/>
    </xf>
    <xf numFmtId="167" fontId="10" fillId="6" borderId="12" xfId="0" applyNumberFormat="1" applyFont="1" applyFill="1" applyBorder="1" applyAlignment="1">
      <alignment horizontal="right" vertical="center"/>
    </xf>
    <xf numFmtId="167" fontId="12" fillId="0" borderId="15" xfId="0" applyNumberFormat="1" applyFont="1" applyBorder="1" applyAlignment="1">
      <alignment horizontal="right" vertical="center"/>
    </xf>
    <xf numFmtId="167" fontId="12" fillId="0" borderId="18" xfId="0" applyNumberFormat="1" applyFont="1" applyBorder="1" applyAlignment="1">
      <alignment horizontal="right" vertical="center"/>
    </xf>
    <xf numFmtId="167" fontId="12" fillId="0" borderId="39" xfId="0" applyNumberFormat="1" applyFont="1" applyBorder="1" applyAlignment="1">
      <alignment horizontal="right" vertical="center"/>
    </xf>
    <xf numFmtId="167" fontId="10" fillId="6" borderId="19" xfId="0" applyNumberFormat="1" applyFont="1" applyFill="1" applyBorder="1" applyAlignment="1">
      <alignment horizontal="right" vertical="center"/>
    </xf>
    <xf numFmtId="0" fontId="10" fillId="0" borderId="0" xfId="0" applyFont="1" applyAlignment="1">
      <alignment horizontal="center" vertical="center" wrapText="1"/>
    </xf>
    <xf numFmtId="167" fontId="10" fillId="0" borderId="0" xfId="0" applyNumberFormat="1" applyFont="1" applyAlignment="1">
      <alignment horizontal="right" vertical="center"/>
    </xf>
    <xf numFmtId="0" fontId="10" fillId="3" borderId="43" xfId="0" applyFont="1" applyFill="1" applyBorder="1" applyAlignment="1">
      <alignment horizontal="center" vertical="center"/>
    </xf>
    <xf numFmtId="0" fontId="10" fillId="3" borderId="22" xfId="0" applyFont="1" applyFill="1" applyBorder="1" applyAlignment="1">
      <alignment horizontal="center" vertical="center" wrapText="1"/>
    </xf>
    <xf numFmtId="0" fontId="10" fillId="3" borderId="22" xfId="0" applyFont="1" applyFill="1" applyBorder="1" applyAlignment="1">
      <alignment horizontal="center" vertical="center"/>
    </xf>
    <xf numFmtId="164" fontId="10" fillId="3" borderId="22" xfId="3" applyNumberFormat="1" applyFont="1" applyFill="1" applyBorder="1" applyAlignment="1" applyProtection="1">
      <alignment horizontal="center" vertical="center"/>
    </xf>
    <xf numFmtId="165" fontId="10" fillId="3" borderId="22" xfId="1" applyNumberFormat="1" applyFont="1" applyFill="1" applyBorder="1" applyAlignment="1" applyProtection="1">
      <alignment horizontal="center" vertical="center"/>
    </xf>
    <xf numFmtId="166" fontId="10" fillId="3" borderId="23" xfId="0" applyNumberFormat="1" applyFont="1" applyFill="1" applyBorder="1" applyAlignment="1">
      <alignment horizontal="center" vertical="center"/>
    </xf>
    <xf numFmtId="0" fontId="12" fillId="0" borderId="43" xfId="0" applyFont="1" applyBorder="1" applyAlignment="1">
      <alignment horizontal="center" vertical="center"/>
    </xf>
    <xf numFmtId="0" fontId="12" fillId="0" borderId="22" xfId="0" applyFont="1" applyBorder="1" applyAlignment="1">
      <alignment horizontal="justify" vertical="center" wrapText="1"/>
    </xf>
    <xf numFmtId="3" fontId="12" fillId="0" borderId="22" xfId="0" applyNumberFormat="1" applyFont="1" applyBorder="1" applyAlignment="1">
      <alignment horizontal="center" vertical="center"/>
    </xf>
    <xf numFmtId="167" fontId="12" fillId="0" borderId="21" xfId="0" applyNumberFormat="1" applyFont="1" applyBorder="1" applyAlignment="1">
      <alignment horizontal="center" vertical="center"/>
    </xf>
    <xf numFmtId="0" fontId="12" fillId="0" borderId="21" xfId="0" applyFont="1" applyBorder="1" applyAlignment="1">
      <alignment horizontal="center" vertical="center"/>
    </xf>
    <xf numFmtId="168" fontId="12" fillId="0" borderId="39" xfId="0" applyNumberFormat="1" applyFont="1" applyBorder="1" applyAlignment="1">
      <alignment horizontal="center" vertical="center"/>
    </xf>
    <xf numFmtId="0" fontId="10" fillId="5" borderId="9" xfId="0" applyFont="1" applyFill="1" applyBorder="1" applyAlignment="1">
      <alignment horizontal="center" vertical="center"/>
    </xf>
    <xf numFmtId="167" fontId="10" fillId="5" borderId="6" xfId="0" applyNumberFormat="1" applyFont="1" applyFill="1" applyBorder="1" applyAlignment="1">
      <alignment vertical="center"/>
    </xf>
    <xf numFmtId="0" fontId="12" fillId="0" borderId="22" xfId="0" applyFont="1" applyBorder="1" applyAlignment="1">
      <alignment vertical="center" wrapText="1"/>
    </xf>
    <xf numFmtId="0" fontId="12" fillId="0" borderId="17" xfId="0" applyFont="1" applyBorder="1" applyAlignment="1">
      <alignment vertical="center" wrapText="1"/>
    </xf>
    <xf numFmtId="0" fontId="12" fillId="0" borderId="14" xfId="0" applyFont="1" applyBorder="1" applyAlignment="1">
      <alignment vertical="center" wrapText="1"/>
    </xf>
    <xf numFmtId="0" fontId="12" fillId="0" borderId="21" xfId="0" applyFont="1" applyBorder="1" applyAlignment="1">
      <alignment vertical="center" wrapText="1"/>
    </xf>
    <xf numFmtId="0" fontId="12" fillId="0" borderId="25" xfId="0" applyFont="1" applyBorder="1" applyAlignment="1">
      <alignment vertical="center" wrapText="1"/>
    </xf>
    <xf numFmtId="0" fontId="13" fillId="0" borderId="0" xfId="0" applyFont="1"/>
    <xf numFmtId="0" fontId="12" fillId="0" borderId="44" xfId="0" applyFont="1" applyBorder="1" applyAlignment="1">
      <alignment horizontal="center" vertical="center"/>
    </xf>
    <xf numFmtId="0" fontId="12" fillId="0" borderId="45" xfId="0" applyFont="1" applyBorder="1" applyAlignment="1">
      <alignment horizontal="justify" vertical="center" wrapText="1"/>
    </xf>
    <xf numFmtId="3" fontId="12" fillId="0" borderId="45" xfId="0" applyNumberFormat="1" applyFont="1" applyBorder="1" applyAlignment="1">
      <alignment horizontal="center" vertical="center"/>
    </xf>
    <xf numFmtId="167" fontId="12" fillId="0" borderId="45" xfId="0" applyNumberFormat="1" applyFont="1" applyBorder="1" applyAlignment="1">
      <alignment horizontal="center" vertical="center"/>
    </xf>
    <xf numFmtId="0" fontId="12" fillId="0" borderId="45" xfId="0" applyFont="1" applyBorder="1" applyAlignment="1">
      <alignment horizontal="center" vertical="center"/>
    </xf>
    <xf numFmtId="168" fontId="12" fillId="0" borderId="46" xfId="0" applyNumberFormat="1" applyFont="1" applyBorder="1" applyAlignment="1">
      <alignment horizontal="center" vertical="center"/>
    </xf>
    <xf numFmtId="0" fontId="4" fillId="7" borderId="30"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0" borderId="0" xfId="0" applyFont="1" applyAlignment="1">
      <alignment horizontal="center" vertical="center"/>
    </xf>
    <xf numFmtId="167" fontId="4" fillId="0" borderId="32" xfId="0" applyNumberFormat="1" applyFont="1" applyBorder="1" applyAlignment="1">
      <alignment horizontal="center" vertical="center"/>
    </xf>
    <xf numFmtId="167" fontId="0" fillId="0" borderId="15" xfId="0" applyNumberFormat="1" applyBorder="1" applyAlignment="1">
      <alignment horizontal="center" vertical="center"/>
    </xf>
    <xf numFmtId="167" fontId="0" fillId="0" borderId="0" xfId="0" applyNumberFormat="1" applyAlignment="1">
      <alignment horizontal="center" vertical="center"/>
    </xf>
    <xf numFmtId="167" fontId="4" fillId="0" borderId="35" xfId="0" applyNumberFormat="1" applyFont="1" applyBorder="1" applyAlignment="1">
      <alignment horizontal="center" vertical="center"/>
    </xf>
    <xf numFmtId="167" fontId="0" fillId="0" borderId="18" xfId="0" applyNumberFormat="1" applyBorder="1" applyAlignment="1">
      <alignment horizontal="center" vertical="center"/>
    </xf>
    <xf numFmtId="167" fontId="4" fillId="0" borderId="38" xfId="0" applyNumberFormat="1" applyFont="1" applyBorder="1" applyAlignment="1">
      <alignment horizontal="center" vertical="center"/>
    </xf>
    <xf numFmtId="167" fontId="0" fillId="0" borderId="39" xfId="0" applyNumberFormat="1" applyBorder="1" applyAlignment="1">
      <alignment horizontal="center" vertical="center"/>
    </xf>
    <xf numFmtId="167" fontId="4" fillId="0" borderId="0" xfId="0" applyNumberFormat="1" applyFont="1" applyAlignment="1">
      <alignment horizontal="center" vertical="center"/>
    </xf>
    <xf numFmtId="0" fontId="0" fillId="0" borderId="0" xfId="0" applyAlignment="1">
      <alignment horizontal="center"/>
    </xf>
    <xf numFmtId="0" fontId="4" fillId="8" borderId="47" xfId="0" applyFont="1" applyFill="1" applyBorder="1" applyAlignment="1">
      <alignment horizontal="center" vertical="center" wrapText="1"/>
    </xf>
    <xf numFmtId="0" fontId="7" fillId="8" borderId="42" xfId="0" applyFont="1" applyFill="1" applyBorder="1" applyAlignment="1">
      <alignment horizontal="center" vertical="center" wrapText="1"/>
    </xf>
    <xf numFmtId="167" fontId="4" fillId="0" borderId="36" xfId="0" applyNumberFormat="1" applyFont="1" applyBorder="1" applyAlignment="1">
      <alignment horizontal="center" vertical="center"/>
    </xf>
    <xf numFmtId="167" fontId="4" fillId="0" borderId="48" xfId="0" applyNumberFormat="1" applyFont="1" applyBorder="1" applyAlignment="1">
      <alignment horizontal="center" vertical="center"/>
    </xf>
    <xf numFmtId="167" fontId="0" fillId="0" borderId="0" xfId="0" applyNumberFormat="1"/>
    <xf numFmtId="44" fontId="0" fillId="0" borderId="0" xfId="2" applyFont="1"/>
    <xf numFmtId="0" fontId="15" fillId="0" borderId="0" xfId="0" applyFont="1" applyAlignment="1">
      <alignment wrapText="1"/>
    </xf>
    <xf numFmtId="0" fontId="0" fillId="0" borderId="0" xfId="0" applyAlignment="1">
      <alignment vertical="center" wrapText="1"/>
    </xf>
    <xf numFmtId="0" fontId="6" fillId="8" borderId="1" xfId="0" applyFont="1" applyFill="1" applyBorder="1" applyAlignment="1">
      <alignment vertical="center" wrapText="1"/>
    </xf>
    <xf numFmtId="0" fontId="6" fillId="8" borderId="3" xfId="0" applyFont="1" applyFill="1" applyBorder="1" applyAlignment="1">
      <alignment vertical="center" wrapText="1"/>
    </xf>
    <xf numFmtId="0" fontId="6" fillId="8" borderId="9" xfId="0" applyFont="1" applyFill="1" applyBorder="1" applyAlignment="1">
      <alignment vertical="center" wrapText="1"/>
    </xf>
    <xf numFmtId="0" fontId="6" fillId="8" borderId="8" xfId="0" applyFont="1" applyFill="1" applyBorder="1" applyAlignment="1">
      <alignment vertical="center" wrapText="1"/>
    </xf>
    <xf numFmtId="0" fontId="4" fillId="0" borderId="0" xfId="0" applyFont="1" applyAlignment="1"/>
    <xf numFmtId="0" fontId="15" fillId="0" borderId="0" xfId="0" applyFont="1" applyAlignment="1">
      <alignment vertical="center" wrapText="1"/>
    </xf>
    <xf numFmtId="0" fontId="10" fillId="6" borderId="10" xfId="0" applyFont="1" applyFill="1" applyBorder="1" applyAlignment="1">
      <alignment vertical="center" wrapText="1"/>
    </xf>
    <xf numFmtId="0" fontId="10" fillId="6" borderId="11" xfId="0" applyFont="1" applyFill="1" applyBorder="1" applyAlignment="1">
      <alignment vertical="center" wrapText="1"/>
    </xf>
    <xf numFmtId="0" fontId="4" fillId="7" borderId="10" xfId="0" applyFont="1" applyFill="1" applyBorder="1" applyAlignment="1">
      <alignment vertical="center"/>
    </xf>
    <xf numFmtId="0" fontId="4" fillId="7" borderId="12" xfId="0" applyFont="1" applyFill="1" applyBorder="1" applyAlignment="1">
      <alignment vertical="center"/>
    </xf>
    <xf numFmtId="0" fontId="0" fillId="0" borderId="13" xfId="0" applyBorder="1"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0" fillId="0" borderId="18" xfId="0" applyBorder="1" applyAlignment="1">
      <alignment vertical="center" wrapText="1"/>
    </xf>
    <xf numFmtId="0" fontId="0" fillId="0" borderId="20" xfId="0" applyBorder="1" applyAlignment="1">
      <alignment vertical="center" wrapText="1"/>
    </xf>
    <xf numFmtId="0" fontId="0" fillId="0" borderId="39" xfId="0" applyBorder="1" applyAlignment="1">
      <alignment vertical="center" wrapText="1"/>
    </xf>
    <xf numFmtId="0" fontId="12" fillId="2" borderId="4" xfId="0" applyFont="1" applyFill="1" applyBorder="1" applyAlignment="1">
      <alignment vertical="center" wrapText="1"/>
    </xf>
    <xf numFmtId="0" fontId="12" fillId="2" borderId="33" xfId="0" applyFont="1" applyFill="1" applyBorder="1" applyAlignment="1">
      <alignment vertical="center" wrapText="1"/>
    </xf>
    <xf numFmtId="0" fontId="12" fillId="0" borderId="34" xfId="0" applyFont="1" applyBorder="1" applyAlignment="1">
      <alignment vertical="center"/>
    </xf>
    <xf numFmtId="0" fontId="12" fillId="0" borderId="35" xfId="0" applyFont="1" applyBorder="1" applyAlignment="1">
      <alignment vertical="center"/>
    </xf>
    <xf numFmtId="10" fontId="12" fillId="0" borderId="34" xfId="4" applyNumberFormat="1" applyFont="1" applyBorder="1" applyAlignment="1" applyProtection="1">
      <alignment vertical="center"/>
    </xf>
    <xf numFmtId="10" fontId="12" fillId="0" borderId="35" xfId="4" applyNumberFormat="1" applyFont="1" applyBorder="1" applyAlignment="1" applyProtection="1">
      <alignment vertical="center"/>
    </xf>
    <xf numFmtId="0" fontId="12" fillId="2" borderId="9" xfId="0" applyFont="1" applyFill="1" applyBorder="1" applyAlignment="1">
      <alignment vertical="center" wrapText="1"/>
    </xf>
    <xf numFmtId="0" fontId="12" fillId="2" borderId="36" xfId="0" applyFont="1" applyFill="1" applyBorder="1" applyAlignment="1">
      <alignment vertical="center" wrapText="1"/>
    </xf>
    <xf numFmtId="0" fontId="12" fillId="0" borderId="37" xfId="0" applyFont="1" applyBorder="1" applyAlignment="1">
      <alignment vertical="center"/>
    </xf>
    <xf numFmtId="0" fontId="12" fillId="0" borderId="38" xfId="0" applyFont="1" applyBorder="1" applyAlignment="1">
      <alignment vertical="center"/>
    </xf>
    <xf numFmtId="9" fontId="12" fillId="0" borderId="37" xfId="4" applyFont="1" applyBorder="1" applyAlignment="1" applyProtection="1">
      <alignment vertical="center"/>
    </xf>
    <xf numFmtId="9" fontId="12" fillId="0" borderId="38" xfId="4" applyFont="1" applyBorder="1" applyAlignment="1" applyProtection="1">
      <alignment vertical="center"/>
    </xf>
    <xf numFmtId="0" fontId="10" fillId="5" borderId="10" xfId="0" applyFont="1" applyFill="1" applyBorder="1" applyAlignment="1">
      <alignment vertical="center"/>
    </xf>
    <xf numFmtId="0" fontId="10" fillId="5" borderId="11" xfId="0" applyFont="1" applyFill="1" applyBorder="1" applyAlignment="1">
      <alignment vertical="center"/>
    </xf>
    <xf numFmtId="0" fontId="10" fillId="6" borderId="12" xfId="0" applyFont="1" applyFill="1" applyBorder="1" applyAlignment="1">
      <alignment vertical="center" wrapText="1"/>
    </xf>
    <xf numFmtId="0" fontId="12" fillId="2" borderId="1" xfId="0" applyFont="1" applyFill="1" applyBorder="1" applyAlignment="1">
      <alignment vertical="center" wrapText="1"/>
    </xf>
    <xf numFmtId="0" fontId="12" fillId="2" borderId="30" xfId="0" applyFont="1" applyFill="1" applyBorder="1" applyAlignment="1">
      <alignment vertical="center" wrapText="1"/>
    </xf>
    <xf numFmtId="0" fontId="12" fillId="0" borderId="31" xfId="0" applyFont="1" applyBorder="1" applyAlignment="1">
      <alignment vertical="center"/>
    </xf>
    <xf numFmtId="0" fontId="12" fillId="0" borderId="32" xfId="0" applyFont="1" applyBorder="1" applyAlignment="1">
      <alignment vertical="center"/>
    </xf>
    <xf numFmtId="10" fontId="12" fillId="0" borderId="31" xfId="4" applyNumberFormat="1" applyFont="1" applyBorder="1" applyAlignment="1" applyProtection="1">
      <alignment vertical="center"/>
    </xf>
    <xf numFmtId="10" fontId="12" fillId="0" borderId="32" xfId="4" applyNumberFormat="1" applyFont="1" applyBorder="1" applyAlignment="1" applyProtection="1">
      <alignment vertical="center"/>
    </xf>
    <xf numFmtId="0" fontId="9" fillId="4" borderId="10" xfId="0" applyFont="1" applyFill="1" applyBorder="1" applyAlignment="1">
      <alignment vertical="center" wrapText="1"/>
    </xf>
    <xf numFmtId="0" fontId="9" fillId="4" borderId="11" xfId="0" applyFont="1" applyFill="1" applyBorder="1" applyAlignment="1">
      <alignment vertical="center" wrapText="1"/>
    </xf>
    <xf numFmtId="0" fontId="9" fillId="4" borderId="12" xfId="0" applyFont="1" applyFill="1" applyBorder="1" applyAlignment="1">
      <alignment vertical="center" wrapText="1"/>
    </xf>
    <xf numFmtId="0" fontId="10" fillId="5" borderId="1" xfId="0" applyFont="1" applyFill="1" applyBorder="1" applyAlignment="1">
      <alignment vertical="center"/>
    </xf>
    <xf numFmtId="0" fontId="10" fillId="5" borderId="2" xfId="0" applyFont="1" applyFill="1" applyBorder="1" applyAlignment="1">
      <alignment vertical="center"/>
    </xf>
    <xf numFmtId="0" fontId="10" fillId="5" borderId="9" xfId="0" applyFont="1" applyFill="1" applyBorder="1" applyAlignment="1">
      <alignment vertical="center"/>
    </xf>
    <xf numFmtId="0" fontId="10" fillId="5" borderId="7" xfId="0" applyFont="1" applyFill="1" applyBorder="1" applyAlignment="1">
      <alignment vertical="center"/>
    </xf>
    <xf numFmtId="0" fontId="9" fillId="4" borderId="40" xfId="0" applyFont="1" applyFill="1" applyBorder="1" applyAlignment="1">
      <alignment vertical="center" wrapText="1"/>
    </xf>
    <xf numFmtId="0" fontId="9" fillId="4" borderId="41" xfId="0" applyFont="1" applyFill="1" applyBorder="1" applyAlignment="1">
      <alignment vertical="center" wrapText="1"/>
    </xf>
    <xf numFmtId="0" fontId="9" fillId="4" borderId="42" xfId="0" applyFont="1" applyFill="1" applyBorder="1" applyAlignment="1">
      <alignment vertical="center" wrapText="1"/>
    </xf>
    <xf numFmtId="3" fontId="10" fillId="5" borderId="10" xfId="0" applyNumberFormat="1" applyFont="1" applyFill="1" applyBorder="1" applyAlignment="1">
      <alignment vertical="center"/>
    </xf>
    <xf numFmtId="0" fontId="9" fillId="4" borderId="1" xfId="0" applyFont="1" applyFill="1" applyBorder="1" applyAlignment="1">
      <alignment vertical="center" wrapText="1"/>
    </xf>
    <xf numFmtId="0" fontId="9" fillId="4" borderId="2" xfId="0" applyFont="1" applyFill="1" applyBorder="1" applyAlignment="1">
      <alignment vertical="center" wrapText="1"/>
    </xf>
    <xf numFmtId="0" fontId="9" fillId="4" borderId="3" xfId="0" applyFont="1" applyFill="1" applyBorder="1" applyAlignment="1">
      <alignment vertical="center" wrapText="1"/>
    </xf>
    <xf numFmtId="0" fontId="0" fillId="2" borderId="4" xfId="0" applyFill="1" applyBorder="1" applyAlignment="1">
      <alignment vertical="center"/>
    </xf>
    <xf numFmtId="0" fontId="0" fillId="2" borderId="0" xfId="0" applyFill="1" applyAlignment="1">
      <alignment vertical="center"/>
    </xf>
    <xf numFmtId="0" fontId="0" fillId="2" borderId="49" xfId="0" applyFill="1" applyBorder="1" applyAlignment="1">
      <alignment vertical="center"/>
    </xf>
    <xf numFmtId="0" fontId="0" fillId="2" borderId="9" xfId="0" applyFill="1" applyBorder="1" applyAlignment="1">
      <alignment vertical="center" wrapText="1"/>
    </xf>
    <xf numFmtId="0" fontId="0" fillId="2" borderId="7" xfId="0" applyFill="1" applyBorder="1" applyAlignment="1">
      <alignment vertical="center" wrapText="1"/>
    </xf>
    <xf numFmtId="0" fontId="0" fillId="2" borderId="8" xfId="0" applyFill="1" applyBorder="1" applyAlignment="1">
      <alignment vertical="center" wrapText="1"/>
    </xf>
    <xf numFmtId="0" fontId="7" fillId="0" borderId="10" xfId="0" applyFont="1" applyBorder="1" applyAlignment="1">
      <alignmen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8" fillId="4" borderId="10" xfId="0" applyFont="1" applyFill="1" applyBorder="1" applyAlignment="1">
      <alignment vertical="center" wrapText="1"/>
    </xf>
    <xf numFmtId="0" fontId="8" fillId="4" borderId="11" xfId="0" applyFont="1" applyFill="1" applyBorder="1" applyAlignment="1">
      <alignment vertical="center" wrapText="1"/>
    </xf>
    <xf numFmtId="0" fontId="8" fillId="4" borderId="12" xfId="0" applyFont="1" applyFill="1" applyBorder="1" applyAlignment="1">
      <alignment vertical="center" wrapText="1"/>
    </xf>
    <xf numFmtId="0" fontId="4" fillId="2" borderId="1" xfId="0" applyFont="1" applyFill="1" applyBorder="1" applyAlignment="1">
      <alignment vertical="center"/>
    </xf>
    <xf numFmtId="0" fontId="4" fillId="2" borderId="2" xfId="0" applyFont="1" applyFill="1" applyBorder="1" applyAlignment="1">
      <alignment vertical="center"/>
    </xf>
    <xf numFmtId="0" fontId="4" fillId="2" borderId="3" xfId="0" applyFont="1" applyFill="1" applyBorder="1" applyAlignment="1">
      <alignment vertical="center"/>
    </xf>
    <xf numFmtId="0" fontId="4" fillId="2" borderId="4" xfId="0" applyFont="1" applyFill="1" applyBorder="1" applyAlignment="1">
      <alignment vertical="center"/>
    </xf>
    <xf numFmtId="0" fontId="4" fillId="2" borderId="0" xfId="0" applyFont="1" applyFill="1" applyAlignment="1">
      <alignment vertical="center"/>
    </xf>
    <xf numFmtId="0" fontId="4" fillId="2" borderId="49" xfId="0" applyFont="1" applyFill="1" applyBorder="1" applyAlignment="1">
      <alignment vertical="center"/>
    </xf>
    <xf numFmtId="0" fontId="4" fillId="3" borderId="5" xfId="0" applyFont="1" applyFill="1" applyBorder="1" applyAlignment="1">
      <alignment vertical="center" wrapText="1"/>
    </xf>
    <xf numFmtId="0" fontId="4" fillId="3" borderId="6" xfId="0" applyFont="1" applyFill="1" applyBorder="1" applyAlignment="1">
      <alignment vertical="center" wrapText="1"/>
    </xf>
    <xf numFmtId="0" fontId="6" fillId="3" borderId="2" xfId="0" applyFont="1" applyFill="1" applyBorder="1" applyAlignment="1">
      <alignment vertical="center" wrapText="1"/>
    </xf>
    <xf numFmtId="0" fontId="6" fillId="3" borderId="3" xfId="0" applyFont="1" applyFill="1" applyBorder="1" applyAlignment="1">
      <alignment vertical="center" wrapText="1"/>
    </xf>
    <xf numFmtId="0" fontId="6" fillId="3" borderId="7" xfId="0" applyFont="1" applyFill="1" applyBorder="1" applyAlignment="1">
      <alignment vertical="center" wrapText="1"/>
    </xf>
    <xf numFmtId="0" fontId="6" fillId="3" borderId="8" xfId="0" applyFont="1" applyFill="1" applyBorder="1" applyAlignment="1">
      <alignment vertical="center" wrapText="1"/>
    </xf>
    <xf numFmtId="0" fontId="0" fillId="2" borderId="2" xfId="0" applyFill="1" applyBorder="1" applyAlignment="1">
      <alignment vertical="center" wrapText="1"/>
    </xf>
    <xf numFmtId="43" fontId="2" fillId="0" borderId="17" xfId="5" applyFont="1" applyBorder="1" applyAlignment="1" applyProtection="1">
      <alignment vertical="center" wrapText="1"/>
      <protection hidden="1"/>
    </xf>
    <xf numFmtId="0" fontId="2" fillId="0" borderId="50"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10" fontId="2" fillId="0" borderId="31" xfId="4" applyNumberFormat="1" applyFont="1" applyBorder="1" applyAlignment="1" applyProtection="1">
      <alignment horizontal="right" vertical="center" wrapText="1"/>
    </xf>
    <xf numFmtId="10" fontId="2" fillId="0" borderId="34" xfId="4" applyNumberFormat="1" applyFont="1" applyBorder="1" applyAlignment="1" applyProtection="1">
      <alignment horizontal="right" vertical="center" wrapText="1"/>
    </xf>
    <xf numFmtId="9" fontId="2" fillId="0" borderId="37" xfId="4" applyFont="1" applyBorder="1" applyAlignment="1" applyProtection="1">
      <alignment horizontal="right" vertical="center" wrapText="1"/>
    </xf>
    <xf numFmtId="0" fontId="10" fillId="0" borderId="0" xfId="0" applyFont="1" applyFill="1" applyBorder="1" applyAlignment="1">
      <alignment horizontal="center" vertical="center" wrapText="1"/>
    </xf>
    <xf numFmtId="167" fontId="10" fillId="0" borderId="0" xfId="0" applyNumberFormat="1" applyFont="1" applyFill="1" applyBorder="1" applyAlignment="1">
      <alignment horizontal="right" vertical="center"/>
    </xf>
    <xf numFmtId="167" fontId="12" fillId="0" borderId="21" xfId="3" applyNumberFormat="1" applyFont="1" applyBorder="1" applyAlignment="1">
      <alignment horizontal="center" vertical="center"/>
    </xf>
    <xf numFmtId="0" fontId="10" fillId="5" borderId="12" xfId="0" applyFont="1" applyFill="1" applyBorder="1" applyAlignment="1">
      <alignment vertical="center"/>
    </xf>
    <xf numFmtId="167" fontId="4" fillId="0" borderId="0" xfId="0" applyNumberFormat="1" applyFont="1" applyBorder="1" applyAlignment="1">
      <alignment horizontal="center" vertical="center"/>
    </xf>
    <xf numFmtId="167" fontId="0" fillId="0" borderId="0" xfId="0" applyNumberFormat="1" applyBorder="1" applyAlignment="1">
      <alignment horizontal="center" vertical="center"/>
    </xf>
    <xf numFmtId="0" fontId="0" fillId="0" borderId="0" xfId="0" applyBorder="1" applyAlignment="1">
      <alignment vertical="center" wrapText="1"/>
    </xf>
    <xf numFmtId="0" fontId="3" fillId="0" borderId="0" xfId="0" applyFont="1" applyAlignment="1">
      <alignment wrapText="1"/>
    </xf>
    <xf numFmtId="4" fontId="5" fillId="0" borderId="0" xfId="0" applyNumberFormat="1" applyFont="1"/>
    <xf numFmtId="4" fontId="18" fillId="0" borderId="0" xfId="0" applyNumberFormat="1" applyFont="1" applyAlignment="1" applyProtection="1">
      <alignment vertical="center"/>
      <protection hidden="1"/>
    </xf>
    <xf numFmtId="4" fontId="5" fillId="0" borderId="0" xfId="0" applyNumberFormat="1" applyFont="1" applyAlignment="1">
      <alignment horizontal="center" vertical="center"/>
    </xf>
    <xf numFmtId="167" fontId="10" fillId="5" borderId="6" xfId="0" applyNumberFormat="1" applyFont="1" applyFill="1" applyBorder="1" applyAlignment="1">
      <alignment horizontal="center" vertical="center"/>
    </xf>
    <xf numFmtId="4" fontId="19" fillId="0" borderId="0" xfId="0" applyNumberFormat="1" applyFont="1"/>
    <xf numFmtId="43" fontId="2" fillId="0" borderId="0" xfId="5" applyNumberFormat="1" applyFont="1" applyAlignment="1">
      <alignment wrapText="1"/>
    </xf>
    <xf numFmtId="43" fontId="3" fillId="0" borderId="0" xfId="5" applyNumberFormat="1" applyFont="1" applyAlignment="1">
      <alignment horizontal="right" wrapText="1"/>
    </xf>
    <xf numFmtId="43" fontId="3" fillId="0" borderId="17" xfId="5" applyFont="1" applyBorder="1" applyAlignment="1">
      <alignment horizontal="right" wrapText="1"/>
    </xf>
    <xf numFmtId="43" fontId="2" fillId="0" borderId="17" xfId="5" applyFont="1" applyBorder="1" applyAlignment="1">
      <alignment horizontal="right" wrapText="1"/>
    </xf>
    <xf numFmtId="43" fontId="2" fillId="0" borderId="0" xfId="5" applyNumberFormat="1" applyFont="1" applyAlignment="1">
      <alignment horizontal="right" wrapText="1"/>
    </xf>
    <xf numFmtId="43" fontId="2" fillId="0" borderId="0" xfId="0" applyNumberFormat="1" applyFont="1" applyAlignment="1">
      <alignment horizontal="right" wrapText="1"/>
    </xf>
    <xf numFmtId="43" fontId="3" fillId="0" borderId="0" xfId="0" applyNumberFormat="1" applyFont="1" applyAlignment="1">
      <alignment horizontal="right" wrapText="1"/>
    </xf>
    <xf numFmtId="0" fontId="2" fillId="9" borderId="17" xfId="0" applyFont="1" applyFill="1" applyBorder="1" applyAlignment="1">
      <alignment horizontal="center" vertical="center" wrapText="1"/>
    </xf>
    <xf numFmtId="0" fontId="2" fillId="9" borderId="0" xfId="0" applyFont="1" applyFill="1" applyAlignment="1">
      <alignment horizontal="center" vertical="center" wrapText="1"/>
    </xf>
    <xf numFmtId="44" fontId="3" fillId="0" borderId="0" xfId="2" applyFont="1" applyAlignment="1">
      <alignment wrapText="1"/>
    </xf>
    <xf numFmtId="44" fontId="2" fillId="0" borderId="0" xfId="2" applyFont="1" applyAlignment="1">
      <alignment wrapText="1"/>
    </xf>
    <xf numFmtId="44" fontId="2" fillId="0" borderId="0" xfId="0" applyNumberFormat="1" applyFont="1" applyAlignment="1">
      <alignment wrapText="1"/>
    </xf>
    <xf numFmtId="43" fontId="3" fillId="0" borderId="17" xfId="5" applyNumberFormat="1" applyFont="1" applyBorder="1" applyAlignment="1">
      <alignment horizontal="right" wrapText="1"/>
    </xf>
    <xf numFmtId="44" fontId="3" fillId="0" borderId="0" xfId="2" applyNumberFormat="1" applyFont="1" applyAlignment="1">
      <alignment wrapText="1"/>
    </xf>
    <xf numFmtId="0" fontId="2" fillId="0" borderId="34" xfId="0" applyFont="1" applyBorder="1" applyAlignment="1">
      <alignment horizontal="center" wrapText="1"/>
    </xf>
    <xf numFmtId="0" fontId="2" fillId="0" borderId="53" xfId="0" applyFont="1" applyBorder="1" applyAlignment="1">
      <alignment horizontal="center" wrapText="1"/>
    </xf>
    <xf numFmtId="0" fontId="2" fillId="0" borderId="35" xfId="0" applyFont="1" applyBorder="1" applyAlignment="1">
      <alignment horizontal="center" wrapText="1"/>
    </xf>
    <xf numFmtId="10" fontId="2" fillId="0" borderId="17" xfId="4" applyNumberFormat="1" applyFont="1" applyBorder="1" applyAlignment="1" applyProtection="1">
      <alignment horizontal="right" vertical="center"/>
    </xf>
    <xf numFmtId="9" fontId="2" fillId="0" borderId="17" xfId="4" applyFont="1" applyBorder="1" applyAlignment="1" applyProtection="1">
      <alignment horizontal="right" vertical="center"/>
    </xf>
    <xf numFmtId="0" fontId="2" fillId="0" borderId="0" xfId="0" applyFont="1" applyAlignment="1">
      <alignment horizontal="right" vertical="center" wrapText="1"/>
    </xf>
    <xf numFmtId="0" fontId="3" fillId="0" borderId="0" xfId="0" applyFont="1" applyAlignment="1">
      <alignment horizontal="right" vertical="center" wrapText="1"/>
    </xf>
    <xf numFmtId="0" fontId="3" fillId="0" borderId="17" xfId="0" applyFont="1" applyBorder="1" applyAlignment="1">
      <alignment horizontal="center" vertical="center" wrapText="1"/>
    </xf>
    <xf numFmtId="165" fontId="3" fillId="3" borderId="17" xfId="1" applyNumberFormat="1" applyFont="1" applyFill="1" applyBorder="1" applyAlignment="1" applyProtection="1">
      <alignment horizontal="center" vertical="center" wrapText="1"/>
    </xf>
    <xf numFmtId="164" fontId="3" fillId="3" borderId="17" xfId="3" applyNumberFormat="1" applyFont="1" applyFill="1" applyBorder="1" applyAlignment="1" applyProtection="1">
      <alignment horizontal="center" vertical="center"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2" fillId="2" borderId="1" xfId="0" applyFont="1" applyFill="1" applyBorder="1" applyAlignment="1">
      <alignment horizontal="right" vertical="center" wrapText="1"/>
    </xf>
    <xf numFmtId="0" fontId="2" fillId="2" borderId="30" xfId="0" applyFont="1" applyFill="1" applyBorder="1" applyAlignment="1">
      <alignment horizontal="right" vertical="center" wrapText="1"/>
    </xf>
    <xf numFmtId="0" fontId="2" fillId="2" borderId="4" xfId="0" applyFont="1" applyFill="1" applyBorder="1" applyAlignment="1">
      <alignment horizontal="right" vertical="center" wrapText="1"/>
    </xf>
    <xf numFmtId="0" fontId="2" fillId="2" borderId="33" xfId="0" applyFont="1" applyFill="1" applyBorder="1" applyAlignment="1">
      <alignment horizontal="right" vertical="center" wrapText="1"/>
    </xf>
    <xf numFmtId="0" fontId="2" fillId="2" borderId="9" xfId="0" applyFont="1" applyFill="1" applyBorder="1" applyAlignment="1">
      <alignment horizontal="right" vertical="center" wrapText="1"/>
    </xf>
    <xf numFmtId="0" fontId="2" fillId="2" borderId="36" xfId="0" applyFont="1" applyFill="1" applyBorder="1" applyAlignment="1">
      <alignment horizontal="right" vertical="center" wrapText="1"/>
    </xf>
    <xf numFmtId="3" fontId="3" fillId="5" borderId="10" xfId="0" applyNumberFormat="1" applyFont="1" applyFill="1" applyBorder="1" applyAlignment="1">
      <alignment horizontal="center" vertical="center" wrapText="1"/>
    </xf>
    <xf numFmtId="0" fontId="3" fillId="4" borderId="40" xfId="0" applyFont="1" applyFill="1" applyBorder="1" applyAlignment="1">
      <alignment horizontal="center" vertical="center" wrapText="1"/>
    </xf>
    <xf numFmtId="0" fontId="3" fillId="4" borderId="41" xfId="0" applyFont="1" applyFill="1" applyBorder="1" applyAlignment="1">
      <alignment horizontal="center" vertical="center" wrapText="1"/>
    </xf>
  </cellXfs>
  <cellStyles count="6">
    <cellStyle name="Millares" xfId="5" builtinId="3"/>
    <cellStyle name="Millares [0]" xfId="1" builtinId="6"/>
    <cellStyle name="Moneda" xfId="2" builtinId="4"/>
    <cellStyle name="Moneda [0]" xfId="3" builtinId="7"/>
    <cellStyle name="Normal" xfId="0" builtinId="0"/>
    <cellStyle name="Porcentaje" xfId="4" builtinId="5"/>
  </cellStyles>
  <dxfs count="4">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microsoft.com/office/2007/relationships/hdphoto" Target="../media/hdphoto1.wdp"/><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735242</xdr:colOff>
      <xdr:row>3</xdr:row>
      <xdr:rowOff>504265</xdr:rowOff>
    </xdr:to>
    <xdr:pic>
      <xdr:nvPicPr>
        <xdr:cNvPr id="2" name="Imagen 1">
          <a:extLst>
            <a:ext uri="{FF2B5EF4-FFF2-40B4-BE49-F238E27FC236}">
              <a16:creationId xmlns:a16="http://schemas.microsoft.com/office/drawing/2014/main" id="{4CCBE0DD-8FA6-4477-9880-3C033D13F30F}"/>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9790" cy="939613"/>
        </a:xfrm>
        <a:prstGeom prst="rect">
          <a:avLst/>
        </a:prstGeom>
      </xdr:spPr>
    </xdr:pic>
    <xdr:clientData/>
  </xdr:twoCellAnchor>
  <xdr:twoCellAnchor editAs="oneCell">
    <xdr:from>
      <xdr:col>7</xdr:col>
      <xdr:colOff>251923</xdr:colOff>
      <xdr:row>0</xdr:row>
      <xdr:rowOff>107576</xdr:rowOff>
    </xdr:from>
    <xdr:to>
      <xdr:col>8</xdr:col>
      <xdr:colOff>115483</xdr:colOff>
      <xdr:row>3</xdr:row>
      <xdr:rowOff>466164</xdr:rowOff>
    </xdr:to>
    <xdr:pic>
      <xdr:nvPicPr>
        <xdr:cNvPr id="3" name="Imagen 2">
          <a:extLst>
            <a:ext uri="{FF2B5EF4-FFF2-40B4-BE49-F238E27FC236}">
              <a16:creationId xmlns:a16="http://schemas.microsoft.com/office/drawing/2014/main" id="{422D1F55-6CA3-45F5-A56D-71AB214AB46D}"/>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0996123" y="107576"/>
          <a:ext cx="1368510" cy="939613"/>
        </a:xfrm>
        <a:prstGeom prst="rect">
          <a:avLst/>
        </a:prstGeom>
      </xdr:spPr>
    </xdr:pic>
    <xdr:clientData/>
  </xdr:twoCellAnchor>
  <xdr:twoCellAnchor editAs="oneCell">
    <xdr:from>
      <xdr:col>3</xdr:col>
      <xdr:colOff>381000</xdr:colOff>
      <xdr:row>142</xdr:row>
      <xdr:rowOff>68035</xdr:rowOff>
    </xdr:from>
    <xdr:to>
      <xdr:col>5</xdr:col>
      <xdr:colOff>489857</xdr:colOff>
      <xdr:row>144</xdr:row>
      <xdr:rowOff>495980</xdr:rowOff>
    </xdr:to>
    <xdr:pic>
      <xdr:nvPicPr>
        <xdr:cNvPr id="4" name="Imagen 3">
          <a:extLst>
            <a:ext uri="{FF2B5EF4-FFF2-40B4-BE49-F238E27FC236}">
              <a16:creationId xmlns:a16="http://schemas.microsoft.com/office/drawing/2014/main" id="{3F8C5FBC-F19B-4E5A-BE9F-ED4B68A019A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400675" y="70219660"/>
          <a:ext cx="2785382" cy="8089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735242</xdr:colOff>
      <xdr:row>3</xdr:row>
      <xdr:rowOff>504265</xdr:rowOff>
    </xdr:to>
    <xdr:pic>
      <xdr:nvPicPr>
        <xdr:cNvPr id="2" name="Imagen 1">
          <a:extLst>
            <a:ext uri="{FF2B5EF4-FFF2-40B4-BE49-F238E27FC236}">
              <a16:creationId xmlns:a16="http://schemas.microsoft.com/office/drawing/2014/main" id="{28C0A304-75CF-447C-AC28-9A110BC8E509}"/>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9790" cy="939613"/>
        </a:xfrm>
        <a:prstGeom prst="rect">
          <a:avLst/>
        </a:prstGeom>
      </xdr:spPr>
    </xdr:pic>
    <xdr:clientData/>
  </xdr:twoCellAnchor>
  <xdr:twoCellAnchor editAs="oneCell">
    <xdr:from>
      <xdr:col>7</xdr:col>
      <xdr:colOff>251923</xdr:colOff>
      <xdr:row>0</xdr:row>
      <xdr:rowOff>107576</xdr:rowOff>
    </xdr:from>
    <xdr:to>
      <xdr:col>7</xdr:col>
      <xdr:colOff>1624829</xdr:colOff>
      <xdr:row>3</xdr:row>
      <xdr:rowOff>466164</xdr:rowOff>
    </xdr:to>
    <xdr:pic>
      <xdr:nvPicPr>
        <xdr:cNvPr id="3" name="Imagen 2">
          <a:extLst>
            <a:ext uri="{FF2B5EF4-FFF2-40B4-BE49-F238E27FC236}">
              <a16:creationId xmlns:a16="http://schemas.microsoft.com/office/drawing/2014/main" id="{1E17E3BB-E422-43EE-BCCF-48E78157018B}"/>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643823" y="107576"/>
          <a:ext cx="1372906" cy="939613"/>
        </a:xfrm>
        <a:prstGeom prst="rect">
          <a:avLst/>
        </a:prstGeom>
      </xdr:spPr>
    </xdr:pic>
    <xdr:clientData/>
  </xdr:twoCellAnchor>
  <xdr:twoCellAnchor editAs="oneCell">
    <xdr:from>
      <xdr:col>4</xdr:col>
      <xdr:colOff>4480</xdr:colOff>
      <xdr:row>145</xdr:row>
      <xdr:rowOff>113524</xdr:rowOff>
    </xdr:from>
    <xdr:to>
      <xdr:col>5</xdr:col>
      <xdr:colOff>698499</xdr:colOff>
      <xdr:row>149</xdr:row>
      <xdr:rowOff>99598</xdr:rowOff>
    </xdr:to>
    <xdr:pic>
      <xdr:nvPicPr>
        <xdr:cNvPr id="4" name="Imagen 3" descr="Imagen (37)">
          <a:extLst>
            <a:ext uri="{FF2B5EF4-FFF2-40B4-BE49-F238E27FC236}">
              <a16:creationId xmlns:a16="http://schemas.microsoft.com/office/drawing/2014/main" id="{F4D49C78-F4CC-4E22-A8D8-9B074C6EBA6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71830" y="69293599"/>
          <a:ext cx="3599144" cy="106239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735242</xdr:colOff>
      <xdr:row>3</xdr:row>
      <xdr:rowOff>504265</xdr:rowOff>
    </xdr:to>
    <xdr:pic>
      <xdr:nvPicPr>
        <xdr:cNvPr id="2" name="Imagen 1">
          <a:extLst>
            <a:ext uri="{FF2B5EF4-FFF2-40B4-BE49-F238E27FC236}">
              <a16:creationId xmlns:a16="http://schemas.microsoft.com/office/drawing/2014/main" id="{0477078E-7C97-488E-B2BB-9102F8E2DE89}"/>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9790" cy="939613"/>
        </a:xfrm>
        <a:prstGeom prst="rect">
          <a:avLst/>
        </a:prstGeom>
      </xdr:spPr>
    </xdr:pic>
    <xdr:clientData/>
  </xdr:twoCellAnchor>
  <xdr:twoCellAnchor editAs="oneCell">
    <xdr:from>
      <xdr:col>7</xdr:col>
      <xdr:colOff>251923</xdr:colOff>
      <xdr:row>0</xdr:row>
      <xdr:rowOff>107576</xdr:rowOff>
    </xdr:from>
    <xdr:to>
      <xdr:col>7</xdr:col>
      <xdr:colOff>1624829</xdr:colOff>
      <xdr:row>3</xdr:row>
      <xdr:rowOff>466164</xdr:rowOff>
    </xdr:to>
    <xdr:pic>
      <xdr:nvPicPr>
        <xdr:cNvPr id="3" name="Imagen 2">
          <a:extLst>
            <a:ext uri="{FF2B5EF4-FFF2-40B4-BE49-F238E27FC236}">
              <a16:creationId xmlns:a16="http://schemas.microsoft.com/office/drawing/2014/main" id="{A4A589C1-C524-4455-82E9-E3CAC4B52E7F}"/>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0577023" y="107576"/>
          <a:ext cx="1372906" cy="939613"/>
        </a:xfrm>
        <a:prstGeom prst="rect">
          <a:avLst/>
        </a:prstGeom>
      </xdr:spPr>
    </xdr:pic>
    <xdr:clientData/>
  </xdr:twoCellAnchor>
  <xdr:twoCellAnchor editAs="oneCell">
    <xdr:from>
      <xdr:col>4</xdr:col>
      <xdr:colOff>609600</xdr:colOff>
      <xdr:row>142</xdr:row>
      <xdr:rowOff>171450</xdr:rowOff>
    </xdr:from>
    <xdr:to>
      <xdr:col>5</xdr:col>
      <xdr:colOff>1019175</xdr:colOff>
      <xdr:row>145</xdr:row>
      <xdr:rowOff>28798</xdr:rowOff>
    </xdr:to>
    <xdr:pic>
      <xdr:nvPicPr>
        <xdr:cNvPr id="4" name="Imagen 3">
          <a:extLst>
            <a:ext uri="{FF2B5EF4-FFF2-40B4-BE49-F238E27FC236}">
              <a16:creationId xmlns:a16="http://schemas.microsoft.com/office/drawing/2014/main" id="{EF433173-CA4E-4549-962D-D9326DC00D9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76950" y="68665725"/>
          <a:ext cx="2638425" cy="85747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735242</xdr:colOff>
      <xdr:row>3</xdr:row>
      <xdr:rowOff>504265</xdr:rowOff>
    </xdr:to>
    <xdr:pic>
      <xdr:nvPicPr>
        <xdr:cNvPr id="2" name="Imagen 1">
          <a:extLst>
            <a:ext uri="{FF2B5EF4-FFF2-40B4-BE49-F238E27FC236}">
              <a16:creationId xmlns:a16="http://schemas.microsoft.com/office/drawing/2014/main" id="{E43D990A-762B-4D63-B74C-830DCA7A22F8}"/>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9790" cy="939613"/>
        </a:xfrm>
        <a:prstGeom prst="rect">
          <a:avLst/>
        </a:prstGeom>
      </xdr:spPr>
    </xdr:pic>
    <xdr:clientData/>
  </xdr:twoCellAnchor>
  <xdr:twoCellAnchor editAs="oneCell">
    <xdr:from>
      <xdr:col>7</xdr:col>
      <xdr:colOff>251923</xdr:colOff>
      <xdr:row>0</xdr:row>
      <xdr:rowOff>107576</xdr:rowOff>
    </xdr:from>
    <xdr:to>
      <xdr:col>7</xdr:col>
      <xdr:colOff>1624829</xdr:colOff>
      <xdr:row>3</xdr:row>
      <xdr:rowOff>466164</xdr:rowOff>
    </xdr:to>
    <xdr:pic>
      <xdr:nvPicPr>
        <xdr:cNvPr id="3" name="Imagen 2">
          <a:extLst>
            <a:ext uri="{FF2B5EF4-FFF2-40B4-BE49-F238E27FC236}">
              <a16:creationId xmlns:a16="http://schemas.microsoft.com/office/drawing/2014/main" id="{4E7D8735-DC67-431A-B961-2307BFEFDE65}"/>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339023" y="107576"/>
          <a:ext cx="1372906" cy="939613"/>
        </a:xfrm>
        <a:prstGeom prst="rect">
          <a:avLst/>
        </a:prstGeom>
      </xdr:spPr>
    </xdr:pic>
    <xdr:clientData/>
  </xdr:twoCellAnchor>
  <xdr:twoCellAnchor editAs="oneCell">
    <xdr:from>
      <xdr:col>4</xdr:col>
      <xdr:colOff>979715</xdr:colOff>
      <xdr:row>142</xdr:row>
      <xdr:rowOff>40822</xdr:rowOff>
    </xdr:from>
    <xdr:to>
      <xdr:col>5</xdr:col>
      <xdr:colOff>1312908</xdr:colOff>
      <xdr:row>144</xdr:row>
      <xdr:rowOff>910772</xdr:rowOff>
    </xdr:to>
    <xdr:pic>
      <xdr:nvPicPr>
        <xdr:cNvPr id="4" name="Imagen 3">
          <a:extLst>
            <a:ext uri="{FF2B5EF4-FFF2-40B4-BE49-F238E27FC236}">
              <a16:creationId xmlns:a16="http://schemas.microsoft.com/office/drawing/2014/main" id="{FE6C6621-6682-4E4E-82A4-D02F8F4871B6}"/>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l="14227" t="17978" r="6729" b="13483"/>
        <a:stretch>
          <a:fillRect/>
        </a:stretch>
      </xdr:blipFill>
      <xdr:spPr bwMode="auto">
        <a:xfrm>
          <a:off x="6447065" y="70135297"/>
          <a:ext cx="2562043" cy="125095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735242</xdr:colOff>
      <xdr:row>3</xdr:row>
      <xdr:rowOff>504265</xdr:rowOff>
    </xdr:to>
    <xdr:pic>
      <xdr:nvPicPr>
        <xdr:cNvPr id="2" name="Imagen 1">
          <a:extLst>
            <a:ext uri="{FF2B5EF4-FFF2-40B4-BE49-F238E27FC236}">
              <a16:creationId xmlns:a16="http://schemas.microsoft.com/office/drawing/2014/main" id="{922A8F4D-3926-456A-A50F-419DD79A5267}"/>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9790" cy="939613"/>
        </a:xfrm>
        <a:prstGeom prst="rect">
          <a:avLst/>
        </a:prstGeom>
      </xdr:spPr>
    </xdr:pic>
    <xdr:clientData/>
  </xdr:twoCellAnchor>
  <xdr:twoCellAnchor editAs="oneCell">
    <xdr:from>
      <xdr:col>7</xdr:col>
      <xdr:colOff>251923</xdr:colOff>
      <xdr:row>0</xdr:row>
      <xdr:rowOff>107576</xdr:rowOff>
    </xdr:from>
    <xdr:to>
      <xdr:col>7</xdr:col>
      <xdr:colOff>1624829</xdr:colOff>
      <xdr:row>3</xdr:row>
      <xdr:rowOff>466164</xdr:rowOff>
    </xdr:to>
    <xdr:pic>
      <xdr:nvPicPr>
        <xdr:cNvPr id="3" name="Imagen 2">
          <a:extLst>
            <a:ext uri="{FF2B5EF4-FFF2-40B4-BE49-F238E27FC236}">
              <a16:creationId xmlns:a16="http://schemas.microsoft.com/office/drawing/2014/main" id="{B2053FC0-A00B-4A19-A434-8973CF750742}"/>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339023" y="107576"/>
          <a:ext cx="1372906" cy="93961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JORGE\DOCUMENTOS\ESCRITORIO\DEFIN\2023\0.%20EVALUACIONES\3.%20No.%20026-00-E-CACOM-2-GRUAL-2023\CO1_RANL_5389251_20230718133939-ECONTAINERS%20S.A.S\13.1.%20ANEXO%207.1.%20OFERTA%20ECONOMICA%20RUBRO%20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TA ECONOMICA 02-01 "/>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9D911-7D9B-4BA2-93AB-08F78AA9E687}">
  <dimension ref="A1:K125"/>
  <sheetViews>
    <sheetView tabSelected="1" zoomScaleNormal="100" workbookViewId="0">
      <selection activeCell="K130" sqref="K130"/>
    </sheetView>
  </sheetViews>
  <sheetFormatPr baseColWidth="10" defaultColWidth="11.42578125" defaultRowHeight="12.75" x14ac:dyDescent="0.2"/>
  <cols>
    <col min="1" max="1" width="11.42578125" style="24" bestFit="1" customWidth="1"/>
    <col min="2" max="2" width="80.85546875" style="44" customWidth="1"/>
    <col min="3" max="3" width="6.42578125" style="24" bestFit="1" customWidth="1"/>
    <col min="4" max="4" width="21.5703125" style="24" bestFit="1" customWidth="1"/>
    <col min="5" max="5" width="5.85546875" style="16" bestFit="1" customWidth="1"/>
    <col min="6" max="6" width="2.42578125" style="16" bestFit="1" customWidth="1"/>
    <col min="7" max="7" width="12.42578125" style="16" bestFit="1" customWidth="1"/>
    <col min="8" max="8" width="17.42578125" style="16" bestFit="1" customWidth="1"/>
    <col min="9" max="9" width="11.42578125" style="16"/>
    <col min="10" max="10" width="13.85546875" style="16" bestFit="1" customWidth="1"/>
    <col min="11" max="11" width="15.140625" style="16" customWidth="1"/>
    <col min="12" max="16384" width="11.42578125" style="16"/>
  </cols>
  <sheetData>
    <row r="1" spans="1:10" x14ac:dyDescent="0.2">
      <c r="A1" s="283" t="s">
        <v>0</v>
      </c>
      <c r="B1" s="285" t="s">
        <v>1</v>
      </c>
      <c r="C1" s="285"/>
      <c r="D1" s="285"/>
      <c r="E1" s="272" t="s">
        <v>98</v>
      </c>
      <c r="F1" s="272"/>
      <c r="G1" s="272"/>
      <c r="H1" s="272"/>
    </row>
    <row r="2" spans="1:10" ht="26.25" customHeight="1" thickBot="1" x14ac:dyDescent="0.25">
      <c r="A2" s="284"/>
      <c r="B2" s="286"/>
      <c r="C2" s="286"/>
      <c r="D2" s="286"/>
      <c r="E2" s="273" t="s">
        <v>76</v>
      </c>
      <c r="F2" s="273"/>
      <c r="G2" s="274" t="s">
        <v>6</v>
      </c>
      <c r="H2" s="274" t="s">
        <v>8</v>
      </c>
    </row>
    <row r="3" spans="1:10" ht="13.5" thickBot="1" x14ac:dyDescent="0.25">
      <c r="A3" s="287" t="s">
        <v>2</v>
      </c>
      <c r="B3" s="288"/>
      <c r="C3" s="288"/>
      <c r="D3" s="288"/>
      <c r="E3" s="273"/>
      <c r="F3" s="273"/>
      <c r="G3" s="274"/>
      <c r="H3" s="274"/>
    </row>
    <row r="4" spans="1:10" ht="13.5" thickBot="1" x14ac:dyDescent="0.25">
      <c r="A4" s="17" t="s">
        <v>3</v>
      </c>
      <c r="B4" s="1" t="s">
        <v>4</v>
      </c>
      <c r="C4" s="1" t="s">
        <v>5</v>
      </c>
      <c r="D4" s="55" t="s">
        <v>7</v>
      </c>
      <c r="E4" s="273"/>
      <c r="F4" s="273"/>
      <c r="G4" s="274"/>
      <c r="H4" s="274"/>
    </row>
    <row r="5" spans="1:10" s="20" customFormat="1" ht="13.5" thickBot="1" x14ac:dyDescent="0.3">
      <c r="A5" s="19">
        <v>1</v>
      </c>
      <c r="B5" s="289" t="s">
        <v>10</v>
      </c>
      <c r="C5" s="290"/>
      <c r="D5" s="290"/>
      <c r="E5" s="273"/>
      <c r="F5" s="273"/>
      <c r="G5" s="274"/>
      <c r="H5" s="274"/>
    </row>
    <row r="6" spans="1:10" s="24" customFormat="1" x14ac:dyDescent="0.25">
      <c r="A6" s="21">
        <v>1.1000000000000001</v>
      </c>
      <c r="B6" s="2" t="s">
        <v>11</v>
      </c>
      <c r="C6" s="22" t="s">
        <v>12</v>
      </c>
      <c r="D6" s="38">
        <v>84</v>
      </c>
      <c r="E6" s="27">
        <f>VLOOKUP($A$5:$A$17,'CONSORCIO VENTURA'!$B$18:$F$30,5,0)</f>
        <v>84</v>
      </c>
      <c r="F6" s="27">
        <f t="shared" ref="F6:F11" si="0">+D6-E6</f>
        <v>0</v>
      </c>
      <c r="G6" s="231">
        <f>VLOOKUP($A$5:$A$17,'CONSORCIO VENTURA'!$B$18:$E$30,4,0)</f>
        <v>15732.77094</v>
      </c>
      <c r="H6" s="231">
        <f t="shared" ref="H6:H11" si="1">+G6*E6</f>
        <v>1321552.75896</v>
      </c>
    </row>
    <row r="7" spans="1:10" s="24" customFormat="1" x14ac:dyDescent="0.25">
      <c r="A7" s="25">
        <v>1.2</v>
      </c>
      <c r="B7" s="3" t="s">
        <v>13</v>
      </c>
      <c r="C7" s="26" t="s">
        <v>14</v>
      </c>
      <c r="D7" s="40">
        <v>14</v>
      </c>
      <c r="E7" s="27">
        <f>VLOOKUP($A$5:$A$17,'CONSORCIO VENTURA'!$B$18:$F$30,5,0)</f>
        <v>14</v>
      </c>
      <c r="F7" s="27">
        <f t="shared" si="0"/>
        <v>0</v>
      </c>
      <c r="G7" s="231">
        <f>VLOOKUP($A$5:$A$17,'CONSORCIO VENTURA'!$B$18:$E$30,4,0)</f>
        <v>13226.889660000001</v>
      </c>
      <c r="H7" s="231">
        <f t="shared" si="1"/>
        <v>185176.45524000001</v>
      </c>
    </row>
    <row r="8" spans="1:10" s="24" customFormat="1" x14ac:dyDescent="0.25">
      <c r="A8" s="25">
        <v>1.4</v>
      </c>
      <c r="B8" s="3" t="s">
        <v>15</v>
      </c>
      <c r="C8" s="26" t="s">
        <v>14</v>
      </c>
      <c r="D8" s="40">
        <v>14</v>
      </c>
      <c r="E8" s="27">
        <f>VLOOKUP($A$5:$A$17,'CONSORCIO VENTURA'!$B$18:$F$30,5,0)</f>
        <v>14</v>
      </c>
      <c r="F8" s="27">
        <f t="shared" si="0"/>
        <v>0</v>
      </c>
      <c r="G8" s="231">
        <f>VLOOKUP($A$5:$A$17,'CONSORCIO VENTURA'!$B$18:$E$30,4,0)</f>
        <v>17932.22652</v>
      </c>
      <c r="H8" s="231">
        <f t="shared" si="1"/>
        <v>251051.17128000001</v>
      </c>
    </row>
    <row r="9" spans="1:10" s="24" customFormat="1" x14ac:dyDescent="0.25">
      <c r="A9" s="25">
        <v>1.5</v>
      </c>
      <c r="B9" s="3" t="s">
        <v>16</v>
      </c>
      <c r="C9" s="26" t="s">
        <v>12</v>
      </c>
      <c r="D9" s="40">
        <v>26.25</v>
      </c>
      <c r="E9" s="27">
        <f>VLOOKUP($A$5:$A$17,'CONSORCIO VENTURA'!$B$18:$F$30,5,0)</f>
        <v>26.25</v>
      </c>
      <c r="F9" s="27">
        <f t="shared" si="0"/>
        <v>0</v>
      </c>
      <c r="G9" s="231">
        <f>VLOOKUP($A$5:$A$17,'CONSORCIO VENTURA'!$B$18:$E$30,4,0)</f>
        <v>11641.258260000001</v>
      </c>
      <c r="H9" s="231">
        <f t="shared" si="1"/>
        <v>305583.02932500001</v>
      </c>
    </row>
    <row r="10" spans="1:10" s="24" customFormat="1" x14ac:dyDescent="0.25">
      <c r="A10" s="25">
        <v>1.6</v>
      </c>
      <c r="B10" s="3" t="s">
        <v>17</v>
      </c>
      <c r="C10" s="26" t="s">
        <v>18</v>
      </c>
      <c r="D10" s="40">
        <v>7</v>
      </c>
      <c r="E10" s="27">
        <f>VLOOKUP($A$5:$A$17,'CONSORCIO VENTURA'!$B$18:$F$30,5,0)</f>
        <v>7</v>
      </c>
      <c r="F10" s="27">
        <f t="shared" si="0"/>
        <v>0</v>
      </c>
      <c r="G10" s="231">
        <f>VLOOKUP($A$5:$A$17,'CONSORCIO VENTURA'!$B$18:$E$30,4,0)</f>
        <v>4242.2935799999996</v>
      </c>
      <c r="H10" s="231">
        <f t="shared" si="1"/>
        <v>29696.055059999999</v>
      </c>
    </row>
    <row r="11" spans="1:10" s="24" customFormat="1" ht="13.5" thickBot="1" x14ac:dyDescent="0.3">
      <c r="A11" s="25">
        <v>1.7</v>
      </c>
      <c r="B11" s="3" t="s">
        <v>19</v>
      </c>
      <c r="C11" s="26" t="s">
        <v>12</v>
      </c>
      <c r="D11" s="40">
        <v>1</v>
      </c>
      <c r="E11" s="27">
        <f>VLOOKUP($A$5:$A$17,'CONSORCIO VENTURA'!$B$18:$F$30,5,0)</f>
        <v>1</v>
      </c>
      <c r="F11" s="27">
        <f t="shared" si="0"/>
        <v>0</v>
      </c>
      <c r="G11" s="231">
        <f>VLOOKUP($A$5:$A$17,'CONSORCIO VENTURA'!$B$18:$E$30,4,0)</f>
        <v>8546.8450799999991</v>
      </c>
      <c r="H11" s="231">
        <f t="shared" si="1"/>
        <v>8546.8450799999991</v>
      </c>
    </row>
    <row r="12" spans="1:10" s="20" customFormat="1" ht="13.5" thickBot="1" x14ac:dyDescent="0.3">
      <c r="A12" s="28">
        <v>3</v>
      </c>
      <c r="B12" s="279" t="s">
        <v>20</v>
      </c>
      <c r="C12" s="280"/>
      <c r="D12" s="280"/>
    </row>
    <row r="13" spans="1:10" s="24" customFormat="1" ht="72" customHeight="1" thickBot="1" x14ac:dyDescent="0.3">
      <c r="A13" s="29">
        <v>3.3</v>
      </c>
      <c r="B13" s="4" t="s">
        <v>21</v>
      </c>
      <c r="C13" s="30" t="s">
        <v>12</v>
      </c>
      <c r="D13" s="232">
        <v>79.400000000000006</v>
      </c>
      <c r="E13" s="258">
        <v>83.7</v>
      </c>
      <c r="F13" s="27">
        <f>+D13-E13</f>
        <v>-4.2999999999999972</v>
      </c>
      <c r="G13" s="231">
        <f>VLOOKUP($A$5:$A$17,'CONSORCIO VENTURA'!$B$18:$E$30,4,0)</f>
        <v>143010.33335999999</v>
      </c>
      <c r="H13" s="231">
        <f>+G13*E13</f>
        <v>11969964.902231999</v>
      </c>
      <c r="J13" s="259" t="s">
        <v>101</v>
      </c>
    </row>
    <row r="14" spans="1:10" s="20" customFormat="1" ht="13.5" thickBot="1" x14ac:dyDescent="0.3">
      <c r="A14" s="19">
        <v>4</v>
      </c>
      <c r="B14" s="289" t="s">
        <v>22</v>
      </c>
      <c r="C14" s="290"/>
      <c r="D14" s="290"/>
    </row>
    <row r="15" spans="1:10" s="24" customFormat="1" ht="13.5" thickBot="1" x14ac:dyDescent="0.3">
      <c r="A15" s="32">
        <v>4.0999999999999996</v>
      </c>
      <c r="B15" s="5" t="s">
        <v>23</v>
      </c>
      <c r="C15" s="33" t="s">
        <v>24</v>
      </c>
      <c r="D15" s="233">
        <v>586</v>
      </c>
      <c r="E15" s="27">
        <f>VLOOKUP($A$5:$A$17,'CONSORCIO VENTURA'!$B$18:$F$30,5,0)</f>
        <v>586</v>
      </c>
      <c r="F15" s="27">
        <f>+D15-E15</f>
        <v>0</v>
      </c>
      <c r="G15" s="231">
        <f>VLOOKUP($A$5:$A$17,'CONSORCIO VENTURA'!$B$18:$E$30,4,0)</f>
        <v>13964.2569</v>
      </c>
      <c r="H15" s="231">
        <f>+G15*E15</f>
        <v>8183054.5433999998</v>
      </c>
    </row>
    <row r="16" spans="1:10" s="20" customFormat="1" ht="13.5" thickBot="1" x14ac:dyDescent="0.3">
      <c r="A16" s="28">
        <v>5</v>
      </c>
      <c r="B16" s="279" t="s">
        <v>25</v>
      </c>
      <c r="C16" s="280"/>
      <c r="D16" s="280"/>
    </row>
    <row r="17" spans="1:8" s="24" customFormat="1" ht="32.25" customHeight="1" thickBot="1" x14ac:dyDescent="0.3">
      <c r="A17" s="35">
        <v>5.0999999999999996</v>
      </c>
      <c r="B17" s="6" t="s">
        <v>26</v>
      </c>
      <c r="C17" s="36" t="s">
        <v>12</v>
      </c>
      <c r="D17" s="234">
        <v>15.9</v>
      </c>
      <c r="E17" s="27">
        <f>VLOOKUP($A$5:$A$17,'CONSORCIO VENTURA'!$B$18:$F$30,5,0)</f>
        <v>15.9</v>
      </c>
      <c r="F17" s="27">
        <f>+D17-E17</f>
        <v>0</v>
      </c>
      <c r="G17" s="231">
        <f>VLOOKUP($A$5:$A$17,'CONSORCIO VENTURA'!$B$18:$E$30,4,0)</f>
        <v>19342.757519999999</v>
      </c>
      <c r="H17" s="231">
        <f>+G17*E17</f>
        <v>307549.844568</v>
      </c>
    </row>
    <row r="18" spans="1:8" ht="13.5" thickBot="1" x14ac:dyDescent="0.25">
      <c r="A18" s="275" t="s">
        <v>27</v>
      </c>
      <c r="B18" s="276"/>
      <c r="C18" s="276"/>
      <c r="D18" s="276"/>
      <c r="E18" s="265"/>
      <c r="F18" s="266"/>
      <c r="G18" s="267"/>
      <c r="H18" s="253">
        <f>SUM(H6:H17)</f>
        <v>22562175.605145</v>
      </c>
    </row>
    <row r="19" spans="1:8" x14ac:dyDescent="0.2">
      <c r="A19" s="291" t="s">
        <v>28</v>
      </c>
      <c r="B19" s="292"/>
      <c r="C19" s="38" t="s">
        <v>29</v>
      </c>
      <c r="D19" s="235">
        <f>SUM('[1]OFERTA ECONOMICA 02-01 '!$L$68:$L$73)+18%</f>
        <v>0.18</v>
      </c>
      <c r="E19" s="268">
        <v>0.27200000000000002</v>
      </c>
      <c r="F19" s="268"/>
      <c r="G19" s="268"/>
      <c r="H19" s="254">
        <f>+H18*E19</f>
        <v>6136911.7645994406</v>
      </c>
    </row>
    <row r="20" spans="1:8" x14ac:dyDescent="0.2">
      <c r="A20" s="293" t="s">
        <v>30</v>
      </c>
      <c r="B20" s="294"/>
      <c r="C20" s="40" t="s">
        <v>31</v>
      </c>
      <c r="D20" s="236">
        <v>0.05</v>
      </c>
      <c r="E20" s="268">
        <v>0.01</v>
      </c>
      <c r="F20" s="268"/>
      <c r="G20" s="268"/>
      <c r="H20" s="254">
        <f>+H18*E20</f>
        <v>225621.75605145001</v>
      </c>
    </row>
    <row r="21" spans="1:8" x14ac:dyDescent="0.2">
      <c r="A21" s="293" t="s">
        <v>32</v>
      </c>
      <c r="B21" s="294"/>
      <c r="C21" s="40" t="s">
        <v>33</v>
      </c>
      <c r="D21" s="236">
        <v>0.04</v>
      </c>
      <c r="E21" s="268">
        <v>0.04</v>
      </c>
      <c r="F21" s="268"/>
      <c r="G21" s="268"/>
      <c r="H21" s="254">
        <f>+H18*E21</f>
        <v>902487.02420580003</v>
      </c>
    </row>
    <row r="22" spans="1:8" ht="13.5" thickBot="1" x14ac:dyDescent="0.25">
      <c r="A22" s="295" t="s">
        <v>34</v>
      </c>
      <c r="B22" s="296"/>
      <c r="C22" s="42" t="s">
        <v>35</v>
      </c>
      <c r="D22" s="237">
        <v>0.19</v>
      </c>
      <c r="E22" s="269">
        <v>0.19</v>
      </c>
      <c r="F22" s="269"/>
      <c r="G22" s="269"/>
      <c r="H22" s="254">
        <f>+H21*E22</f>
        <v>171472.53459910201</v>
      </c>
    </row>
    <row r="23" spans="1:8" ht="13.5" thickBot="1" x14ac:dyDescent="0.25">
      <c r="A23" s="275" t="s">
        <v>36</v>
      </c>
      <c r="B23" s="276"/>
      <c r="C23" s="276"/>
      <c r="D23" s="276"/>
      <c r="E23" s="265"/>
      <c r="F23" s="266"/>
      <c r="G23" s="267"/>
      <c r="H23" s="253">
        <f>+H19+H20+H21+H22</f>
        <v>7436493.0794557929</v>
      </c>
    </row>
    <row r="24" spans="1:8" ht="13.5" thickBot="1" x14ac:dyDescent="0.25">
      <c r="A24" s="275" t="s">
        <v>37</v>
      </c>
      <c r="B24" s="276"/>
      <c r="C24" s="276"/>
      <c r="D24" s="276"/>
      <c r="E24" s="265"/>
      <c r="F24" s="266"/>
      <c r="G24" s="267"/>
      <c r="H24" s="253">
        <f>+H18+H23</f>
        <v>29998668.684600793</v>
      </c>
    </row>
    <row r="25" spans="1:8" x14ac:dyDescent="0.2">
      <c r="A25" s="277" t="s">
        <v>38</v>
      </c>
      <c r="B25" s="278"/>
      <c r="C25" s="278"/>
      <c r="D25" s="278"/>
    </row>
    <row r="26" spans="1:8" ht="13.5" thickBot="1" x14ac:dyDescent="0.25">
      <c r="A26" s="45" t="s">
        <v>3</v>
      </c>
      <c r="B26" s="8" t="s">
        <v>4</v>
      </c>
      <c r="C26" s="8" t="s">
        <v>5</v>
      </c>
      <c r="D26" s="46" t="s">
        <v>7</v>
      </c>
    </row>
    <row r="27" spans="1:8" s="20" customFormat="1" ht="13.5" thickBot="1" x14ac:dyDescent="0.3">
      <c r="A27" s="28">
        <v>1</v>
      </c>
      <c r="B27" s="279" t="s">
        <v>10</v>
      </c>
      <c r="C27" s="280"/>
      <c r="D27" s="280"/>
    </row>
    <row r="28" spans="1:8" s="24" customFormat="1" x14ac:dyDescent="0.25">
      <c r="A28" s="47">
        <v>1.3</v>
      </c>
      <c r="B28" s="9" t="s">
        <v>39</v>
      </c>
      <c r="C28" s="48" t="s">
        <v>12</v>
      </c>
      <c r="D28" s="31">
        <v>70</v>
      </c>
      <c r="E28" s="27">
        <f>VLOOKUP($A$27:$A$50,'CONSORCIO VENTURA'!$B$44:$F$67,5,0)</f>
        <v>70</v>
      </c>
      <c r="F28" s="27">
        <f>+D28-E28</f>
        <v>0</v>
      </c>
      <c r="G28" s="231">
        <f>VLOOKUP($A$27:$A$50,'CONSORCIO VENTURA'!$B$44:$E$67,4,0)</f>
        <v>5145.0334199999998</v>
      </c>
      <c r="H28" s="231">
        <f>+G28*E28</f>
        <v>360152.3394</v>
      </c>
    </row>
    <row r="29" spans="1:8" s="24" customFormat="1" ht="13.5" thickBot="1" x14ac:dyDescent="0.3">
      <c r="A29" s="29">
        <v>1.8</v>
      </c>
      <c r="B29" s="4" t="s">
        <v>40</v>
      </c>
      <c r="C29" s="30" t="s">
        <v>41</v>
      </c>
      <c r="D29" s="49">
        <v>30</v>
      </c>
      <c r="E29" s="27">
        <f>VLOOKUP($A$27:$A$50,'CONSORCIO VENTURA'!$B$44:$F$67,5,0)</f>
        <v>30</v>
      </c>
      <c r="F29" s="27">
        <f>+D29-E29</f>
        <v>0</v>
      </c>
      <c r="G29" s="231">
        <f>VLOOKUP($A$27:$A$50,'CONSORCIO VENTURA'!$B$44:$E$67,4,0)</f>
        <v>13742.46306</v>
      </c>
      <c r="H29" s="231">
        <f>+G29*E29</f>
        <v>412273.89179999998</v>
      </c>
    </row>
    <row r="30" spans="1:8" s="20" customFormat="1" ht="13.5" thickBot="1" x14ac:dyDescent="0.3">
      <c r="A30" s="50">
        <v>2</v>
      </c>
      <c r="B30" s="281" t="s">
        <v>42</v>
      </c>
      <c r="C30" s="282"/>
      <c r="D30" s="282"/>
    </row>
    <row r="31" spans="1:8" s="24" customFormat="1" ht="26.25" thickBot="1" x14ac:dyDescent="0.3">
      <c r="A31" s="47">
        <v>2.1</v>
      </c>
      <c r="B31" s="9" t="s">
        <v>43</v>
      </c>
      <c r="C31" s="48" t="s">
        <v>44</v>
      </c>
      <c r="D31" s="31">
        <v>3.5999999999999996</v>
      </c>
      <c r="E31" s="27">
        <f>VLOOKUP($A$27:$A$50,'CONSORCIO VENTURA'!$B$44:$F$67,5,0)</f>
        <v>3.5999999999999996</v>
      </c>
      <c r="F31" s="27">
        <f>+D31-E31</f>
        <v>0</v>
      </c>
      <c r="G31" s="231">
        <f>VLOOKUP($A$27:$A$50,'CONSORCIO VENTURA'!$B$44:$E$67,4,0)</f>
        <v>77643.408479999998</v>
      </c>
      <c r="H31" s="231">
        <f>+G31*E31</f>
        <v>279516.27052799996</v>
      </c>
    </row>
    <row r="32" spans="1:8" s="20" customFormat="1" ht="13.5" thickBot="1" x14ac:dyDescent="0.3">
      <c r="A32" s="28">
        <v>3</v>
      </c>
      <c r="B32" s="297" t="s">
        <v>20</v>
      </c>
      <c r="C32" s="280"/>
      <c r="D32" s="280"/>
    </row>
    <row r="33" spans="1:10" s="24" customFormat="1" ht="70.5" customHeight="1" thickBot="1" x14ac:dyDescent="0.3">
      <c r="A33" s="21">
        <v>3.1</v>
      </c>
      <c r="B33" s="2" t="s">
        <v>45</v>
      </c>
      <c r="C33" s="22" t="s">
        <v>41</v>
      </c>
      <c r="D33" s="31">
        <v>5</v>
      </c>
      <c r="E33" s="258">
        <v>10</v>
      </c>
      <c r="F33" s="27">
        <f>+D33-E33</f>
        <v>-5</v>
      </c>
      <c r="G33" s="231">
        <f>VLOOKUP($A$27:$A$50,'CONSORCIO VENTURA'!$B$44:$E$67,4,0)</f>
        <v>50171.128499999999</v>
      </c>
      <c r="H33" s="231">
        <f>+G33*E33</f>
        <v>501711.28499999997</v>
      </c>
      <c r="J33" s="259" t="s">
        <v>101</v>
      </c>
    </row>
    <row r="34" spans="1:10" s="20" customFormat="1" ht="13.5" thickBot="1" x14ac:dyDescent="0.3">
      <c r="A34" s="28">
        <v>4</v>
      </c>
      <c r="B34" s="279" t="s">
        <v>22</v>
      </c>
      <c r="C34" s="280"/>
      <c r="D34" s="280"/>
    </row>
    <row r="35" spans="1:10" s="24" customFormat="1" x14ac:dyDescent="0.25">
      <c r="A35" s="25">
        <v>4.2</v>
      </c>
      <c r="B35" s="3" t="s">
        <v>46</v>
      </c>
      <c r="C35" s="26" t="s">
        <v>12</v>
      </c>
      <c r="D35" s="31">
        <v>85</v>
      </c>
      <c r="E35" s="27">
        <f>VLOOKUP($A$27:$A$50,'CONSORCIO VENTURA'!$B$44:$F$67,5,0)</f>
        <v>85</v>
      </c>
      <c r="F35" s="27">
        <f>+D35-E35</f>
        <v>0</v>
      </c>
      <c r="G35" s="231">
        <f>VLOOKUP($A$27:$A$50,'CONSORCIO VENTURA'!$B$44:$E$67,4,0)</f>
        <v>12111.111000000001</v>
      </c>
      <c r="H35" s="231">
        <f>+G35*E35</f>
        <v>1029444.4350000001</v>
      </c>
    </row>
    <row r="36" spans="1:10" s="24" customFormat="1" ht="28.5" customHeight="1" x14ac:dyDescent="0.25">
      <c r="A36" s="25">
        <v>4.3</v>
      </c>
      <c r="B36" s="3" t="s">
        <v>47</v>
      </c>
      <c r="C36" s="26" t="s">
        <v>12</v>
      </c>
      <c r="D36" s="27">
        <v>70</v>
      </c>
      <c r="E36" s="27">
        <f>VLOOKUP($A$27:$A$50,'CONSORCIO VENTURA'!$B$44:$F$67,5,0)</f>
        <v>70</v>
      </c>
      <c r="F36" s="27">
        <f>+D36-E36</f>
        <v>0</v>
      </c>
      <c r="G36" s="231">
        <f>VLOOKUP($A$27:$A$50,'CONSORCIO VENTURA'!$B$44:$E$67,4,0)</f>
        <v>22821.418799999999</v>
      </c>
      <c r="H36" s="231">
        <f>+G36*E36</f>
        <v>1597499.3159999999</v>
      </c>
    </row>
    <row r="37" spans="1:10" s="24" customFormat="1" ht="42" customHeight="1" x14ac:dyDescent="0.25">
      <c r="A37" s="25">
        <v>4.4000000000000004</v>
      </c>
      <c r="B37" s="3" t="s">
        <v>48</v>
      </c>
      <c r="C37" s="27" t="s">
        <v>24</v>
      </c>
      <c r="D37" s="27">
        <v>70</v>
      </c>
      <c r="E37" s="27">
        <f>VLOOKUP($A$27:$A$50,'CONSORCIO VENTURA'!$B$44:$F$67,5,0)</f>
        <v>70</v>
      </c>
      <c r="F37" s="27">
        <f>+D37-E37</f>
        <v>0</v>
      </c>
      <c r="G37" s="231">
        <f>VLOOKUP($A$27:$A$50,'CONSORCIO VENTURA'!$B$44:$E$67,4,0)</f>
        <v>20616.126540000001</v>
      </c>
      <c r="H37" s="231">
        <f>+G37*E37</f>
        <v>1443128.8578000001</v>
      </c>
    </row>
    <row r="38" spans="1:10" s="24" customFormat="1" ht="13.5" thickBot="1" x14ac:dyDescent="0.3">
      <c r="A38" s="29">
        <v>4.5</v>
      </c>
      <c r="B38" s="4" t="s">
        <v>49</v>
      </c>
      <c r="C38" s="49" t="s">
        <v>24</v>
      </c>
      <c r="D38" s="49">
        <v>3.7800000000000002</v>
      </c>
      <c r="E38" s="27">
        <f>VLOOKUP($A$27:$A$50,'CONSORCIO VENTURA'!$B$44:$F$67,5,0)</f>
        <v>3.7800000000000002</v>
      </c>
      <c r="F38" s="27">
        <f>+D38-E38</f>
        <v>0</v>
      </c>
      <c r="G38" s="231">
        <f>VLOOKUP($A$27:$A$50,'CONSORCIO VENTURA'!$B$44:$E$67,4,0)</f>
        <v>55696.518900000003</v>
      </c>
      <c r="H38" s="231">
        <f>+G38*E38</f>
        <v>210532.84144200003</v>
      </c>
    </row>
    <row r="39" spans="1:10" s="20" customFormat="1" ht="13.5" thickBot="1" x14ac:dyDescent="0.3">
      <c r="A39" s="50">
        <v>5</v>
      </c>
      <c r="B39" s="281" t="s">
        <v>25</v>
      </c>
      <c r="C39" s="282"/>
      <c r="D39" s="282"/>
    </row>
    <row r="40" spans="1:10" s="24" customFormat="1" ht="30.75" customHeight="1" thickBot="1" x14ac:dyDescent="0.3">
      <c r="A40" s="35">
        <v>5.0999999999999996</v>
      </c>
      <c r="B40" s="6" t="s">
        <v>26</v>
      </c>
      <c r="C40" s="36" t="s">
        <v>12</v>
      </c>
      <c r="D40" s="37">
        <v>1.7160000000000002</v>
      </c>
      <c r="E40" s="27">
        <f>VLOOKUP($A$27:$A$50,'CONSORCIO VENTURA'!$B$44:$F$67,5,0)</f>
        <v>1.7160000000000002</v>
      </c>
      <c r="F40" s="27">
        <f>+D40-E40</f>
        <v>0</v>
      </c>
      <c r="G40" s="231">
        <f>VLOOKUP($A$27:$A$50,'CONSORCIO VENTURA'!$B$44:$E$67,4,0)</f>
        <v>19342.757519999999</v>
      </c>
      <c r="H40" s="231">
        <f>+G40*E40</f>
        <v>33192.171904319999</v>
      </c>
    </row>
    <row r="41" spans="1:10" s="20" customFormat="1" ht="13.5" thickBot="1" x14ac:dyDescent="0.3">
      <c r="A41" s="28">
        <v>8</v>
      </c>
      <c r="B41" s="279" t="s">
        <v>50</v>
      </c>
      <c r="C41" s="280"/>
      <c r="D41" s="280"/>
    </row>
    <row r="42" spans="1:10" s="24" customFormat="1" ht="27" customHeight="1" thickBot="1" x14ac:dyDescent="0.3">
      <c r="A42" s="47">
        <v>8.9</v>
      </c>
      <c r="B42" s="10" t="s">
        <v>51</v>
      </c>
      <c r="C42" s="48" t="s">
        <v>14</v>
      </c>
      <c r="D42" s="31">
        <v>1</v>
      </c>
      <c r="E42" s="27">
        <f>VLOOKUP($A$27:$A$50,'CONSORCIO VENTURA'!$B$44:$F$67,5,0)</f>
        <v>1</v>
      </c>
      <c r="F42" s="27">
        <f>+D42-E42</f>
        <v>0</v>
      </c>
      <c r="G42" s="231">
        <f>VLOOKUP($A$27:$A$50,'CONSORCIO VENTURA'!$B$44:$E$67,4,0)</f>
        <v>443592.54389999999</v>
      </c>
      <c r="H42" s="231">
        <f>+G42*E42</f>
        <v>443592.54389999999</v>
      </c>
    </row>
    <row r="43" spans="1:10" s="20" customFormat="1" ht="13.5" thickBot="1" x14ac:dyDescent="0.3">
      <c r="A43" s="28">
        <v>10</v>
      </c>
      <c r="B43" s="279" t="s">
        <v>52</v>
      </c>
      <c r="C43" s="280"/>
      <c r="D43" s="280"/>
    </row>
    <row r="44" spans="1:10" s="24" customFormat="1" ht="108" customHeight="1" x14ac:dyDescent="0.25">
      <c r="A44" s="25">
        <v>10.4</v>
      </c>
      <c r="B44" s="3" t="s">
        <v>53</v>
      </c>
      <c r="C44" s="27" t="s">
        <v>41</v>
      </c>
      <c r="D44" s="27">
        <v>1.8</v>
      </c>
      <c r="E44" s="27">
        <f>VLOOKUP($A$27:$A$50,'CONSORCIO VENTURA'!$B$44:$F$67,5,0)</f>
        <v>1.8</v>
      </c>
      <c r="F44" s="27">
        <f>+D44-E44</f>
        <v>0</v>
      </c>
      <c r="G44" s="231">
        <f>VLOOKUP($A$27:$A$50,'CONSORCIO VENTURA'!$B$44:$E$67,4,0)</f>
        <v>872558.36771999998</v>
      </c>
      <c r="H44" s="231">
        <f>+G44*E44</f>
        <v>1570605.0618960001</v>
      </c>
    </row>
    <row r="45" spans="1:10" s="24" customFormat="1" ht="99" customHeight="1" thickBot="1" x14ac:dyDescent="0.3">
      <c r="A45" s="25">
        <v>10.5</v>
      </c>
      <c r="B45" s="3" t="s">
        <v>54</v>
      </c>
      <c r="C45" s="27" t="s">
        <v>41</v>
      </c>
      <c r="D45" s="27">
        <v>1.8</v>
      </c>
      <c r="E45" s="27">
        <f>VLOOKUP($A$27:$A$50,'CONSORCIO VENTURA'!$B$44:$F$67,5,0)</f>
        <v>1.8</v>
      </c>
      <c r="F45" s="27">
        <f>+D45-E45</f>
        <v>0</v>
      </c>
      <c r="G45" s="231">
        <f>VLOOKUP($A$27:$A$50,'CONSORCIO VENTURA'!$B$44:$E$67,4,0)</f>
        <v>449588.75981999998</v>
      </c>
      <c r="H45" s="231">
        <f>+G45*E45</f>
        <v>809259.76767600002</v>
      </c>
    </row>
    <row r="46" spans="1:10" s="20" customFormat="1" ht="13.5" thickBot="1" x14ac:dyDescent="0.3">
      <c r="A46" s="28">
        <v>12</v>
      </c>
      <c r="B46" s="279" t="s">
        <v>55</v>
      </c>
      <c r="C46" s="280"/>
      <c r="D46" s="280"/>
    </row>
    <row r="47" spans="1:10" s="24" customFormat="1" ht="13.5" thickBot="1" x14ac:dyDescent="0.3">
      <c r="A47" s="25">
        <v>12.1</v>
      </c>
      <c r="B47" s="11" t="s">
        <v>56</v>
      </c>
      <c r="C47" s="26" t="s">
        <v>12</v>
      </c>
      <c r="D47" s="27">
        <v>1</v>
      </c>
      <c r="E47" s="27">
        <f>VLOOKUP($A$27:$A$50,'CONSORCIO VENTURA'!$B$44:$F$67,5,0)</f>
        <v>1</v>
      </c>
      <c r="F47" s="27">
        <f>+D47-E47</f>
        <v>0</v>
      </c>
      <c r="G47" s="231">
        <f>VLOOKUP($A$27:$A$50,'CONSORCIO VENTURA'!$B$44:$E$67,4,0)</f>
        <v>233542.10406000001</v>
      </c>
      <c r="H47" s="231">
        <f>+G47*E47</f>
        <v>233542.10406000001</v>
      </c>
    </row>
    <row r="48" spans="1:10" s="20" customFormat="1" ht="13.5" thickBot="1" x14ac:dyDescent="0.3">
      <c r="A48" s="19">
        <v>13</v>
      </c>
      <c r="B48" s="289" t="s">
        <v>57</v>
      </c>
      <c r="C48" s="290"/>
      <c r="D48" s="290"/>
    </row>
    <row r="49" spans="1:8" s="24" customFormat="1" ht="25.5" x14ac:dyDescent="0.25">
      <c r="A49" s="21">
        <v>13.1</v>
      </c>
      <c r="B49" s="12" t="s">
        <v>58</v>
      </c>
      <c r="C49" s="22">
        <v>0</v>
      </c>
      <c r="D49" s="23">
        <v>1</v>
      </c>
      <c r="E49" s="27">
        <f>VLOOKUP($A$27:$A$50,'CONSORCIO VENTURA'!$B$44:$F$67,5,0)</f>
        <v>1</v>
      </c>
      <c r="F49" s="27">
        <f>+D49-E49</f>
        <v>0</v>
      </c>
      <c r="G49" s="231">
        <f>VLOOKUP($A$27:$A$50,'CONSORCIO VENTURA'!$B$44:$E$67,4,0)</f>
        <v>46372.422599999998</v>
      </c>
      <c r="H49" s="231">
        <f>+G49*E49</f>
        <v>46372.422599999998</v>
      </c>
    </row>
    <row r="50" spans="1:8" s="24" customFormat="1" ht="26.25" thickBot="1" x14ac:dyDescent="0.3">
      <c r="A50" s="29">
        <v>13.6</v>
      </c>
      <c r="B50" s="13" t="s">
        <v>59</v>
      </c>
      <c r="C50" s="30">
        <v>0</v>
      </c>
      <c r="D50" s="49">
        <v>17</v>
      </c>
      <c r="E50" s="27">
        <f>VLOOKUP($A$27:$A$50,'CONSORCIO VENTURA'!$B$44:$F$67,5,0)</f>
        <v>17</v>
      </c>
      <c r="F50" s="27">
        <f>+D50-E50</f>
        <v>0</v>
      </c>
      <c r="G50" s="231">
        <f>VLOOKUP($A$27:$A$50,'CONSORCIO VENTURA'!$B$44:$E$67,4,0)</f>
        <v>132552.94836000001</v>
      </c>
      <c r="H50" s="231">
        <f>+G50*E50</f>
        <v>2253400.12212</v>
      </c>
    </row>
    <row r="51" spans="1:8" ht="13.5" thickBot="1" x14ac:dyDescent="0.25">
      <c r="A51" s="298" t="s">
        <v>60</v>
      </c>
      <c r="B51" s="299"/>
      <c r="C51" s="299"/>
      <c r="D51" s="299"/>
    </row>
    <row r="52" spans="1:8" ht="13.5" thickBot="1" x14ac:dyDescent="0.25">
      <c r="A52" s="45" t="s">
        <v>3</v>
      </c>
      <c r="B52" s="8" t="s">
        <v>4</v>
      </c>
      <c r="C52" s="8" t="s">
        <v>5</v>
      </c>
      <c r="D52" s="46" t="s">
        <v>7</v>
      </c>
    </row>
    <row r="53" spans="1:8" s="20" customFormat="1" ht="13.5" thickBot="1" x14ac:dyDescent="0.3">
      <c r="A53" s="28">
        <v>1</v>
      </c>
      <c r="B53" s="279" t="s">
        <v>10</v>
      </c>
      <c r="C53" s="280"/>
      <c r="D53" s="280"/>
    </row>
    <row r="54" spans="1:8" s="24" customFormat="1" x14ac:dyDescent="0.25">
      <c r="A54" s="47">
        <v>1.3</v>
      </c>
      <c r="B54" s="9" t="s">
        <v>39</v>
      </c>
      <c r="C54" s="48" t="s">
        <v>12</v>
      </c>
      <c r="D54" s="31">
        <v>70</v>
      </c>
      <c r="E54" s="27">
        <f>VLOOKUP($A$53:$A$73,'CONSORCIO VENTURA'!$B$70:$F$90,5,0)</f>
        <v>70</v>
      </c>
      <c r="F54" s="27">
        <f>+D54-E54</f>
        <v>0</v>
      </c>
      <c r="G54" s="231">
        <f>VLOOKUP($A$53:$A$73,'CONSORCIO VENTURA'!$B$70:$E$90,4,0)</f>
        <v>5145.0334199999998</v>
      </c>
      <c r="H54" s="231">
        <f>+G54*E54</f>
        <v>360152.3394</v>
      </c>
    </row>
    <row r="55" spans="1:8" s="24" customFormat="1" ht="13.5" thickBot="1" x14ac:dyDescent="0.3">
      <c r="A55" s="29">
        <v>1.8</v>
      </c>
      <c r="B55" s="4" t="s">
        <v>40</v>
      </c>
      <c r="C55" s="30" t="s">
        <v>41</v>
      </c>
      <c r="D55" s="49">
        <v>30</v>
      </c>
      <c r="E55" s="27">
        <f>VLOOKUP($A$53:$A$73,'CONSORCIO VENTURA'!$B$70:$F$90,5,0)</f>
        <v>30</v>
      </c>
      <c r="F55" s="27">
        <f>+D55-E55</f>
        <v>0</v>
      </c>
      <c r="G55" s="231">
        <f>VLOOKUP($A$53:$A$73,'CONSORCIO VENTURA'!$B$70:$E$90,4,0)</f>
        <v>13742.46306</v>
      </c>
      <c r="H55" s="231">
        <f>+G55*E55</f>
        <v>412273.89179999998</v>
      </c>
    </row>
    <row r="56" spans="1:8" s="20" customFormat="1" ht="13.5" thickBot="1" x14ac:dyDescent="0.3">
      <c r="A56" s="28">
        <v>3</v>
      </c>
      <c r="B56" s="279" t="s">
        <v>20</v>
      </c>
      <c r="C56" s="280"/>
      <c r="D56" s="280"/>
    </row>
    <row r="57" spans="1:8" s="24" customFormat="1" ht="78" customHeight="1" thickBot="1" x14ac:dyDescent="0.3">
      <c r="A57" s="21">
        <v>3.1</v>
      </c>
      <c r="B57" s="2" t="s">
        <v>45</v>
      </c>
      <c r="C57" s="22" t="s">
        <v>41</v>
      </c>
      <c r="D57" s="31">
        <v>19</v>
      </c>
      <c r="E57" s="27">
        <f>VLOOKUP($A$53:$A$73,'CONSORCIO VENTURA'!$B$70:$F$90,5,0)</f>
        <v>19</v>
      </c>
      <c r="F57" s="27">
        <f>+D57-E57</f>
        <v>0</v>
      </c>
      <c r="G57" s="231">
        <f>VLOOKUP($A$53:$A$73,'CONSORCIO VENTURA'!$B$70:$E$90,4,0)</f>
        <v>50171.128499999999</v>
      </c>
      <c r="H57" s="231">
        <f>+G57*E57</f>
        <v>953251.44149999996</v>
      </c>
    </row>
    <row r="58" spans="1:8" s="20" customFormat="1" ht="13.5" thickBot="1" x14ac:dyDescent="0.3">
      <c r="A58" s="28">
        <v>4</v>
      </c>
      <c r="B58" s="279" t="s">
        <v>22</v>
      </c>
      <c r="C58" s="280"/>
      <c r="D58" s="280"/>
    </row>
    <row r="59" spans="1:8" s="24" customFormat="1" x14ac:dyDescent="0.25">
      <c r="A59" s="25">
        <v>4.2</v>
      </c>
      <c r="B59" s="3" t="s">
        <v>46</v>
      </c>
      <c r="C59" s="26" t="s">
        <v>12</v>
      </c>
      <c r="D59" s="31">
        <v>85</v>
      </c>
      <c r="E59" s="27">
        <f>VLOOKUP($A$53:$A$73,'CONSORCIO VENTURA'!$B$70:$F$90,5,0)</f>
        <v>85</v>
      </c>
      <c r="F59" s="27">
        <f>+D59-E59</f>
        <v>0</v>
      </c>
      <c r="G59" s="231">
        <f>VLOOKUP($A$53:$A$73,'CONSORCIO VENTURA'!$B$70:$E$90,4,0)</f>
        <v>12120.8388</v>
      </c>
      <c r="H59" s="231">
        <f>+G59*E59</f>
        <v>1030271.298</v>
      </c>
    </row>
    <row r="60" spans="1:8" s="24" customFormat="1" ht="27.75" customHeight="1" x14ac:dyDescent="0.25">
      <c r="A60" s="25">
        <v>4.3</v>
      </c>
      <c r="B60" s="3" t="s">
        <v>47</v>
      </c>
      <c r="C60" s="26" t="s">
        <v>12</v>
      </c>
      <c r="D60" s="27">
        <v>70</v>
      </c>
      <c r="E60" s="27">
        <f>VLOOKUP($A$53:$A$73,'CONSORCIO VENTURA'!$B$70:$F$90,5,0)</f>
        <v>70</v>
      </c>
      <c r="F60" s="27">
        <f>+D60-E60</f>
        <v>0</v>
      </c>
      <c r="G60" s="231">
        <f>VLOOKUP($A$53:$A$73,'CONSORCIO VENTURA'!$B$70:$E$90,4,0)</f>
        <v>22821.418799999999</v>
      </c>
      <c r="H60" s="231">
        <f>+G60*E60</f>
        <v>1597499.3159999999</v>
      </c>
    </row>
    <row r="61" spans="1:8" s="24" customFormat="1" ht="39" customHeight="1" x14ac:dyDescent="0.25">
      <c r="A61" s="25">
        <v>4.4000000000000004</v>
      </c>
      <c r="B61" s="3" t="s">
        <v>48</v>
      </c>
      <c r="C61" s="27" t="s">
        <v>24</v>
      </c>
      <c r="D61" s="27">
        <v>70</v>
      </c>
      <c r="E61" s="27">
        <f>VLOOKUP($A$53:$A$73,'CONSORCIO VENTURA'!$B$70:$F$90,5,0)</f>
        <v>70</v>
      </c>
      <c r="F61" s="27">
        <f>+D61-E61</f>
        <v>0</v>
      </c>
      <c r="G61" s="231">
        <f>VLOOKUP($A$53:$A$73,'CONSORCIO VENTURA'!$B$70:$E$90,4,0)</f>
        <v>20616.126540000001</v>
      </c>
      <c r="H61" s="231">
        <f>+G61*E61</f>
        <v>1443128.8578000001</v>
      </c>
    </row>
    <row r="62" spans="1:8" s="24" customFormat="1" ht="13.5" thickBot="1" x14ac:dyDescent="0.3">
      <c r="A62" s="29">
        <v>4.5</v>
      </c>
      <c r="B62" s="4" t="s">
        <v>49</v>
      </c>
      <c r="C62" s="49" t="s">
        <v>24</v>
      </c>
      <c r="D62" s="49">
        <v>3.7800000000000002</v>
      </c>
      <c r="E62" s="27">
        <f>VLOOKUP($A$53:$A$73,'CONSORCIO VENTURA'!$B$70:$F$90,5,0)</f>
        <v>3.7800000000000002</v>
      </c>
      <c r="F62" s="27">
        <f>+D62-E62</f>
        <v>0</v>
      </c>
      <c r="G62" s="231">
        <f>VLOOKUP($A$53:$A$73,'CONSORCIO VENTURA'!$B$70:$E$90,4,0)</f>
        <v>55696.518900000003</v>
      </c>
      <c r="H62" s="231">
        <f>+G62*E62</f>
        <v>210532.84144200003</v>
      </c>
    </row>
    <row r="63" spans="1:8" s="20" customFormat="1" ht="13.5" thickBot="1" x14ac:dyDescent="0.3">
      <c r="A63" s="50">
        <v>5</v>
      </c>
      <c r="B63" s="281" t="s">
        <v>25</v>
      </c>
      <c r="C63" s="282"/>
      <c r="D63" s="282"/>
    </row>
    <row r="64" spans="1:8" s="24" customFormat="1" ht="13.5" thickBot="1" x14ac:dyDescent="0.3">
      <c r="A64" s="35">
        <v>5.0999999999999996</v>
      </c>
      <c r="B64" s="6" t="s">
        <v>26</v>
      </c>
      <c r="C64" s="36" t="s">
        <v>12</v>
      </c>
      <c r="D64" s="37">
        <v>1.7160000000000002</v>
      </c>
      <c r="E64" s="27">
        <f>VLOOKUP($A$53:$A$73,'CONSORCIO VENTURA'!$B$70:$F$90,5,0)</f>
        <v>1.7160000000000002</v>
      </c>
      <c r="F64" s="27">
        <f>+D64-E64</f>
        <v>0</v>
      </c>
      <c r="G64" s="231">
        <f>VLOOKUP($A$53:$A$73,'CONSORCIO VENTURA'!$B$70:$E$90,4,0)</f>
        <v>19342.757519999999</v>
      </c>
      <c r="H64" s="231">
        <f>+G64*E64</f>
        <v>33192.171904319999</v>
      </c>
    </row>
    <row r="65" spans="1:10" s="20" customFormat="1" ht="13.5" thickBot="1" x14ac:dyDescent="0.3">
      <c r="A65" s="19">
        <v>8</v>
      </c>
      <c r="B65" s="289" t="s">
        <v>50</v>
      </c>
      <c r="C65" s="290"/>
      <c r="D65" s="290"/>
    </row>
    <row r="66" spans="1:10" s="24" customFormat="1" x14ac:dyDescent="0.25">
      <c r="A66" s="21">
        <v>8.8000000000000007</v>
      </c>
      <c r="B66" s="12" t="s">
        <v>61</v>
      </c>
      <c r="C66" s="22" t="s">
        <v>14</v>
      </c>
      <c r="D66" s="23">
        <v>1</v>
      </c>
      <c r="E66" s="27">
        <f>VLOOKUP($A$53:$A$73,'CONSORCIO VENTURA'!$B$70:$F$90,5,0)</f>
        <v>1</v>
      </c>
      <c r="F66" s="27">
        <f>+D66-E66</f>
        <v>0</v>
      </c>
      <c r="G66" s="231">
        <f>VLOOKUP($A$53:$A$73,'CONSORCIO VENTURA'!$B$70:$E$90,4,0)</f>
        <v>253417.94502000001</v>
      </c>
      <c r="H66" s="231">
        <f>+G66*E66</f>
        <v>253417.94502000001</v>
      </c>
    </row>
    <row r="67" spans="1:10" s="24" customFormat="1" ht="27.75" customHeight="1" thickBot="1" x14ac:dyDescent="0.3">
      <c r="A67" s="29">
        <v>8.9</v>
      </c>
      <c r="B67" s="13" t="s">
        <v>51</v>
      </c>
      <c r="C67" s="30" t="s">
        <v>14</v>
      </c>
      <c r="D67" s="49">
        <v>1</v>
      </c>
      <c r="E67" s="27">
        <f>VLOOKUP($A$53:$A$73,'CONSORCIO VENTURA'!$B$70:$F$90,5,0)</f>
        <v>1</v>
      </c>
      <c r="F67" s="27">
        <f>+D67-E67</f>
        <v>0</v>
      </c>
      <c r="G67" s="231">
        <f>VLOOKUP($A$53:$A$73,'CONSORCIO VENTURA'!$B$70:$E$90,4,0)</f>
        <v>443592.54389999999</v>
      </c>
      <c r="H67" s="231">
        <f>+G67*E67</f>
        <v>443592.54389999999</v>
      </c>
    </row>
    <row r="68" spans="1:10" s="20" customFormat="1" ht="13.5" thickBot="1" x14ac:dyDescent="0.3">
      <c r="A68" s="50">
        <v>10</v>
      </c>
      <c r="B68" s="281" t="s">
        <v>52</v>
      </c>
      <c r="C68" s="282"/>
      <c r="D68" s="282"/>
    </row>
    <row r="69" spans="1:10" s="24" customFormat="1" x14ac:dyDescent="0.25">
      <c r="A69" s="35">
        <v>10.3</v>
      </c>
      <c r="B69" s="3" t="s">
        <v>62</v>
      </c>
      <c r="C69" s="26" t="s">
        <v>12</v>
      </c>
      <c r="D69" s="37">
        <v>3.6</v>
      </c>
      <c r="E69" s="27">
        <f>VLOOKUP($A$53:$A$73,'CONSORCIO VENTURA'!$B$70:$F$90,5,0)</f>
        <v>3.6</v>
      </c>
      <c r="F69" s="27">
        <f>+D69-E69</f>
        <v>0</v>
      </c>
      <c r="G69" s="231">
        <f>VLOOKUP($A$53:$A$73,'CONSORCIO VENTURA'!$B$70:$E$90,4,0)</f>
        <v>548749.08912000002</v>
      </c>
      <c r="H69" s="231">
        <f>+G69*E69</f>
        <v>1975496.720832</v>
      </c>
    </row>
    <row r="70" spans="1:10" s="24" customFormat="1" ht="104.25" customHeight="1" x14ac:dyDescent="0.25">
      <c r="A70" s="25">
        <v>10.4</v>
      </c>
      <c r="B70" s="3" t="s">
        <v>53</v>
      </c>
      <c r="C70" s="27" t="s">
        <v>41</v>
      </c>
      <c r="D70" s="27">
        <v>1.8</v>
      </c>
      <c r="E70" s="27">
        <f>VLOOKUP($A$53:$A$73,'CONSORCIO VENTURA'!$B$70:$F$90,5,0)</f>
        <v>1.8</v>
      </c>
      <c r="F70" s="27">
        <f>+D70-E70</f>
        <v>0</v>
      </c>
      <c r="G70" s="231">
        <f>VLOOKUP($A$53:$A$73,'CONSORCIO VENTURA'!$B$70:$E$90,4,0)</f>
        <v>872558.36771999998</v>
      </c>
      <c r="H70" s="231">
        <f>+G70*E70</f>
        <v>1570605.0618960001</v>
      </c>
    </row>
    <row r="71" spans="1:10" s="24" customFormat="1" ht="97.5" customHeight="1" thickBot="1" x14ac:dyDescent="0.3">
      <c r="A71" s="25">
        <v>10.5</v>
      </c>
      <c r="B71" s="3" t="s">
        <v>54</v>
      </c>
      <c r="C71" s="27" t="s">
        <v>41</v>
      </c>
      <c r="D71" s="27">
        <v>1.8</v>
      </c>
      <c r="E71" s="27">
        <f>VLOOKUP($A$53:$A$73,'CONSORCIO VENTURA'!$B$70:$F$90,5,0)</f>
        <v>1.8</v>
      </c>
      <c r="F71" s="27">
        <f>+D71-E71</f>
        <v>0</v>
      </c>
      <c r="G71" s="231">
        <f>VLOOKUP($A$53:$A$73,'CONSORCIO VENTURA'!$B$70:$E$90,4,0)</f>
        <v>449588.75981999998</v>
      </c>
      <c r="H71" s="231">
        <f>+G71*E71</f>
        <v>809259.76767600002</v>
      </c>
    </row>
    <row r="72" spans="1:10" s="20" customFormat="1" ht="13.5" thickBot="1" x14ac:dyDescent="0.3">
      <c r="A72" s="19">
        <v>13</v>
      </c>
      <c r="B72" s="289" t="s">
        <v>57</v>
      </c>
      <c r="C72" s="290"/>
      <c r="D72" s="290"/>
    </row>
    <row r="73" spans="1:10" s="24" customFormat="1" ht="26.25" thickBot="1" x14ac:dyDescent="0.3">
      <c r="A73" s="32">
        <v>13.1</v>
      </c>
      <c r="B73" s="14" t="s">
        <v>58</v>
      </c>
      <c r="C73" s="33" t="s">
        <v>14</v>
      </c>
      <c r="D73" s="34">
        <v>1</v>
      </c>
      <c r="E73" s="27">
        <f>VLOOKUP($A$53:$A$73,'CONSORCIO VENTURA'!$B$70:$F$90,5,0)</f>
        <v>1</v>
      </c>
      <c r="F73" s="27">
        <f>+D73-E73</f>
        <v>0</v>
      </c>
      <c r="G73" s="231">
        <f>VLOOKUP($A$53:$A$73,'CONSORCIO VENTURA'!$B$70:$E$90,4,0)</f>
        <v>46372.422599999998</v>
      </c>
      <c r="H73" s="231">
        <f>+G73*E73</f>
        <v>46372.422599999998</v>
      </c>
    </row>
    <row r="74" spans="1:10" ht="13.5" thickBot="1" x14ac:dyDescent="0.25">
      <c r="A74" s="298" t="s">
        <v>63</v>
      </c>
      <c r="B74" s="299"/>
      <c r="C74" s="299"/>
      <c r="D74" s="299"/>
    </row>
    <row r="75" spans="1:10" ht="13.5" thickBot="1" x14ac:dyDescent="0.25">
      <c r="A75" s="45" t="s">
        <v>3</v>
      </c>
      <c r="B75" s="8" t="s">
        <v>4</v>
      </c>
      <c r="C75" s="8" t="s">
        <v>5</v>
      </c>
      <c r="D75" s="46" t="s">
        <v>7</v>
      </c>
    </row>
    <row r="76" spans="1:10" s="20" customFormat="1" ht="13.5" thickBot="1" x14ac:dyDescent="0.3">
      <c r="A76" s="28">
        <v>1</v>
      </c>
      <c r="B76" s="279" t="s">
        <v>10</v>
      </c>
      <c r="C76" s="280"/>
      <c r="D76" s="280"/>
    </row>
    <row r="77" spans="1:10" s="24" customFormat="1" ht="13.5" thickBot="1" x14ac:dyDescent="0.3">
      <c r="A77" s="47">
        <v>1.3</v>
      </c>
      <c r="B77" s="9" t="s">
        <v>39</v>
      </c>
      <c r="C77" s="48" t="s">
        <v>12</v>
      </c>
      <c r="D77" s="31">
        <v>70</v>
      </c>
      <c r="E77" s="27">
        <f>VLOOKUP($A$76:$A$89,'CONSORCIO VENTURA'!$B$93:$F$106,5,0)</f>
        <v>70</v>
      </c>
      <c r="F77" s="27">
        <f>+D77-E77</f>
        <v>0</v>
      </c>
      <c r="G77" s="231">
        <f>VLOOKUP($A$76:$A$89,'CONSORCIO VENTURA'!$B$93:$E$106,4,0)</f>
        <v>5145.0334199999998</v>
      </c>
      <c r="H77" s="231">
        <f>+G77*E77</f>
        <v>360152.3394</v>
      </c>
    </row>
    <row r="78" spans="1:10" s="20" customFormat="1" ht="13.5" thickBot="1" x14ac:dyDescent="0.3">
      <c r="A78" s="28">
        <v>3</v>
      </c>
      <c r="B78" s="279" t="s">
        <v>20</v>
      </c>
      <c r="C78" s="280"/>
      <c r="D78" s="280"/>
    </row>
    <row r="79" spans="1:10" s="24" customFormat="1" ht="75" customHeight="1" thickBot="1" x14ac:dyDescent="0.3">
      <c r="A79" s="21">
        <v>3.1</v>
      </c>
      <c r="B79" s="2" t="s">
        <v>45</v>
      </c>
      <c r="C79" s="22" t="s">
        <v>41</v>
      </c>
      <c r="D79" s="31">
        <v>8</v>
      </c>
      <c r="E79" s="258">
        <v>19.3</v>
      </c>
      <c r="F79" s="27">
        <f>+D79-E79</f>
        <v>-11.3</v>
      </c>
      <c r="G79" s="231">
        <f>VLOOKUP($A$76:$A$89,'CONSORCIO VENTURA'!$B$93:$E$106,4,0)</f>
        <v>50171.128499999999</v>
      </c>
      <c r="H79" s="231">
        <f>+G79*E79</f>
        <v>968302.78005000006</v>
      </c>
      <c r="J79" s="259" t="s">
        <v>101</v>
      </c>
    </row>
    <row r="80" spans="1:10" s="20" customFormat="1" ht="13.5" thickBot="1" x14ac:dyDescent="0.3">
      <c r="A80" s="28">
        <v>4</v>
      </c>
      <c r="B80" s="279" t="s">
        <v>22</v>
      </c>
      <c r="C80" s="280"/>
      <c r="D80" s="280"/>
    </row>
    <row r="81" spans="1:10" s="24" customFormat="1" x14ac:dyDescent="0.25">
      <c r="A81" s="25">
        <v>4.2</v>
      </c>
      <c r="B81" s="3" t="s">
        <v>46</v>
      </c>
      <c r="C81" s="26" t="s">
        <v>12</v>
      </c>
      <c r="D81" s="31">
        <v>99</v>
      </c>
      <c r="E81" s="258">
        <v>99.25</v>
      </c>
      <c r="F81" s="27">
        <f>+D81-E81</f>
        <v>-0.25</v>
      </c>
      <c r="G81" s="231">
        <f>VLOOKUP($A$76:$A$89,'CONSORCIO VENTURA'!$B$93:$E$106,4,0)</f>
        <v>12111.111000000001</v>
      </c>
      <c r="H81" s="231">
        <f>+G81*E81</f>
        <v>1202027.7667500002</v>
      </c>
      <c r="J81" s="259" t="s">
        <v>101</v>
      </c>
    </row>
    <row r="82" spans="1:10" s="24" customFormat="1" ht="36" customHeight="1" x14ac:dyDescent="0.25">
      <c r="A82" s="25">
        <v>4.3</v>
      </c>
      <c r="B82" s="3" t="s">
        <v>47</v>
      </c>
      <c r="C82" s="26" t="s">
        <v>12</v>
      </c>
      <c r="D82" s="27">
        <v>70</v>
      </c>
      <c r="E82" s="27">
        <f>VLOOKUP($A$76:$A$89,'CONSORCIO VENTURA'!$B$93:$F$106,5,0)</f>
        <v>70</v>
      </c>
      <c r="F82" s="27">
        <f>+D82-E82</f>
        <v>0</v>
      </c>
      <c r="G82" s="231">
        <f>VLOOKUP($A$76:$A$89,'CONSORCIO VENTURA'!$B$93:$E$106,4,0)</f>
        <v>22821.418799999999</v>
      </c>
      <c r="H82" s="231">
        <f>+G82*E82</f>
        <v>1597499.3159999999</v>
      </c>
    </row>
    <row r="83" spans="1:10" s="24" customFormat="1" ht="42.75" customHeight="1" thickBot="1" x14ac:dyDescent="0.3">
      <c r="A83" s="35">
        <v>4.4000000000000004</v>
      </c>
      <c r="B83" s="6" t="s">
        <v>48</v>
      </c>
      <c r="C83" s="37" t="s">
        <v>24</v>
      </c>
      <c r="D83" s="37">
        <v>70</v>
      </c>
      <c r="E83" s="27">
        <f>VLOOKUP($A$76:$A$89,'CONSORCIO VENTURA'!$B$93:$F$106,5,0)</f>
        <v>70</v>
      </c>
      <c r="F83" s="27">
        <f>+D83-E83</f>
        <v>0</v>
      </c>
      <c r="G83" s="231">
        <f>VLOOKUP($A$76:$A$89,'CONSORCIO VENTURA'!$B$93:$E$106,4,0)</f>
        <v>20616.126540000001</v>
      </c>
      <c r="H83" s="231">
        <f>+G83*E83</f>
        <v>1443128.8578000001</v>
      </c>
    </row>
    <row r="84" spans="1:10" s="20" customFormat="1" ht="13.5" thickBot="1" x14ac:dyDescent="0.3">
      <c r="A84" s="28">
        <v>5</v>
      </c>
      <c r="B84" s="279" t="s">
        <v>25</v>
      </c>
      <c r="C84" s="280"/>
      <c r="D84" s="280"/>
    </row>
    <row r="85" spans="1:10" s="24" customFormat="1" ht="30.75" customHeight="1" thickBot="1" x14ac:dyDescent="0.3">
      <c r="A85" s="35">
        <v>5.0999999999999996</v>
      </c>
      <c r="B85" s="6" t="s">
        <v>26</v>
      </c>
      <c r="C85" s="36" t="s">
        <v>12</v>
      </c>
      <c r="D85" s="37">
        <v>2.2000000000000002</v>
      </c>
      <c r="E85" s="27">
        <f>VLOOKUP($A$76:$A$89,'CONSORCIO VENTURA'!$B$93:$F$106,5,0)</f>
        <v>2.2000000000000002</v>
      </c>
      <c r="F85" s="27">
        <f>+D85-E85</f>
        <v>0</v>
      </c>
      <c r="G85" s="231">
        <f>VLOOKUP($A$76:$A$89,'CONSORCIO VENTURA'!$B$93:$E$106,4,0)</f>
        <v>19342.757519999999</v>
      </c>
      <c r="H85" s="231">
        <f>+G85*E85</f>
        <v>42554.066544000001</v>
      </c>
    </row>
    <row r="86" spans="1:10" s="20" customFormat="1" ht="13.5" thickBot="1" x14ac:dyDescent="0.3">
      <c r="A86" s="19">
        <v>6</v>
      </c>
      <c r="B86" s="289" t="s">
        <v>64</v>
      </c>
      <c r="C86" s="290"/>
      <c r="D86" s="290"/>
    </row>
    <row r="87" spans="1:10" s="24" customFormat="1" ht="13.5" thickBot="1" x14ac:dyDescent="0.3">
      <c r="A87" s="21">
        <v>6.4</v>
      </c>
      <c r="B87" s="12" t="s">
        <v>65</v>
      </c>
      <c r="C87" s="22" t="s">
        <v>12</v>
      </c>
      <c r="D87" s="23">
        <v>3</v>
      </c>
      <c r="E87" s="27">
        <f>VLOOKUP($A$76:$A$89,'CONSORCIO VENTURA'!$B$93:$F$106,5,0)</f>
        <v>3</v>
      </c>
      <c r="F87" s="27">
        <f>+D87-E87</f>
        <v>0</v>
      </c>
      <c r="G87" s="231">
        <f>VLOOKUP($A$76:$A$89,'CONSORCIO VENTURA'!$B$93:$E$106,4,0)</f>
        <v>43768.290540000002</v>
      </c>
      <c r="H87" s="231">
        <f>+G87*E87</f>
        <v>131304.87161999999</v>
      </c>
    </row>
    <row r="88" spans="1:10" s="20" customFormat="1" ht="13.5" thickBot="1" x14ac:dyDescent="0.3">
      <c r="A88" s="28">
        <v>10</v>
      </c>
      <c r="B88" s="279" t="s">
        <v>52</v>
      </c>
      <c r="C88" s="280"/>
      <c r="D88" s="280"/>
    </row>
    <row r="89" spans="1:10" s="24" customFormat="1" ht="28.5" customHeight="1" thickBot="1" x14ac:dyDescent="0.3">
      <c r="A89" s="35">
        <v>10.3</v>
      </c>
      <c r="B89" s="3" t="s">
        <v>62</v>
      </c>
      <c r="C89" s="26" t="s">
        <v>12</v>
      </c>
      <c r="D89" s="37">
        <v>3.6</v>
      </c>
      <c r="E89" s="27">
        <f>VLOOKUP($A$76:$A$89,'CONSORCIO VENTURA'!$B$93:$F$106,5,0)</f>
        <v>3.6</v>
      </c>
      <c r="F89" s="27">
        <f>+D89-E89</f>
        <v>0</v>
      </c>
      <c r="G89" s="231">
        <f>VLOOKUP($A$76:$A$89,'CONSORCIO VENTURA'!$B$93:$E$106,4,0)</f>
        <v>548749.08912000002</v>
      </c>
      <c r="H89" s="231">
        <f>+G89*E89</f>
        <v>1975496.720832</v>
      </c>
    </row>
    <row r="90" spans="1:10" ht="13.5" thickBot="1" x14ac:dyDescent="0.25">
      <c r="A90" s="275" t="s">
        <v>27</v>
      </c>
      <c r="B90" s="276"/>
      <c r="C90" s="276"/>
      <c r="D90" s="276"/>
      <c r="E90" s="265"/>
      <c r="F90" s="266"/>
      <c r="G90" s="267"/>
      <c r="H90" s="253">
        <f>SUM(H28:H89)</f>
        <v>30083736.769892648</v>
      </c>
    </row>
    <row r="91" spans="1:10" x14ac:dyDescent="0.2">
      <c r="A91" s="291" t="s">
        <v>28</v>
      </c>
      <c r="B91" s="292"/>
      <c r="C91" s="38" t="s">
        <v>29</v>
      </c>
      <c r="D91" s="39">
        <v>0.28749999999999998</v>
      </c>
      <c r="E91" s="268">
        <v>0.27200000000000002</v>
      </c>
      <c r="F91" s="268"/>
      <c r="G91" s="268"/>
      <c r="H91" s="254">
        <f>+H90*E91</f>
        <v>8182776.4014108004</v>
      </c>
    </row>
    <row r="92" spans="1:10" x14ac:dyDescent="0.2">
      <c r="A92" s="293" t="s">
        <v>30</v>
      </c>
      <c r="B92" s="294"/>
      <c r="C92" s="40" t="s">
        <v>31</v>
      </c>
      <c r="D92" s="41">
        <v>0.05</v>
      </c>
      <c r="E92" s="268">
        <v>0.01</v>
      </c>
      <c r="F92" s="268"/>
      <c r="G92" s="268"/>
      <c r="H92" s="254">
        <f>+H90*E92</f>
        <v>300837.36769892648</v>
      </c>
    </row>
    <row r="93" spans="1:10" x14ac:dyDescent="0.2">
      <c r="A93" s="293" t="s">
        <v>32</v>
      </c>
      <c r="B93" s="294"/>
      <c r="C93" s="40" t="s">
        <v>33</v>
      </c>
      <c r="D93" s="41">
        <v>0.04</v>
      </c>
      <c r="E93" s="268">
        <v>0.04</v>
      </c>
      <c r="F93" s="268"/>
      <c r="G93" s="268"/>
      <c r="H93" s="254">
        <f>+H90*E93</f>
        <v>1203349.4707957059</v>
      </c>
    </row>
    <row r="94" spans="1:10" ht="13.5" thickBot="1" x14ac:dyDescent="0.25">
      <c r="A94" s="295" t="s">
        <v>34</v>
      </c>
      <c r="B94" s="296"/>
      <c r="C94" s="42" t="s">
        <v>35</v>
      </c>
      <c r="D94" s="43">
        <v>0.19</v>
      </c>
      <c r="E94" s="269">
        <v>0.19</v>
      </c>
      <c r="F94" s="269"/>
      <c r="G94" s="269"/>
      <c r="H94" s="254">
        <f>+H93*E94</f>
        <v>228636.39945118412</v>
      </c>
    </row>
    <row r="95" spans="1:10" ht="13.5" thickBot="1" x14ac:dyDescent="0.25">
      <c r="A95" s="275" t="s">
        <v>36</v>
      </c>
      <c r="B95" s="276"/>
      <c r="C95" s="276"/>
      <c r="D95" s="276"/>
      <c r="E95" s="265"/>
      <c r="F95" s="266"/>
      <c r="G95" s="267"/>
      <c r="H95" s="253">
        <f>+H91+H92+H93+H94</f>
        <v>9915599.6393566169</v>
      </c>
    </row>
    <row r="96" spans="1:10" ht="13.5" thickBot="1" x14ac:dyDescent="0.25">
      <c r="A96" s="275" t="s">
        <v>37</v>
      </c>
      <c r="B96" s="276"/>
      <c r="C96" s="276"/>
      <c r="D96" s="276"/>
      <c r="E96" s="265"/>
      <c r="F96" s="266"/>
      <c r="G96" s="267"/>
      <c r="H96" s="253">
        <f>+H90+H95</f>
        <v>39999336.409249261</v>
      </c>
    </row>
    <row r="97" spans="1:10" ht="13.5" thickBot="1" x14ac:dyDescent="0.25">
      <c r="A97" s="287" t="s">
        <v>66</v>
      </c>
      <c r="B97" s="288"/>
      <c r="C97" s="288"/>
      <c r="D97" s="288"/>
    </row>
    <row r="98" spans="1:10" ht="13.5" thickBot="1" x14ac:dyDescent="0.25">
      <c r="A98" s="17" t="s">
        <v>3</v>
      </c>
      <c r="B98" s="1" t="s">
        <v>4</v>
      </c>
      <c r="C98" s="1" t="s">
        <v>5</v>
      </c>
      <c r="D98" s="18" t="s">
        <v>7</v>
      </c>
    </row>
    <row r="99" spans="1:10" s="20" customFormat="1" ht="13.5" thickBot="1" x14ac:dyDescent="0.3">
      <c r="A99" s="28">
        <v>3</v>
      </c>
      <c r="B99" s="279" t="s">
        <v>20</v>
      </c>
      <c r="C99" s="280"/>
      <c r="D99" s="280"/>
    </row>
    <row r="100" spans="1:10" s="24" customFormat="1" ht="69" customHeight="1" x14ac:dyDescent="0.25">
      <c r="A100" s="47">
        <v>3.1</v>
      </c>
      <c r="B100" s="9" t="s">
        <v>45</v>
      </c>
      <c r="C100" s="48" t="s">
        <v>41</v>
      </c>
      <c r="D100" s="31">
        <v>384</v>
      </c>
      <c r="E100" s="27">
        <f>VLOOKUP($A$99:$A$102,'CONSORCIO VENTURA'!$B$117:$F$120,5,0)</f>
        <v>384</v>
      </c>
      <c r="F100" s="27">
        <f>+D100-E100</f>
        <v>0</v>
      </c>
      <c r="G100" s="231">
        <f>VLOOKUP($A$99:$A$102,'CONSORCIO VENTURA'!$B$117:$E$120,4,0)</f>
        <v>50171.128499999999</v>
      </c>
      <c r="H100" s="231">
        <f>+G100*E100</f>
        <v>19265713.344000001</v>
      </c>
    </row>
    <row r="101" spans="1:10" s="24" customFormat="1" ht="71.25" customHeight="1" x14ac:dyDescent="0.25">
      <c r="A101" s="47">
        <v>3.2</v>
      </c>
      <c r="B101" s="9" t="s">
        <v>67</v>
      </c>
      <c r="C101" s="48" t="s">
        <v>41</v>
      </c>
      <c r="D101" s="31">
        <v>38</v>
      </c>
      <c r="E101" s="27">
        <f>VLOOKUP($A$99:$A$102,'CONSORCIO VENTURA'!$B$117:$F$120,5,0)</f>
        <v>38</v>
      </c>
      <c r="F101" s="27">
        <f>+D101-E101</f>
        <v>0</v>
      </c>
      <c r="G101" s="231">
        <f>VLOOKUP($A$99:$A$102,'CONSORCIO VENTURA'!$B$117:$E$120,4,0)</f>
        <v>67428.245699999999</v>
      </c>
      <c r="H101" s="231">
        <f>+G101*E101</f>
        <v>2562273.3366</v>
      </c>
    </row>
    <row r="102" spans="1:10" s="24" customFormat="1" ht="73.5" customHeight="1" thickBot="1" x14ac:dyDescent="0.3">
      <c r="A102" s="51">
        <v>3.3</v>
      </c>
      <c r="B102" s="15" t="s">
        <v>21</v>
      </c>
      <c r="C102" s="52" t="s">
        <v>12</v>
      </c>
      <c r="D102" s="53">
        <v>52</v>
      </c>
      <c r="E102" s="258">
        <v>57.7</v>
      </c>
      <c r="F102" s="27">
        <f>+D102-E102</f>
        <v>-5.7000000000000028</v>
      </c>
      <c r="G102" s="231">
        <f>VLOOKUP($A$99:$A$102,'CONSORCIO VENTURA'!$B$117:$E$120,4,0)</f>
        <v>143010.33335999999</v>
      </c>
      <c r="H102" s="231">
        <f>+G102*E102</f>
        <v>8251696.2348719994</v>
      </c>
      <c r="J102" s="259" t="s">
        <v>101</v>
      </c>
    </row>
    <row r="103" spans="1:10" ht="13.5" thickBot="1" x14ac:dyDescent="0.25">
      <c r="A103" s="275" t="s">
        <v>27</v>
      </c>
      <c r="B103" s="276"/>
      <c r="C103" s="276"/>
      <c r="D103" s="276"/>
      <c r="E103" s="265"/>
      <c r="F103" s="266"/>
      <c r="G103" s="267"/>
      <c r="H103" s="253">
        <f>SUM(H100:H102)</f>
        <v>30079682.915472001</v>
      </c>
    </row>
    <row r="104" spans="1:10" x14ac:dyDescent="0.2">
      <c r="A104" s="291" t="s">
        <v>28</v>
      </c>
      <c r="B104" s="292"/>
      <c r="C104" s="38" t="s">
        <v>29</v>
      </c>
      <c r="D104" s="39">
        <v>0.28749999999999998</v>
      </c>
      <c r="E104" s="268">
        <v>0.27200000000000002</v>
      </c>
      <c r="F104" s="268"/>
      <c r="G104" s="268"/>
      <c r="H104" s="254">
        <f>+H103*E104</f>
        <v>8181673.7530083852</v>
      </c>
    </row>
    <row r="105" spans="1:10" x14ac:dyDescent="0.2">
      <c r="A105" s="293" t="s">
        <v>30</v>
      </c>
      <c r="B105" s="294"/>
      <c r="C105" s="40" t="s">
        <v>31</v>
      </c>
      <c r="D105" s="41">
        <v>0.05</v>
      </c>
      <c r="E105" s="268">
        <v>0.01</v>
      </c>
      <c r="F105" s="268"/>
      <c r="G105" s="268"/>
      <c r="H105" s="254">
        <f>+H103*E105</f>
        <v>300796.82915472001</v>
      </c>
    </row>
    <row r="106" spans="1:10" x14ac:dyDescent="0.2">
      <c r="A106" s="293" t="s">
        <v>32</v>
      </c>
      <c r="B106" s="294"/>
      <c r="C106" s="40" t="s">
        <v>33</v>
      </c>
      <c r="D106" s="41">
        <v>0.04</v>
      </c>
      <c r="E106" s="268">
        <v>0.04</v>
      </c>
      <c r="F106" s="268"/>
      <c r="G106" s="268"/>
      <c r="H106" s="254">
        <f>+H103*E106</f>
        <v>1203187.31661888</v>
      </c>
    </row>
    <row r="107" spans="1:10" ht="13.5" thickBot="1" x14ac:dyDescent="0.25">
      <c r="A107" s="295" t="s">
        <v>34</v>
      </c>
      <c r="B107" s="296"/>
      <c r="C107" s="42" t="s">
        <v>35</v>
      </c>
      <c r="D107" s="43">
        <v>0.19</v>
      </c>
      <c r="E107" s="269">
        <v>0.19</v>
      </c>
      <c r="F107" s="269"/>
      <c r="G107" s="269"/>
      <c r="H107" s="254">
        <f>+H106*E107</f>
        <v>228605.5901575872</v>
      </c>
    </row>
    <row r="108" spans="1:10" ht="13.5" thickBot="1" x14ac:dyDescent="0.25">
      <c r="A108" s="275" t="s">
        <v>36</v>
      </c>
      <c r="B108" s="276"/>
      <c r="C108" s="276"/>
      <c r="D108" s="276"/>
      <c r="E108" s="265"/>
      <c r="F108" s="266"/>
      <c r="G108" s="267"/>
      <c r="H108" s="253">
        <f>SUM(H104:H107)</f>
        <v>9914263.4889395721</v>
      </c>
    </row>
    <row r="109" spans="1:10" ht="13.5" thickBot="1" x14ac:dyDescent="0.25">
      <c r="A109" s="275" t="s">
        <v>37</v>
      </c>
      <c r="B109" s="276"/>
      <c r="C109" s="276"/>
      <c r="D109" s="276"/>
      <c r="E109" s="265"/>
      <c r="F109" s="266"/>
      <c r="G109" s="267"/>
      <c r="H109" s="263">
        <f>+H103+H108</f>
        <v>39993946.404411569</v>
      </c>
    </row>
    <row r="113" spans="1:11" x14ac:dyDescent="0.2">
      <c r="B113" s="270" t="s">
        <v>70</v>
      </c>
      <c r="C113" s="270"/>
      <c r="D113" s="270"/>
      <c r="H113" s="251"/>
      <c r="J113" s="261">
        <v>29998668.68</v>
      </c>
    </row>
    <row r="114" spans="1:11" x14ac:dyDescent="0.2">
      <c r="B114" s="270" t="s">
        <v>93</v>
      </c>
      <c r="C114" s="270"/>
      <c r="D114" s="270"/>
      <c r="H114" s="251"/>
      <c r="J114" s="261">
        <v>39999336.409999996</v>
      </c>
    </row>
    <row r="115" spans="1:11" x14ac:dyDescent="0.2">
      <c r="B115" s="270" t="s">
        <v>72</v>
      </c>
      <c r="C115" s="270"/>
      <c r="D115" s="270"/>
      <c r="H115" s="251"/>
      <c r="J115" s="261">
        <v>39993946.403999999</v>
      </c>
    </row>
    <row r="116" spans="1:11" s="245" customFormat="1" x14ac:dyDescent="0.2">
      <c r="A116" s="7"/>
      <c r="B116" s="271" t="s">
        <v>73</v>
      </c>
      <c r="C116" s="271"/>
      <c r="D116" s="271"/>
      <c r="H116" s="252"/>
      <c r="J116" s="264">
        <f>+J113+J114+J115</f>
        <v>109991951.494</v>
      </c>
      <c r="K116" s="260">
        <v>69998391.170000002</v>
      </c>
    </row>
    <row r="118" spans="1:11" x14ac:dyDescent="0.2">
      <c r="J118" s="262">
        <f>+J116+K116</f>
        <v>179990342.664</v>
      </c>
    </row>
    <row r="120" spans="1:11" x14ac:dyDescent="0.2">
      <c r="B120" s="271" t="s">
        <v>100</v>
      </c>
      <c r="C120" s="271"/>
      <c r="D120" s="271"/>
    </row>
    <row r="121" spans="1:11" x14ac:dyDescent="0.2">
      <c r="B121" s="54"/>
      <c r="C121" s="54"/>
      <c r="D121" s="54"/>
    </row>
    <row r="122" spans="1:11" x14ac:dyDescent="0.2">
      <c r="B122" s="270" t="s">
        <v>70</v>
      </c>
      <c r="C122" s="270"/>
      <c r="D122" s="255">
        <v>30000000</v>
      </c>
      <c r="H122" s="256">
        <f>+D122-J113</f>
        <v>1331.320000000298</v>
      </c>
    </row>
    <row r="123" spans="1:11" x14ac:dyDescent="0.2">
      <c r="B123" s="270" t="s">
        <v>93</v>
      </c>
      <c r="C123" s="270"/>
      <c r="D123" s="255">
        <v>40000000</v>
      </c>
      <c r="H123" s="256">
        <f>+D123-J114</f>
        <v>663.59000000357628</v>
      </c>
    </row>
    <row r="124" spans="1:11" x14ac:dyDescent="0.2">
      <c r="B124" s="270" t="s">
        <v>72</v>
      </c>
      <c r="C124" s="270"/>
      <c r="D124" s="255">
        <v>40000000</v>
      </c>
      <c r="H124" s="256">
        <f>+D124-J115</f>
        <v>6053.5960000008345</v>
      </c>
    </row>
    <row r="125" spans="1:11" x14ac:dyDescent="0.2">
      <c r="D125" s="252">
        <f>SUM(D122:D124)</f>
        <v>110000000</v>
      </c>
      <c r="H125" s="257">
        <f>+D125-J116</f>
        <v>8048.5059999972582</v>
      </c>
    </row>
  </sheetData>
  <mergeCells count="88">
    <mergeCell ref="A92:B92"/>
    <mergeCell ref="A93:B93"/>
    <mergeCell ref="A105:B105"/>
    <mergeCell ref="A94:B94"/>
    <mergeCell ref="A95:D95"/>
    <mergeCell ref="A96:D96"/>
    <mergeCell ref="A97:D97"/>
    <mergeCell ref="B99:D99"/>
    <mergeCell ref="A103:D103"/>
    <mergeCell ref="A104:B104"/>
    <mergeCell ref="A91:B91"/>
    <mergeCell ref="B65:D65"/>
    <mergeCell ref="B68:D68"/>
    <mergeCell ref="B72:D72"/>
    <mergeCell ref="A74:D74"/>
    <mergeCell ref="B76:D76"/>
    <mergeCell ref="B78:D78"/>
    <mergeCell ref="B80:D80"/>
    <mergeCell ref="B84:D84"/>
    <mergeCell ref="B86:D86"/>
    <mergeCell ref="B88:D88"/>
    <mergeCell ref="A90:D90"/>
    <mergeCell ref="A21:B21"/>
    <mergeCell ref="A22:B22"/>
    <mergeCell ref="A23:D23"/>
    <mergeCell ref="B63:D63"/>
    <mergeCell ref="B32:D32"/>
    <mergeCell ref="B34:D34"/>
    <mergeCell ref="B39:D39"/>
    <mergeCell ref="B41:D41"/>
    <mergeCell ref="B43:D43"/>
    <mergeCell ref="B46:D46"/>
    <mergeCell ref="B48:D48"/>
    <mergeCell ref="A51:D51"/>
    <mergeCell ref="B53:D53"/>
    <mergeCell ref="B56:D56"/>
    <mergeCell ref="B58:D58"/>
    <mergeCell ref="B14:D14"/>
    <mergeCell ref="B16:D16"/>
    <mergeCell ref="A18:D18"/>
    <mergeCell ref="A19:B19"/>
    <mergeCell ref="A20:B20"/>
    <mergeCell ref="A1:A2"/>
    <mergeCell ref="B1:D2"/>
    <mergeCell ref="A3:D3"/>
    <mergeCell ref="B5:D5"/>
    <mergeCell ref="B12:D12"/>
    <mergeCell ref="E1:H1"/>
    <mergeCell ref="E2:F5"/>
    <mergeCell ref="G2:G5"/>
    <mergeCell ref="H2:H5"/>
    <mergeCell ref="E18:G18"/>
    <mergeCell ref="E19:G19"/>
    <mergeCell ref="E20:G20"/>
    <mergeCell ref="E21:G21"/>
    <mergeCell ref="E22:G22"/>
    <mergeCell ref="E23:G23"/>
    <mergeCell ref="B123:C123"/>
    <mergeCell ref="B124:C124"/>
    <mergeCell ref="E106:G106"/>
    <mergeCell ref="E107:G107"/>
    <mergeCell ref="E108:G108"/>
    <mergeCell ref="E109:G109"/>
    <mergeCell ref="B120:D120"/>
    <mergeCell ref="B116:D116"/>
    <mergeCell ref="A106:B106"/>
    <mergeCell ref="A107:B107"/>
    <mergeCell ref="B113:D113"/>
    <mergeCell ref="B114:D114"/>
    <mergeCell ref="B115:D115"/>
    <mergeCell ref="A108:D108"/>
    <mergeCell ref="A109:D109"/>
    <mergeCell ref="E90:G90"/>
    <mergeCell ref="E93:G93"/>
    <mergeCell ref="E94:G94"/>
    <mergeCell ref="E24:G24"/>
    <mergeCell ref="B122:C122"/>
    <mergeCell ref="E95:G95"/>
    <mergeCell ref="E96:G96"/>
    <mergeCell ref="E103:G103"/>
    <mergeCell ref="E104:G104"/>
    <mergeCell ref="E105:G105"/>
    <mergeCell ref="E91:G91"/>
    <mergeCell ref="E92:G92"/>
    <mergeCell ref="A24:D24"/>
    <mergeCell ref="A25:D25"/>
    <mergeCell ref="B27:D27"/>
    <mergeCell ref="B30:D30"/>
  </mergeCells>
  <conditionalFormatting sqref="H122:H124">
    <cfRule type="cellIs" dxfId="3" priority="15" operator="lessThan">
      <formula>0</formula>
    </cfRule>
    <cfRule type="cellIs" dxfId="2" priority="16" operator="greaterThan">
      <formula>0</formula>
    </cfRule>
  </conditionalFormatting>
  <conditionalFormatting sqref="H125">
    <cfRule type="cellIs" dxfId="1" priority="13" operator="lessThan">
      <formula>0</formula>
    </cfRule>
    <cfRule type="cellIs" dxfId="0" priority="14" operator="greaterThan">
      <formula>0</formula>
    </cfRule>
  </conditionalFormatting>
  <pageMargins left="0.7" right="0.7" top="0.75" bottom="0.75" header="0.3" footer="0.3"/>
  <pageSetup paperSize="9" scale="48" orientation="portrait" r:id="rId1"/>
  <rowBreaks count="1" manualBreakCount="1">
    <brk id="42"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00B80-1D91-4DAE-A463-6A996DB8680D}">
  <dimension ref="B1:H147"/>
  <sheetViews>
    <sheetView topLeftCell="A22" zoomScale="70" zoomScaleNormal="70" workbookViewId="0"/>
  </sheetViews>
  <sheetFormatPr baseColWidth="10" defaultColWidth="11.42578125" defaultRowHeight="15" x14ac:dyDescent="0.25"/>
  <cols>
    <col min="2" max="2" width="12" style="56" bestFit="1" customWidth="1"/>
    <col min="3" max="3" width="51.85546875" style="57" bestFit="1" customWidth="1"/>
    <col min="4" max="4" width="6.7109375" style="56" bestFit="1" customWidth="1"/>
    <col min="5" max="5" width="33.42578125" style="56" customWidth="1"/>
    <col min="6" max="6" width="22.28515625" style="56" bestFit="1" customWidth="1"/>
    <col min="7" max="7" width="23.42578125" style="57" bestFit="1" customWidth="1"/>
    <col min="8" max="8" width="22.5703125" style="57" bestFit="1" customWidth="1"/>
    <col min="9" max="9" width="17.28515625" bestFit="1" customWidth="1"/>
  </cols>
  <sheetData>
    <row r="1" spans="2:8" ht="15.75" thickBot="1" x14ac:dyDescent="0.3"/>
    <row r="2" spans="2:8" x14ac:dyDescent="0.25">
      <c r="B2" s="218" t="s">
        <v>77</v>
      </c>
      <c r="C2" s="219"/>
      <c r="D2" s="219"/>
      <c r="E2" s="219"/>
      <c r="F2" s="219"/>
      <c r="G2" s="219"/>
      <c r="H2" s="220"/>
    </row>
    <row r="3" spans="2:8" x14ac:dyDescent="0.25">
      <c r="B3" s="221" t="s">
        <v>78</v>
      </c>
      <c r="C3" s="222"/>
      <c r="D3" s="222"/>
      <c r="E3" s="222"/>
      <c r="F3" s="222"/>
      <c r="G3" s="222"/>
      <c r="H3" s="223"/>
    </row>
    <row r="4" spans="2:8" ht="42.75" customHeight="1" thickBot="1" x14ac:dyDescent="0.3">
      <c r="B4" s="221" t="s">
        <v>79</v>
      </c>
      <c r="C4" s="222"/>
      <c r="D4" s="222"/>
      <c r="E4" s="222"/>
      <c r="F4" s="222"/>
      <c r="G4" s="222"/>
      <c r="H4" s="223"/>
    </row>
    <row r="5" spans="2:8" ht="15" customHeight="1" x14ac:dyDescent="0.25">
      <c r="B5" s="224" t="s">
        <v>0</v>
      </c>
      <c r="C5" s="226" t="s">
        <v>1</v>
      </c>
      <c r="D5" s="226"/>
      <c r="E5" s="226"/>
      <c r="F5" s="226"/>
      <c r="G5" s="226"/>
      <c r="H5" s="227"/>
    </row>
    <row r="6" spans="2:8" ht="84.75" customHeight="1" thickBot="1" x14ac:dyDescent="0.3">
      <c r="B6" s="225"/>
      <c r="C6" s="228"/>
      <c r="D6" s="228"/>
      <c r="E6" s="228"/>
      <c r="F6" s="228"/>
      <c r="G6" s="228"/>
      <c r="H6" s="229"/>
    </row>
    <row r="7" spans="2:8" x14ac:dyDescent="0.25">
      <c r="B7" s="58" t="s">
        <v>80</v>
      </c>
      <c r="C7" s="230"/>
      <c r="D7" s="230"/>
      <c r="E7" s="230"/>
      <c r="F7" s="230"/>
      <c r="G7" s="59"/>
      <c r="H7" s="60"/>
    </row>
    <row r="8" spans="2:8" x14ac:dyDescent="0.25">
      <c r="B8" s="206" t="s">
        <v>81</v>
      </c>
      <c r="C8" s="207"/>
      <c r="D8" s="207"/>
      <c r="E8" s="207"/>
      <c r="F8" s="207"/>
      <c r="G8" s="207"/>
      <c r="H8" s="208"/>
    </row>
    <row r="9" spans="2:8" x14ac:dyDescent="0.25">
      <c r="B9" s="206" t="s">
        <v>82</v>
      </c>
      <c r="C9" s="207"/>
      <c r="D9" s="207"/>
      <c r="E9" s="207"/>
      <c r="F9" s="207"/>
      <c r="G9" s="207"/>
      <c r="H9" s="208"/>
    </row>
    <row r="10" spans="2:8" x14ac:dyDescent="0.25">
      <c r="B10" s="206" t="s">
        <v>83</v>
      </c>
      <c r="C10" s="207"/>
      <c r="D10" s="207"/>
      <c r="E10" s="207"/>
      <c r="F10" s="207"/>
      <c r="G10" s="207"/>
      <c r="H10" s="208"/>
    </row>
    <row r="11" spans="2:8" ht="34.5" customHeight="1" thickBot="1" x14ac:dyDescent="0.3">
      <c r="B11" s="209" t="s">
        <v>84</v>
      </c>
      <c r="C11" s="210"/>
      <c r="D11" s="210"/>
      <c r="E11" s="210"/>
      <c r="F11" s="210"/>
      <c r="G11" s="210"/>
      <c r="H11" s="211"/>
    </row>
    <row r="12" spans="2:8" ht="19.5" customHeight="1" thickBot="1" x14ac:dyDescent="0.3">
      <c r="B12" s="212" t="s">
        <v>85</v>
      </c>
      <c r="C12" s="213"/>
      <c r="D12" s="213"/>
      <c r="E12" s="213"/>
      <c r="F12" s="213"/>
      <c r="G12" s="213"/>
      <c r="H12" s="214"/>
    </row>
    <row r="13" spans="2:8" ht="72.75" customHeight="1" thickBot="1" x14ac:dyDescent="0.3">
      <c r="B13" s="215" t="s">
        <v>86</v>
      </c>
      <c r="C13" s="216"/>
      <c r="D13" s="216"/>
      <c r="E13" s="216"/>
      <c r="F13" s="216"/>
      <c r="G13" s="216"/>
      <c r="H13" s="217"/>
    </row>
    <row r="14" spans="2:8" ht="15.75" thickBot="1" x14ac:dyDescent="0.3">
      <c r="D14" s="57"/>
      <c r="F14" s="57"/>
    </row>
    <row r="15" spans="2:8" ht="18.75" customHeight="1" thickBot="1" x14ac:dyDescent="0.3">
      <c r="B15" s="192" t="s">
        <v>87</v>
      </c>
      <c r="C15" s="193"/>
      <c r="D15" s="193"/>
      <c r="E15" s="193"/>
      <c r="F15" s="193"/>
      <c r="G15" s="193"/>
      <c r="H15" s="194"/>
    </row>
    <row r="16" spans="2:8" ht="18.75" customHeight="1" thickBot="1" x14ac:dyDescent="0.3">
      <c r="B16" s="192" t="s">
        <v>2</v>
      </c>
      <c r="C16" s="193"/>
      <c r="D16" s="193"/>
      <c r="E16" s="193"/>
      <c r="F16" s="193"/>
      <c r="G16" s="193"/>
      <c r="H16" s="194"/>
    </row>
    <row r="17" spans="2:8" ht="15.75" thickBot="1" x14ac:dyDescent="0.3">
      <c r="B17" s="61" t="s">
        <v>3</v>
      </c>
      <c r="C17" s="62" t="s">
        <v>4</v>
      </c>
      <c r="D17" s="63" t="s">
        <v>5</v>
      </c>
      <c r="E17" s="64" t="s">
        <v>6</v>
      </c>
      <c r="F17" s="65" t="s">
        <v>7</v>
      </c>
      <c r="G17" s="64" t="s">
        <v>8</v>
      </c>
      <c r="H17" s="66" t="s">
        <v>9</v>
      </c>
    </row>
    <row r="18" spans="2:8" s="69" customFormat="1" ht="15.75" thickBot="1" x14ac:dyDescent="0.3">
      <c r="B18" s="67">
        <v>1</v>
      </c>
      <c r="C18" s="195" t="s">
        <v>10</v>
      </c>
      <c r="D18" s="196"/>
      <c r="E18" s="196"/>
      <c r="F18" s="196"/>
      <c r="G18" s="196"/>
      <c r="H18" s="68">
        <f>SUM(G19:G24)</f>
        <v>2093950</v>
      </c>
    </row>
    <row r="19" spans="2:8" s="56" customFormat="1" ht="48" customHeight="1" x14ac:dyDescent="0.25">
      <c r="B19" s="70">
        <v>1.1000000000000001</v>
      </c>
      <c r="C19" s="71" t="s">
        <v>11</v>
      </c>
      <c r="D19" s="72" t="s">
        <v>12</v>
      </c>
      <c r="E19" s="73">
        <v>15800</v>
      </c>
      <c r="F19" s="74">
        <v>84</v>
      </c>
      <c r="G19" s="73">
        <f>+E19*F19</f>
        <v>1327200</v>
      </c>
      <c r="H19" s="75"/>
    </row>
    <row r="20" spans="2:8" s="56" customFormat="1" ht="39.6" customHeight="1" x14ac:dyDescent="0.25">
      <c r="B20" s="76">
        <v>1.2</v>
      </c>
      <c r="C20" s="77" t="s">
        <v>13</v>
      </c>
      <c r="D20" s="78" t="s">
        <v>14</v>
      </c>
      <c r="E20" s="79">
        <v>12400</v>
      </c>
      <c r="F20" s="80">
        <v>14</v>
      </c>
      <c r="G20" s="79">
        <f t="shared" ref="G20:G24" si="0">+E20*F20</f>
        <v>173600</v>
      </c>
      <c r="H20" s="81"/>
    </row>
    <row r="21" spans="2:8" s="56" customFormat="1" ht="44.45" customHeight="1" x14ac:dyDescent="0.25">
      <c r="B21" s="76">
        <v>1.4</v>
      </c>
      <c r="C21" s="77" t="s">
        <v>15</v>
      </c>
      <c r="D21" s="78" t="s">
        <v>14</v>
      </c>
      <c r="E21" s="79">
        <v>17600</v>
      </c>
      <c r="F21" s="80">
        <v>14</v>
      </c>
      <c r="G21" s="79">
        <f t="shared" si="0"/>
        <v>246400</v>
      </c>
      <c r="H21" s="81"/>
    </row>
    <row r="22" spans="2:8" s="56" customFormat="1" ht="48" customHeight="1" x14ac:dyDescent="0.25">
      <c r="B22" s="76">
        <v>1.5</v>
      </c>
      <c r="C22" s="77" t="s">
        <v>16</v>
      </c>
      <c r="D22" s="78" t="s">
        <v>12</v>
      </c>
      <c r="E22" s="79">
        <v>11800</v>
      </c>
      <c r="F22" s="80">
        <v>26.25</v>
      </c>
      <c r="G22" s="79">
        <f t="shared" si="0"/>
        <v>309750</v>
      </c>
      <c r="H22" s="81"/>
    </row>
    <row r="23" spans="2:8" s="56" customFormat="1" ht="30" customHeight="1" x14ac:dyDescent="0.25">
      <c r="B23" s="76">
        <v>1.6</v>
      </c>
      <c r="C23" s="77" t="s">
        <v>17</v>
      </c>
      <c r="D23" s="78" t="s">
        <v>18</v>
      </c>
      <c r="E23" s="79">
        <v>4100</v>
      </c>
      <c r="F23" s="80">
        <v>7</v>
      </c>
      <c r="G23" s="79">
        <f t="shared" si="0"/>
        <v>28700</v>
      </c>
      <c r="H23" s="81"/>
    </row>
    <row r="24" spans="2:8" s="56" customFormat="1" ht="23.45" customHeight="1" thickBot="1" x14ac:dyDescent="0.3">
      <c r="B24" s="76">
        <v>1.7</v>
      </c>
      <c r="C24" s="77" t="s">
        <v>19</v>
      </c>
      <c r="D24" s="78" t="s">
        <v>12</v>
      </c>
      <c r="E24" s="79">
        <v>8300</v>
      </c>
      <c r="F24" s="80">
        <v>1</v>
      </c>
      <c r="G24" s="79">
        <f t="shared" si="0"/>
        <v>8300</v>
      </c>
      <c r="H24" s="81"/>
    </row>
    <row r="25" spans="2:8" s="69" customFormat="1" ht="15.75" customHeight="1" thickBot="1" x14ac:dyDescent="0.3">
      <c r="B25" s="82">
        <v>3</v>
      </c>
      <c r="C25" s="183" t="s">
        <v>20</v>
      </c>
      <c r="D25" s="184"/>
      <c r="E25" s="184"/>
      <c r="F25" s="184"/>
      <c r="G25" s="184"/>
      <c r="H25" s="83">
        <f>SUM(G26)</f>
        <v>10480800</v>
      </c>
    </row>
    <row r="26" spans="2:8" s="56" customFormat="1" ht="129" customHeight="1" thickBot="1" x14ac:dyDescent="0.3">
      <c r="B26" s="84">
        <v>3.3</v>
      </c>
      <c r="C26" s="85" t="s">
        <v>21</v>
      </c>
      <c r="D26" s="86" t="s">
        <v>12</v>
      </c>
      <c r="E26" s="87">
        <v>132000</v>
      </c>
      <c r="F26" s="88">
        <v>79.400000000000006</v>
      </c>
      <c r="G26" s="87">
        <f>+E26*F26</f>
        <v>10480800</v>
      </c>
      <c r="H26" s="89"/>
    </row>
    <row r="27" spans="2:8" s="69" customFormat="1" ht="15.75" customHeight="1" thickBot="1" x14ac:dyDescent="0.3">
      <c r="B27" s="67">
        <v>4</v>
      </c>
      <c r="C27" s="195" t="s">
        <v>22</v>
      </c>
      <c r="D27" s="196"/>
      <c r="E27" s="196"/>
      <c r="F27" s="196"/>
      <c r="G27" s="196"/>
      <c r="H27" s="68">
        <f>SUM(G28)</f>
        <v>8086800</v>
      </c>
    </row>
    <row r="28" spans="2:8" s="56" customFormat="1" ht="15.75" thickBot="1" x14ac:dyDescent="0.3">
      <c r="B28" s="90">
        <v>4.0999999999999996</v>
      </c>
      <c r="C28" s="91" t="s">
        <v>23</v>
      </c>
      <c r="D28" s="92" t="s">
        <v>24</v>
      </c>
      <c r="E28" s="93">
        <v>13800</v>
      </c>
      <c r="F28" s="94">
        <v>586</v>
      </c>
      <c r="G28" s="93">
        <f>+E28*F28</f>
        <v>8086800</v>
      </c>
      <c r="H28" s="95"/>
    </row>
    <row r="29" spans="2:8" s="69" customFormat="1" ht="15.75" customHeight="1" thickBot="1" x14ac:dyDescent="0.3">
      <c r="B29" s="82">
        <v>5</v>
      </c>
      <c r="C29" s="183" t="s">
        <v>25</v>
      </c>
      <c r="D29" s="184"/>
      <c r="E29" s="184"/>
      <c r="F29" s="184"/>
      <c r="G29" s="184"/>
      <c r="H29" s="83">
        <f>SUM(G30)</f>
        <v>303690</v>
      </c>
    </row>
    <row r="30" spans="2:8" s="56" customFormat="1" ht="54.6" customHeight="1" thickBot="1" x14ac:dyDescent="0.3">
      <c r="B30" s="96">
        <v>5.0999999999999996</v>
      </c>
      <c r="C30" s="97" t="s">
        <v>26</v>
      </c>
      <c r="D30" s="98" t="s">
        <v>12</v>
      </c>
      <c r="E30" s="99">
        <v>19100</v>
      </c>
      <c r="F30" s="100">
        <v>15.9</v>
      </c>
      <c r="G30" s="99">
        <f>+E30*F30</f>
        <v>303690</v>
      </c>
      <c r="H30" s="101"/>
    </row>
    <row r="31" spans="2:8" ht="15.75" customHeight="1" thickBot="1" x14ac:dyDescent="0.3">
      <c r="B31" s="161" t="s">
        <v>27</v>
      </c>
      <c r="C31" s="162"/>
      <c r="D31" s="162"/>
      <c r="E31" s="162"/>
      <c r="F31" s="162"/>
      <c r="G31" s="185"/>
      <c r="H31" s="102">
        <f>SUM(H18:H30)</f>
        <v>20965240</v>
      </c>
    </row>
    <row r="32" spans="2:8" ht="15" customHeight="1" x14ac:dyDescent="0.25">
      <c r="B32" s="186" t="s">
        <v>28</v>
      </c>
      <c r="C32" s="187"/>
      <c r="D32" s="188" t="s">
        <v>29</v>
      </c>
      <c r="E32" s="189"/>
      <c r="F32" s="190">
        <f>SUM('[1]OFERTA ECONOMICA 02-01 '!$L$68:$L$73)+18%</f>
        <v>0.18</v>
      </c>
      <c r="G32" s="191"/>
      <c r="H32" s="103">
        <f>+H31*F32</f>
        <v>3773743.1999999997</v>
      </c>
    </row>
    <row r="33" spans="2:8" ht="15" customHeight="1" x14ac:dyDescent="0.25">
      <c r="B33" s="171" t="s">
        <v>30</v>
      </c>
      <c r="C33" s="172"/>
      <c r="D33" s="173" t="s">
        <v>31</v>
      </c>
      <c r="E33" s="174"/>
      <c r="F33" s="175">
        <v>0.05</v>
      </c>
      <c r="G33" s="176"/>
      <c r="H33" s="104">
        <f>+H31*F33</f>
        <v>1048262</v>
      </c>
    </row>
    <row r="34" spans="2:8" ht="15" customHeight="1" x14ac:dyDescent="0.25">
      <c r="B34" s="171" t="s">
        <v>32</v>
      </c>
      <c r="C34" s="172"/>
      <c r="D34" s="173" t="s">
        <v>33</v>
      </c>
      <c r="E34" s="174"/>
      <c r="F34" s="175">
        <v>0.04</v>
      </c>
      <c r="G34" s="176"/>
      <c r="H34" s="104">
        <f>+H31*F34</f>
        <v>838609.6</v>
      </c>
    </row>
    <row r="35" spans="2:8" ht="15.75" customHeight="1" thickBot="1" x14ac:dyDescent="0.3">
      <c r="B35" s="177" t="s">
        <v>34</v>
      </c>
      <c r="C35" s="178"/>
      <c r="D35" s="179" t="s">
        <v>35</v>
      </c>
      <c r="E35" s="180"/>
      <c r="F35" s="181">
        <v>0.19</v>
      </c>
      <c r="G35" s="182"/>
      <c r="H35" s="105">
        <f>+H34*F35</f>
        <v>159335.82399999999</v>
      </c>
    </row>
    <row r="36" spans="2:8" ht="15.75" customHeight="1" thickBot="1" x14ac:dyDescent="0.3">
      <c r="B36" s="161" t="s">
        <v>36</v>
      </c>
      <c r="C36" s="162"/>
      <c r="D36" s="162"/>
      <c r="E36" s="162"/>
      <c r="F36" s="162"/>
      <c r="G36" s="162"/>
      <c r="H36" s="106">
        <f>SUM(H32:H35)</f>
        <v>5819950.6239999989</v>
      </c>
    </row>
    <row r="37" spans="2:8" ht="15.75" customHeight="1" thickBot="1" x14ac:dyDescent="0.3">
      <c r="B37" s="161" t="s">
        <v>37</v>
      </c>
      <c r="C37" s="162"/>
      <c r="D37" s="162"/>
      <c r="E37" s="162"/>
      <c r="F37" s="162"/>
      <c r="G37" s="162"/>
      <c r="H37" s="106">
        <f>+H31+H36</f>
        <v>26785190.623999998</v>
      </c>
    </row>
    <row r="38" spans="2:8" x14ac:dyDescent="0.25">
      <c r="B38" s="107"/>
      <c r="C38" s="107"/>
      <c r="D38" s="107"/>
      <c r="E38" s="107"/>
      <c r="F38" s="107"/>
      <c r="G38" s="107"/>
      <c r="H38" s="108"/>
    </row>
    <row r="39" spans="2:8" x14ac:dyDescent="0.25">
      <c r="B39" s="107"/>
      <c r="C39" s="107"/>
      <c r="D39" s="107"/>
      <c r="E39" s="107"/>
      <c r="F39" s="107"/>
      <c r="G39" s="107"/>
      <c r="H39" s="108"/>
    </row>
    <row r="40" spans="2:8" ht="15.75" thickBot="1" x14ac:dyDescent="0.3">
      <c r="D40" s="57"/>
      <c r="F40" s="57"/>
    </row>
    <row r="41" spans="2:8" ht="38.25" customHeight="1" thickBot="1" x14ac:dyDescent="0.3">
      <c r="B41" s="203" t="s">
        <v>38</v>
      </c>
      <c r="C41" s="204"/>
      <c r="D41" s="204"/>
      <c r="E41" s="204"/>
      <c r="F41" s="204"/>
      <c r="G41" s="204"/>
      <c r="H41" s="205"/>
    </row>
    <row r="42" spans="2:8" ht="18.75" customHeight="1" thickBot="1" x14ac:dyDescent="0.3">
      <c r="B42" s="199" t="s">
        <v>88</v>
      </c>
      <c r="C42" s="200"/>
      <c r="D42" s="200"/>
      <c r="E42" s="200"/>
      <c r="F42" s="200"/>
      <c r="G42" s="200"/>
      <c r="H42" s="201"/>
    </row>
    <row r="43" spans="2:8" ht="15.75" thickBot="1" x14ac:dyDescent="0.3">
      <c r="B43" s="109" t="s">
        <v>3</v>
      </c>
      <c r="C43" s="110" t="s">
        <v>4</v>
      </c>
      <c r="D43" s="111" t="s">
        <v>5</v>
      </c>
      <c r="E43" s="112" t="s">
        <v>6</v>
      </c>
      <c r="F43" s="113" t="s">
        <v>7</v>
      </c>
      <c r="G43" s="112" t="s">
        <v>8</v>
      </c>
      <c r="H43" s="114" t="s">
        <v>9</v>
      </c>
    </row>
    <row r="44" spans="2:8" s="69" customFormat="1" ht="15.75" customHeight="1" thickBot="1" x14ac:dyDescent="0.3">
      <c r="B44" s="82">
        <v>1</v>
      </c>
      <c r="C44" s="183" t="s">
        <v>10</v>
      </c>
      <c r="D44" s="184"/>
      <c r="E44" s="184"/>
      <c r="F44" s="184"/>
      <c r="G44" s="184"/>
      <c r="H44" s="83">
        <f>SUM(G45:G46)</f>
        <v>731000</v>
      </c>
    </row>
    <row r="45" spans="2:8" s="56" customFormat="1" ht="31.15" customHeight="1" x14ac:dyDescent="0.25">
      <c r="B45" s="115">
        <v>1.3</v>
      </c>
      <c r="C45" s="116" t="s">
        <v>39</v>
      </c>
      <c r="D45" s="117" t="s">
        <v>12</v>
      </c>
      <c r="E45" s="87">
        <v>5000</v>
      </c>
      <c r="F45" s="88">
        <v>70</v>
      </c>
      <c r="G45" s="87">
        <f>+E45*F45</f>
        <v>350000</v>
      </c>
      <c r="H45" s="89"/>
    </row>
    <row r="46" spans="2:8" s="56" customFormat="1" ht="36.6" customHeight="1" thickBot="1" x14ac:dyDescent="0.3">
      <c r="B46" s="84">
        <v>1.8</v>
      </c>
      <c r="C46" s="85" t="s">
        <v>40</v>
      </c>
      <c r="D46" s="86" t="s">
        <v>41</v>
      </c>
      <c r="E46" s="118">
        <v>12700</v>
      </c>
      <c r="F46" s="119">
        <v>30</v>
      </c>
      <c r="G46" s="118">
        <f>+E46*F46</f>
        <v>381000</v>
      </c>
      <c r="H46" s="120"/>
    </row>
    <row r="47" spans="2:8" s="69" customFormat="1" ht="15.75" customHeight="1" thickBot="1" x14ac:dyDescent="0.3">
      <c r="B47" s="121">
        <v>2</v>
      </c>
      <c r="C47" s="197" t="s">
        <v>42</v>
      </c>
      <c r="D47" s="198"/>
      <c r="E47" s="198"/>
      <c r="F47" s="198"/>
      <c r="G47" s="198"/>
      <c r="H47" s="122">
        <f>SUM(G48)</f>
        <v>285840</v>
      </c>
    </row>
    <row r="48" spans="2:8" s="56" customFormat="1" ht="62.45" customHeight="1" thickBot="1" x14ac:dyDescent="0.3">
      <c r="B48" s="115">
        <v>2.1</v>
      </c>
      <c r="C48" s="116" t="s">
        <v>43</v>
      </c>
      <c r="D48" s="117" t="s">
        <v>44</v>
      </c>
      <c r="E48" s="87">
        <v>79400</v>
      </c>
      <c r="F48" s="88">
        <v>3.5999999999999996</v>
      </c>
      <c r="G48" s="87">
        <f>+E48*F48</f>
        <v>285840</v>
      </c>
      <c r="H48" s="89"/>
    </row>
    <row r="49" spans="2:8" s="69" customFormat="1" ht="15.75" customHeight="1" thickBot="1" x14ac:dyDescent="0.3">
      <c r="B49" s="82">
        <v>3</v>
      </c>
      <c r="C49" s="202" t="s">
        <v>20</v>
      </c>
      <c r="D49" s="184"/>
      <c r="E49" s="184"/>
      <c r="F49" s="184"/>
      <c r="G49" s="184"/>
      <c r="H49" s="83">
        <f>SUM(G50)</f>
        <v>242000</v>
      </c>
    </row>
    <row r="50" spans="2:8" s="56" customFormat="1" ht="145.15" customHeight="1" thickBot="1" x14ac:dyDescent="0.3">
      <c r="B50" s="70">
        <v>3.1</v>
      </c>
      <c r="C50" s="71" t="s">
        <v>45</v>
      </c>
      <c r="D50" s="72" t="s">
        <v>41</v>
      </c>
      <c r="E50" s="87">
        <v>48400</v>
      </c>
      <c r="F50" s="88">
        <v>5</v>
      </c>
      <c r="G50" s="87">
        <f>+E50*F50</f>
        <v>242000</v>
      </c>
      <c r="H50" s="89"/>
    </row>
    <row r="51" spans="2:8" s="69" customFormat="1" ht="15.75" customHeight="1" thickBot="1" x14ac:dyDescent="0.3">
      <c r="B51" s="82">
        <v>4</v>
      </c>
      <c r="C51" s="183" t="s">
        <v>22</v>
      </c>
      <c r="D51" s="184"/>
      <c r="E51" s="184"/>
      <c r="F51" s="184"/>
      <c r="G51" s="184"/>
      <c r="H51" s="83">
        <f>SUM(G52:G55)</f>
        <v>4126704</v>
      </c>
    </row>
    <row r="52" spans="2:8" s="56" customFormat="1" ht="44.45" customHeight="1" x14ac:dyDescent="0.25">
      <c r="B52" s="76">
        <v>4.2</v>
      </c>
      <c r="C52" s="77" t="s">
        <v>46</v>
      </c>
      <c r="D52" s="78" t="s">
        <v>12</v>
      </c>
      <c r="E52" s="87">
        <v>11600</v>
      </c>
      <c r="F52" s="88">
        <v>85</v>
      </c>
      <c r="G52" s="87">
        <f>+E52*F52</f>
        <v>986000</v>
      </c>
      <c r="H52" s="89"/>
    </row>
    <row r="53" spans="2:8" s="56" customFormat="1" ht="61.9" customHeight="1" x14ac:dyDescent="0.25">
      <c r="B53" s="76">
        <v>4.3</v>
      </c>
      <c r="C53" s="77" t="s">
        <v>47</v>
      </c>
      <c r="D53" s="78" t="s">
        <v>12</v>
      </c>
      <c r="E53" s="79">
        <v>22300</v>
      </c>
      <c r="F53" s="80">
        <v>70</v>
      </c>
      <c r="G53" s="79">
        <f>+E53*F53</f>
        <v>1561000</v>
      </c>
      <c r="H53" s="81"/>
    </row>
    <row r="54" spans="2:8" s="56" customFormat="1" ht="72" customHeight="1" x14ac:dyDescent="0.25">
      <c r="B54" s="76">
        <v>4.4000000000000004</v>
      </c>
      <c r="C54" s="77" t="s">
        <v>48</v>
      </c>
      <c r="D54" s="80" t="s">
        <v>24</v>
      </c>
      <c r="E54" s="79">
        <v>19500</v>
      </c>
      <c r="F54" s="80">
        <v>70</v>
      </c>
      <c r="G54" s="79">
        <f>+E54*F54</f>
        <v>1365000</v>
      </c>
      <c r="H54" s="81"/>
    </row>
    <row r="55" spans="2:8" s="56" customFormat="1" ht="41.45" customHeight="1" thickBot="1" x14ac:dyDescent="0.3">
      <c r="B55" s="84">
        <v>4.5</v>
      </c>
      <c r="C55" s="85" t="s">
        <v>49</v>
      </c>
      <c r="D55" s="119" t="s">
        <v>24</v>
      </c>
      <c r="E55" s="118">
        <v>56800</v>
      </c>
      <c r="F55" s="119">
        <v>3.7800000000000002</v>
      </c>
      <c r="G55" s="118">
        <f>+E55*F55</f>
        <v>214704</v>
      </c>
      <c r="H55" s="120"/>
    </row>
    <row r="56" spans="2:8" s="69" customFormat="1" ht="15.75" customHeight="1" thickBot="1" x14ac:dyDescent="0.3">
      <c r="B56" s="121">
        <v>5</v>
      </c>
      <c r="C56" s="197" t="s">
        <v>25</v>
      </c>
      <c r="D56" s="198"/>
      <c r="E56" s="198"/>
      <c r="F56" s="198"/>
      <c r="G56" s="198"/>
      <c r="H56" s="122">
        <f>SUM(G57)</f>
        <v>32775.600000000006</v>
      </c>
    </row>
    <row r="57" spans="2:8" s="56" customFormat="1" ht="55.9" customHeight="1" thickBot="1" x14ac:dyDescent="0.3">
      <c r="B57" s="96">
        <v>5.0999999999999996</v>
      </c>
      <c r="C57" s="97" t="s">
        <v>26</v>
      </c>
      <c r="D57" s="98" t="s">
        <v>12</v>
      </c>
      <c r="E57" s="99">
        <v>19100</v>
      </c>
      <c r="F57" s="100">
        <v>1.7160000000000002</v>
      </c>
      <c r="G57" s="99">
        <f>+E57*F57</f>
        <v>32775.600000000006</v>
      </c>
      <c r="H57" s="101"/>
    </row>
    <row r="58" spans="2:8" s="69" customFormat="1" ht="15.75" customHeight="1" thickBot="1" x14ac:dyDescent="0.3">
      <c r="B58" s="82">
        <v>8</v>
      </c>
      <c r="C58" s="183" t="s">
        <v>50</v>
      </c>
      <c r="D58" s="184"/>
      <c r="E58" s="184"/>
      <c r="F58" s="184"/>
      <c r="G58" s="184"/>
      <c r="H58" s="83">
        <f>SUM(G59:G59)</f>
        <v>445000</v>
      </c>
    </row>
    <row r="59" spans="2:8" s="56" customFormat="1" ht="51" customHeight="1" thickBot="1" x14ac:dyDescent="0.3">
      <c r="B59" s="115">
        <v>8.9</v>
      </c>
      <c r="C59" s="123" t="s">
        <v>51</v>
      </c>
      <c r="D59" s="117" t="s">
        <v>14</v>
      </c>
      <c r="E59" s="87">
        <v>445000</v>
      </c>
      <c r="F59" s="88">
        <v>1</v>
      </c>
      <c r="G59" s="87">
        <f t="shared" ref="G59" si="1">+E59*F59</f>
        <v>445000</v>
      </c>
      <c r="H59" s="89"/>
    </row>
    <row r="60" spans="2:8" s="69" customFormat="1" ht="15.75" customHeight="1" thickBot="1" x14ac:dyDescent="0.3">
      <c r="B60" s="82">
        <v>10</v>
      </c>
      <c r="C60" s="183" t="s">
        <v>52</v>
      </c>
      <c r="D60" s="184"/>
      <c r="E60" s="184"/>
      <c r="F60" s="184"/>
      <c r="G60" s="184"/>
      <c r="H60" s="83">
        <f>SUM(G61:G62)</f>
        <v>2378340</v>
      </c>
    </row>
    <row r="61" spans="2:8" s="56" customFormat="1" ht="204" customHeight="1" x14ac:dyDescent="0.25">
      <c r="B61" s="76">
        <v>10.4</v>
      </c>
      <c r="C61" s="77" t="s">
        <v>53</v>
      </c>
      <c r="D61" s="80" t="s">
        <v>41</v>
      </c>
      <c r="E61" s="79">
        <v>891600</v>
      </c>
      <c r="F61" s="80">
        <v>1.8</v>
      </c>
      <c r="G61" s="79">
        <f>+E61*F61</f>
        <v>1604880</v>
      </c>
      <c r="H61" s="81"/>
    </row>
    <row r="62" spans="2:8" s="56" customFormat="1" ht="174" customHeight="1" thickBot="1" x14ac:dyDescent="0.3">
      <c r="B62" s="76">
        <v>10.5</v>
      </c>
      <c r="C62" s="77" t="s">
        <v>54</v>
      </c>
      <c r="D62" s="80" t="s">
        <v>41</v>
      </c>
      <c r="E62" s="79">
        <v>429700</v>
      </c>
      <c r="F62" s="80">
        <v>1.8</v>
      </c>
      <c r="G62" s="79">
        <f>+E62*F62</f>
        <v>773460</v>
      </c>
      <c r="H62" s="81"/>
    </row>
    <row r="63" spans="2:8" s="69" customFormat="1" ht="15.75" customHeight="1" thickBot="1" x14ac:dyDescent="0.3">
      <c r="B63" s="82">
        <v>12</v>
      </c>
      <c r="C63" s="183" t="s">
        <v>55</v>
      </c>
      <c r="D63" s="184"/>
      <c r="E63" s="184"/>
      <c r="F63" s="184"/>
      <c r="G63" s="184"/>
      <c r="H63" s="83">
        <f>SUM(G64:G64)</f>
        <v>230000</v>
      </c>
    </row>
    <row r="64" spans="2:8" s="56" customFormat="1" ht="43.9" customHeight="1" thickBot="1" x14ac:dyDescent="0.3">
      <c r="B64" s="76">
        <v>12.1</v>
      </c>
      <c r="C64" s="124" t="s">
        <v>56</v>
      </c>
      <c r="D64" s="78" t="s">
        <v>12</v>
      </c>
      <c r="E64" s="79">
        <v>230000</v>
      </c>
      <c r="F64" s="80">
        <v>1</v>
      </c>
      <c r="G64" s="79">
        <f>+E64*F64</f>
        <v>230000</v>
      </c>
      <c r="H64" s="81"/>
    </row>
    <row r="65" spans="2:8" s="69" customFormat="1" ht="15.75" customHeight="1" thickBot="1" x14ac:dyDescent="0.3">
      <c r="B65" s="67">
        <v>13</v>
      </c>
      <c r="C65" s="195" t="s">
        <v>57</v>
      </c>
      <c r="D65" s="196"/>
      <c r="E65" s="196"/>
      <c r="F65" s="196"/>
      <c r="G65" s="196"/>
      <c r="H65" s="68">
        <f>SUM(G66:G67)</f>
        <v>2292500</v>
      </c>
    </row>
    <row r="66" spans="2:8" s="56" customFormat="1" ht="49.9" customHeight="1" x14ac:dyDescent="0.25">
      <c r="B66" s="70">
        <v>13.1</v>
      </c>
      <c r="C66" s="125" t="s">
        <v>58</v>
      </c>
      <c r="D66" s="72">
        <v>0</v>
      </c>
      <c r="E66" s="73">
        <v>43400</v>
      </c>
      <c r="F66" s="74">
        <v>1</v>
      </c>
      <c r="G66" s="73">
        <f t="shared" ref="G66:G67" si="2">+E66*F66</f>
        <v>43400</v>
      </c>
      <c r="H66" s="75"/>
    </row>
    <row r="67" spans="2:8" s="56" customFormat="1" ht="66" customHeight="1" thickBot="1" x14ac:dyDescent="0.3">
      <c r="B67" s="84">
        <v>13.6</v>
      </c>
      <c r="C67" s="126" t="s">
        <v>59</v>
      </c>
      <c r="D67" s="86">
        <v>0</v>
      </c>
      <c r="E67" s="118">
        <v>132300</v>
      </c>
      <c r="F67" s="119">
        <v>17</v>
      </c>
      <c r="G67" s="118">
        <f t="shared" si="2"/>
        <v>2249100</v>
      </c>
      <c r="H67" s="120"/>
    </row>
    <row r="68" spans="2:8" ht="18.75" customHeight="1" thickBot="1" x14ac:dyDescent="0.3">
      <c r="B68" s="199" t="s">
        <v>60</v>
      </c>
      <c r="C68" s="200"/>
      <c r="D68" s="200"/>
      <c r="E68" s="200"/>
      <c r="F68" s="200"/>
      <c r="G68" s="200"/>
      <c r="H68" s="201"/>
    </row>
    <row r="69" spans="2:8" ht="15.75" thickBot="1" x14ac:dyDescent="0.3">
      <c r="B69" s="109" t="s">
        <v>3</v>
      </c>
      <c r="C69" s="110" t="s">
        <v>4</v>
      </c>
      <c r="D69" s="111" t="s">
        <v>5</v>
      </c>
      <c r="E69" s="112" t="s">
        <v>6</v>
      </c>
      <c r="F69" s="113" t="s">
        <v>7</v>
      </c>
      <c r="G69" s="112" t="s">
        <v>8</v>
      </c>
      <c r="H69" s="114" t="s">
        <v>9</v>
      </c>
    </row>
    <row r="70" spans="2:8" s="69" customFormat="1" ht="15.75" customHeight="1" thickBot="1" x14ac:dyDescent="0.3">
      <c r="B70" s="82">
        <v>1</v>
      </c>
      <c r="C70" s="183" t="s">
        <v>10</v>
      </c>
      <c r="D70" s="184"/>
      <c r="E70" s="184"/>
      <c r="F70" s="184"/>
      <c r="G70" s="184"/>
      <c r="H70" s="83">
        <f>SUM(G71:G72)</f>
        <v>731000</v>
      </c>
    </row>
    <row r="71" spans="2:8" s="56" customFormat="1" x14ac:dyDescent="0.25">
      <c r="B71" s="115">
        <v>1.3</v>
      </c>
      <c r="C71" s="116" t="s">
        <v>39</v>
      </c>
      <c r="D71" s="117" t="s">
        <v>12</v>
      </c>
      <c r="E71" s="87">
        <v>5000</v>
      </c>
      <c r="F71" s="88">
        <v>70</v>
      </c>
      <c r="G71" s="87">
        <f>+E71*F71</f>
        <v>350000</v>
      </c>
      <c r="H71" s="89"/>
    </row>
    <row r="72" spans="2:8" s="56" customFormat="1" ht="15.75" thickBot="1" x14ac:dyDescent="0.3">
      <c r="B72" s="84">
        <v>1.8</v>
      </c>
      <c r="C72" s="85" t="s">
        <v>40</v>
      </c>
      <c r="D72" s="86" t="s">
        <v>41</v>
      </c>
      <c r="E72" s="118">
        <v>12700</v>
      </c>
      <c r="F72" s="119">
        <v>30</v>
      </c>
      <c r="G72" s="118">
        <f>+E72*F72</f>
        <v>381000</v>
      </c>
      <c r="H72" s="120"/>
    </row>
    <row r="73" spans="2:8" s="69" customFormat="1" ht="15.75" customHeight="1" thickBot="1" x14ac:dyDescent="0.3">
      <c r="B73" s="82">
        <v>3</v>
      </c>
      <c r="C73" s="183" t="s">
        <v>20</v>
      </c>
      <c r="D73" s="184"/>
      <c r="E73" s="184"/>
      <c r="F73" s="184"/>
      <c r="G73" s="184"/>
      <c r="H73" s="83">
        <f>SUM(G74)</f>
        <v>919600</v>
      </c>
    </row>
    <row r="74" spans="2:8" s="56" customFormat="1" ht="154.9" customHeight="1" thickBot="1" x14ac:dyDescent="0.3">
      <c r="B74" s="70">
        <v>3.1</v>
      </c>
      <c r="C74" s="71" t="s">
        <v>45</v>
      </c>
      <c r="D74" s="72" t="s">
        <v>41</v>
      </c>
      <c r="E74" s="87">
        <v>48400</v>
      </c>
      <c r="F74" s="88">
        <v>19</v>
      </c>
      <c r="G74" s="87">
        <f>+E74*F74</f>
        <v>919600</v>
      </c>
      <c r="H74" s="89"/>
    </row>
    <row r="75" spans="2:8" s="69" customFormat="1" ht="15.75" customHeight="1" thickBot="1" x14ac:dyDescent="0.3">
      <c r="B75" s="82">
        <v>4</v>
      </c>
      <c r="C75" s="183" t="s">
        <v>22</v>
      </c>
      <c r="D75" s="184"/>
      <c r="E75" s="184"/>
      <c r="F75" s="184"/>
      <c r="G75" s="184"/>
      <c r="H75" s="83">
        <f>SUM(G76:G79)</f>
        <v>4126704</v>
      </c>
    </row>
    <row r="76" spans="2:8" s="56" customFormat="1" ht="52.9" customHeight="1" x14ac:dyDescent="0.25">
      <c r="B76" s="76">
        <v>4.2</v>
      </c>
      <c r="C76" s="77" t="s">
        <v>46</v>
      </c>
      <c r="D76" s="78" t="s">
        <v>12</v>
      </c>
      <c r="E76" s="87">
        <v>11600</v>
      </c>
      <c r="F76" s="88">
        <v>85</v>
      </c>
      <c r="G76" s="87">
        <f>+E76*F76</f>
        <v>986000</v>
      </c>
      <c r="H76" s="89"/>
    </row>
    <row r="77" spans="2:8" s="56" customFormat="1" ht="71.45" customHeight="1" x14ac:dyDescent="0.25">
      <c r="B77" s="76">
        <v>4.3</v>
      </c>
      <c r="C77" s="77" t="s">
        <v>47</v>
      </c>
      <c r="D77" s="78" t="s">
        <v>12</v>
      </c>
      <c r="E77" s="79">
        <v>22300</v>
      </c>
      <c r="F77" s="80">
        <v>70</v>
      </c>
      <c r="G77" s="79">
        <f>+E77*F77</f>
        <v>1561000</v>
      </c>
      <c r="H77" s="81"/>
    </row>
    <row r="78" spans="2:8" s="56" customFormat="1" ht="75.599999999999994" customHeight="1" x14ac:dyDescent="0.25">
      <c r="B78" s="76">
        <v>4.4000000000000004</v>
      </c>
      <c r="C78" s="77" t="s">
        <v>48</v>
      </c>
      <c r="D78" s="80" t="s">
        <v>24</v>
      </c>
      <c r="E78" s="79">
        <v>19500</v>
      </c>
      <c r="F78" s="80">
        <v>70</v>
      </c>
      <c r="G78" s="79">
        <f>+E78*F78</f>
        <v>1365000</v>
      </c>
      <c r="H78" s="81"/>
    </row>
    <row r="79" spans="2:8" s="56" customFormat="1" ht="37.9" customHeight="1" thickBot="1" x14ac:dyDescent="0.3">
      <c r="B79" s="84">
        <v>4.5</v>
      </c>
      <c r="C79" s="85" t="s">
        <v>49</v>
      </c>
      <c r="D79" s="119" t="s">
        <v>24</v>
      </c>
      <c r="E79" s="118">
        <v>56800</v>
      </c>
      <c r="F79" s="119">
        <v>3.7800000000000002</v>
      </c>
      <c r="G79" s="118">
        <f>+E79*F79</f>
        <v>214704</v>
      </c>
      <c r="H79" s="120"/>
    </row>
    <row r="80" spans="2:8" s="69" customFormat="1" ht="15.75" customHeight="1" thickBot="1" x14ac:dyDescent="0.3">
      <c r="B80" s="121">
        <v>5</v>
      </c>
      <c r="C80" s="197" t="s">
        <v>25</v>
      </c>
      <c r="D80" s="198"/>
      <c r="E80" s="198"/>
      <c r="F80" s="198"/>
      <c r="G80" s="198"/>
      <c r="H80" s="122">
        <f>SUM(G81)</f>
        <v>32775.600000000006</v>
      </c>
    </row>
    <row r="81" spans="2:8" s="56" customFormat="1" ht="63" customHeight="1" thickBot="1" x14ac:dyDescent="0.3">
      <c r="B81" s="96">
        <v>5.0999999999999996</v>
      </c>
      <c r="C81" s="97" t="s">
        <v>26</v>
      </c>
      <c r="D81" s="98" t="s">
        <v>12</v>
      </c>
      <c r="E81" s="99">
        <v>19100</v>
      </c>
      <c r="F81" s="100">
        <v>1.7160000000000002</v>
      </c>
      <c r="G81" s="99">
        <f>+E81*F81</f>
        <v>32775.600000000006</v>
      </c>
      <c r="H81" s="101"/>
    </row>
    <row r="82" spans="2:8" s="69" customFormat="1" ht="15.75" customHeight="1" thickBot="1" x14ac:dyDescent="0.3">
      <c r="B82" s="67">
        <v>8</v>
      </c>
      <c r="C82" s="195" t="s">
        <v>50</v>
      </c>
      <c r="D82" s="196"/>
      <c r="E82" s="196"/>
      <c r="F82" s="196"/>
      <c r="G82" s="196"/>
      <c r="H82" s="68">
        <f>SUM(G83:G84)</f>
        <v>676700</v>
      </c>
    </row>
    <row r="83" spans="2:8" s="56" customFormat="1" ht="34.9" customHeight="1" x14ac:dyDescent="0.25">
      <c r="B83" s="70">
        <v>8.8000000000000007</v>
      </c>
      <c r="C83" s="125" t="s">
        <v>61</v>
      </c>
      <c r="D83" s="72" t="s">
        <v>14</v>
      </c>
      <c r="E83" s="73">
        <v>231700</v>
      </c>
      <c r="F83" s="74">
        <v>1</v>
      </c>
      <c r="G83" s="73">
        <f t="shared" ref="G83:G84" si="3">+E83*F83</f>
        <v>231700</v>
      </c>
      <c r="H83" s="75"/>
    </row>
    <row r="84" spans="2:8" s="56" customFormat="1" ht="43.9" customHeight="1" thickBot="1" x14ac:dyDescent="0.3">
      <c r="B84" s="84">
        <v>8.9</v>
      </c>
      <c r="C84" s="126" t="s">
        <v>51</v>
      </c>
      <c r="D84" s="86" t="s">
        <v>14</v>
      </c>
      <c r="E84" s="118">
        <v>445000</v>
      </c>
      <c r="F84" s="119">
        <v>1</v>
      </c>
      <c r="G84" s="118">
        <f t="shared" si="3"/>
        <v>445000</v>
      </c>
      <c r="H84" s="120"/>
    </row>
    <row r="85" spans="2:8" s="69" customFormat="1" ht="15.75" customHeight="1" thickBot="1" x14ac:dyDescent="0.3">
      <c r="B85" s="121">
        <v>10</v>
      </c>
      <c r="C85" s="197" t="s">
        <v>52</v>
      </c>
      <c r="D85" s="198"/>
      <c r="E85" s="198"/>
      <c r="F85" s="198"/>
      <c r="G85" s="198"/>
      <c r="H85" s="122">
        <f>SUM(G86:G88)</f>
        <v>4297500</v>
      </c>
    </row>
    <row r="86" spans="2:8" s="56" customFormat="1" ht="49.15" customHeight="1" x14ac:dyDescent="0.25">
      <c r="B86" s="96">
        <v>10.3</v>
      </c>
      <c r="C86" s="77" t="s">
        <v>62</v>
      </c>
      <c r="D86" s="78" t="s">
        <v>12</v>
      </c>
      <c r="E86" s="99">
        <v>533100</v>
      </c>
      <c r="F86" s="100">
        <v>3.6</v>
      </c>
      <c r="G86" s="99">
        <f>+E86*F86</f>
        <v>1919160</v>
      </c>
      <c r="H86" s="101"/>
    </row>
    <row r="87" spans="2:8" s="56" customFormat="1" ht="207" customHeight="1" x14ac:dyDescent="0.25">
      <c r="B87" s="76">
        <v>10.4</v>
      </c>
      <c r="C87" s="77" t="s">
        <v>53</v>
      </c>
      <c r="D87" s="80" t="s">
        <v>41</v>
      </c>
      <c r="E87" s="79">
        <v>891600</v>
      </c>
      <c r="F87" s="80">
        <v>1.8</v>
      </c>
      <c r="G87" s="79">
        <f>+E87*F87</f>
        <v>1604880</v>
      </c>
      <c r="H87" s="81"/>
    </row>
    <row r="88" spans="2:8" s="56" customFormat="1" ht="183.6" customHeight="1" thickBot="1" x14ac:dyDescent="0.3">
      <c r="B88" s="76">
        <v>10.5</v>
      </c>
      <c r="C88" s="77" t="s">
        <v>54</v>
      </c>
      <c r="D88" s="80" t="s">
        <v>41</v>
      </c>
      <c r="E88" s="79">
        <v>429700</v>
      </c>
      <c r="F88" s="80">
        <v>1.8</v>
      </c>
      <c r="G88" s="79">
        <f>+E88*F88</f>
        <v>773460</v>
      </c>
      <c r="H88" s="81"/>
    </row>
    <row r="89" spans="2:8" s="69" customFormat="1" ht="15.75" customHeight="1" thickBot="1" x14ac:dyDescent="0.3">
      <c r="B89" s="67">
        <v>13</v>
      </c>
      <c r="C89" s="195" t="s">
        <v>57</v>
      </c>
      <c r="D89" s="196"/>
      <c r="E89" s="196"/>
      <c r="F89" s="196"/>
      <c r="G89" s="196"/>
      <c r="H89" s="68">
        <f>SUM(G90:G90)</f>
        <v>43400</v>
      </c>
    </row>
    <row r="90" spans="2:8" s="56" customFormat="1" ht="66" customHeight="1" thickBot="1" x14ac:dyDescent="0.3">
      <c r="B90" s="90">
        <v>13.1</v>
      </c>
      <c r="C90" s="127" t="s">
        <v>58</v>
      </c>
      <c r="D90" s="92" t="s">
        <v>14</v>
      </c>
      <c r="E90" s="93">
        <v>43400</v>
      </c>
      <c r="F90" s="94">
        <v>1</v>
      </c>
      <c r="G90" s="93">
        <f>+E90*F90</f>
        <v>43400</v>
      </c>
      <c r="H90" s="95"/>
    </row>
    <row r="91" spans="2:8" s="128" customFormat="1" ht="19.5" customHeight="1" thickBot="1" x14ac:dyDescent="0.35">
      <c r="B91" s="199" t="s">
        <v>63</v>
      </c>
      <c r="C91" s="200"/>
      <c r="D91" s="200"/>
      <c r="E91" s="200"/>
      <c r="F91" s="200"/>
      <c r="G91" s="200"/>
      <c r="H91" s="201"/>
    </row>
    <row r="92" spans="2:8" ht="15.75" thickBot="1" x14ac:dyDescent="0.3">
      <c r="B92" s="109" t="s">
        <v>3</v>
      </c>
      <c r="C92" s="110" t="s">
        <v>4</v>
      </c>
      <c r="D92" s="111" t="s">
        <v>5</v>
      </c>
      <c r="E92" s="112" t="s">
        <v>6</v>
      </c>
      <c r="F92" s="113" t="s">
        <v>7</v>
      </c>
      <c r="G92" s="112" t="s">
        <v>8</v>
      </c>
      <c r="H92" s="114" t="s">
        <v>9</v>
      </c>
    </row>
    <row r="93" spans="2:8" s="69" customFormat="1" ht="15.75" customHeight="1" thickBot="1" x14ac:dyDescent="0.3">
      <c r="B93" s="82">
        <v>1</v>
      </c>
      <c r="C93" s="183" t="s">
        <v>10</v>
      </c>
      <c r="D93" s="184"/>
      <c r="E93" s="184"/>
      <c r="F93" s="184"/>
      <c r="G93" s="184"/>
      <c r="H93" s="83">
        <f>SUM(G94:G94)</f>
        <v>350000</v>
      </c>
    </row>
    <row r="94" spans="2:8" s="56" customFormat="1" ht="39" customHeight="1" thickBot="1" x14ac:dyDescent="0.3">
      <c r="B94" s="115">
        <v>1.3</v>
      </c>
      <c r="C94" s="116" t="s">
        <v>39</v>
      </c>
      <c r="D94" s="117" t="s">
        <v>12</v>
      </c>
      <c r="E94" s="87">
        <v>5000</v>
      </c>
      <c r="F94" s="88">
        <v>70</v>
      </c>
      <c r="G94" s="87">
        <f>+E94*F94</f>
        <v>350000</v>
      </c>
      <c r="H94" s="89"/>
    </row>
    <row r="95" spans="2:8" s="69" customFormat="1" ht="15.75" customHeight="1" thickBot="1" x14ac:dyDescent="0.3">
      <c r="B95" s="82">
        <v>3</v>
      </c>
      <c r="C95" s="183" t="s">
        <v>20</v>
      </c>
      <c r="D95" s="184"/>
      <c r="E95" s="184"/>
      <c r="F95" s="184"/>
      <c r="G95" s="184"/>
      <c r="H95" s="83">
        <f>SUM(G96)</f>
        <v>387200</v>
      </c>
    </row>
    <row r="96" spans="2:8" s="56" customFormat="1" ht="129" thickBot="1" x14ac:dyDescent="0.3">
      <c r="B96" s="70">
        <v>3.1</v>
      </c>
      <c r="C96" s="71" t="s">
        <v>45</v>
      </c>
      <c r="D96" s="72" t="s">
        <v>41</v>
      </c>
      <c r="E96" s="87">
        <v>48400</v>
      </c>
      <c r="F96" s="88">
        <v>8</v>
      </c>
      <c r="G96" s="87">
        <f>+E96*F96</f>
        <v>387200</v>
      </c>
      <c r="H96" s="89"/>
    </row>
    <row r="97" spans="2:8" s="69" customFormat="1" ht="15.75" customHeight="1" thickBot="1" x14ac:dyDescent="0.3">
      <c r="B97" s="82">
        <v>4</v>
      </c>
      <c r="C97" s="183" t="s">
        <v>22</v>
      </c>
      <c r="D97" s="184"/>
      <c r="E97" s="184"/>
      <c r="F97" s="184"/>
      <c r="G97" s="184"/>
      <c r="H97" s="83">
        <f>SUM(G98:G100)</f>
        <v>4074400</v>
      </c>
    </row>
    <row r="98" spans="2:8" s="56" customFormat="1" ht="28.5" x14ac:dyDescent="0.25">
      <c r="B98" s="76">
        <v>4.2</v>
      </c>
      <c r="C98" s="77" t="s">
        <v>46</v>
      </c>
      <c r="D98" s="78" t="s">
        <v>12</v>
      </c>
      <c r="E98" s="87">
        <v>11600</v>
      </c>
      <c r="F98" s="88">
        <v>99</v>
      </c>
      <c r="G98" s="87">
        <f>+E98*F98</f>
        <v>1148400</v>
      </c>
      <c r="H98" s="89"/>
    </row>
    <row r="99" spans="2:8" s="56" customFormat="1" ht="42.75" x14ac:dyDescent="0.25">
      <c r="B99" s="76">
        <v>4.3</v>
      </c>
      <c r="C99" s="77" t="s">
        <v>47</v>
      </c>
      <c r="D99" s="78" t="s">
        <v>12</v>
      </c>
      <c r="E99" s="79">
        <v>22300</v>
      </c>
      <c r="F99" s="80">
        <v>70</v>
      </c>
      <c r="G99" s="79">
        <f>+E99*F99</f>
        <v>1561000</v>
      </c>
      <c r="H99" s="81"/>
    </row>
    <row r="100" spans="2:8" s="56" customFormat="1" ht="72" thickBot="1" x14ac:dyDescent="0.3">
      <c r="B100" s="96">
        <v>4.4000000000000004</v>
      </c>
      <c r="C100" s="97" t="s">
        <v>48</v>
      </c>
      <c r="D100" s="100" t="s">
        <v>24</v>
      </c>
      <c r="E100" s="99">
        <v>19500</v>
      </c>
      <c r="F100" s="100">
        <v>70</v>
      </c>
      <c r="G100" s="99">
        <f>+E100*F100</f>
        <v>1365000</v>
      </c>
      <c r="H100" s="101"/>
    </row>
    <row r="101" spans="2:8" s="69" customFormat="1" ht="15.75" customHeight="1" thickBot="1" x14ac:dyDescent="0.3">
      <c r="B101" s="82">
        <v>5</v>
      </c>
      <c r="C101" s="183" t="s">
        <v>25</v>
      </c>
      <c r="D101" s="184"/>
      <c r="E101" s="184"/>
      <c r="F101" s="184"/>
      <c r="G101" s="184"/>
      <c r="H101" s="83">
        <f>SUM(G102)</f>
        <v>42020</v>
      </c>
    </row>
    <row r="102" spans="2:8" s="56" customFormat="1" ht="43.5" thickBot="1" x14ac:dyDescent="0.3">
      <c r="B102" s="96">
        <v>5.0999999999999996</v>
      </c>
      <c r="C102" s="97" t="s">
        <v>26</v>
      </c>
      <c r="D102" s="98" t="s">
        <v>12</v>
      </c>
      <c r="E102" s="99">
        <v>19100</v>
      </c>
      <c r="F102" s="100">
        <v>2.2000000000000002</v>
      </c>
      <c r="G102" s="99">
        <f>+E102*F102</f>
        <v>42020</v>
      </c>
      <c r="H102" s="101"/>
    </row>
    <row r="103" spans="2:8" s="69" customFormat="1" ht="15.75" customHeight="1" thickBot="1" x14ac:dyDescent="0.3">
      <c r="B103" s="67">
        <v>6</v>
      </c>
      <c r="C103" s="195" t="s">
        <v>64</v>
      </c>
      <c r="D103" s="196"/>
      <c r="E103" s="196"/>
      <c r="F103" s="196"/>
      <c r="G103" s="196"/>
      <c r="H103" s="68">
        <f>SUM(G104:G104)</f>
        <v>127200</v>
      </c>
    </row>
    <row r="104" spans="2:8" s="56" customFormat="1" ht="15.75" thickBot="1" x14ac:dyDescent="0.3">
      <c r="B104" s="70">
        <v>6.4</v>
      </c>
      <c r="C104" s="125" t="s">
        <v>65</v>
      </c>
      <c r="D104" s="72" t="s">
        <v>12</v>
      </c>
      <c r="E104" s="99">
        <v>42400</v>
      </c>
      <c r="F104" s="74">
        <v>3</v>
      </c>
      <c r="G104" s="73">
        <f>+E104*F104</f>
        <v>127200</v>
      </c>
      <c r="H104" s="75"/>
    </row>
    <row r="105" spans="2:8" s="69" customFormat="1" ht="15.75" customHeight="1" thickBot="1" x14ac:dyDescent="0.3">
      <c r="B105" s="82">
        <v>10</v>
      </c>
      <c r="C105" s="183" t="s">
        <v>52</v>
      </c>
      <c r="D105" s="184"/>
      <c r="E105" s="184"/>
      <c r="F105" s="184"/>
      <c r="G105" s="184"/>
      <c r="H105" s="83">
        <f>SUM(G106)</f>
        <v>1919160</v>
      </c>
    </row>
    <row r="106" spans="2:8" s="56" customFormat="1" ht="29.25" thickBot="1" x14ac:dyDescent="0.3">
      <c r="B106" s="96">
        <v>10.3</v>
      </c>
      <c r="C106" s="77" t="s">
        <v>62</v>
      </c>
      <c r="D106" s="78" t="s">
        <v>12</v>
      </c>
      <c r="E106" s="99">
        <v>533100</v>
      </c>
      <c r="F106" s="100">
        <v>3.6</v>
      </c>
      <c r="G106" s="99">
        <f>+E106*F106</f>
        <v>1919160</v>
      </c>
      <c r="H106" s="101"/>
    </row>
    <row r="107" spans="2:8" ht="15.75" customHeight="1" thickBot="1" x14ac:dyDescent="0.3">
      <c r="B107" s="161" t="s">
        <v>27</v>
      </c>
      <c r="C107" s="162"/>
      <c r="D107" s="162"/>
      <c r="E107" s="162"/>
      <c r="F107" s="162"/>
      <c r="G107" s="185"/>
      <c r="H107" s="102">
        <f>SUM(H44:H106)</f>
        <v>28491819.199999999</v>
      </c>
    </row>
    <row r="108" spans="2:8" ht="15" customHeight="1" x14ac:dyDescent="0.25">
      <c r="B108" s="186" t="s">
        <v>28</v>
      </c>
      <c r="C108" s="187"/>
      <c r="D108" s="188" t="s">
        <v>29</v>
      </c>
      <c r="E108" s="189"/>
      <c r="F108" s="190">
        <v>0.28749999999999998</v>
      </c>
      <c r="G108" s="191"/>
      <c r="H108" s="103">
        <f>+H107*F108</f>
        <v>8191398.0199999996</v>
      </c>
    </row>
    <row r="109" spans="2:8" ht="15" customHeight="1" x14ac:dyDescent="0.25">
      <c r="B109" s="171" t="s">
        <v>30</v>
      </c>
      <c r="C109" s="172"/>
      <c r="D109" s="173" t="s">
        <v>31</v>
      </c>
      <c r="E109" s="174"/>
      <c r="F109" s="175">
        <v>0.05</v>
      </c>
      <c r="G109" s="176"/>
      <c r="H109" s="104">
        <f>+H107*F109</f>
        <v>1424590.96</v>
      </c>
    </row>
    <row r="110" spans="2:8" ht="15" customHeight="1" x14ac:dyDescent="0.25">
      <c r="B110" s="171" t="s">
        <v>32</v>
      </c>
      <c r="C110" s="172"/>
      <c r="D110" s="173" t="s">
        <v>33</v>
      </c>
      <c r="E110" s="174"/>
      <c r="F110" s="175">
        <v>0.04</v>
      </c>
      <c r="G110" s="176"/>
      <c r="H110" s="104">
        <f>+H107*F110</f>
        <v>1139672.7679999999</v>
      </c>
    </row>
    <row r="111" spans="2:8" ht="15.75" customHeight="1" thickBot="1" x14ac:dyDescent="0.3">
      <c r="B111" s="177" t="s">
        <v>34</v>
      </c>
      <c r="C111" s="178"/>
      <c r="D111" s="179" t="s">
        <v>35</v>
      </c>
      <c r="E111" s="180"/>
      <c r="F111" s="181">
        <v>0.19</v>
      </c>
      <c r="G111" s="182"/>
      <c r="H111" s="105">
        <f>+H110*F111</f>
        <v>216537.82591999997</v>
      </c>
    </row>
    <row r="112" spans="2:8" ht="15.75" customHeight="1" thickBot="1" x14ac:dyDescent="0.3">
      <c r="B112" s="161" t="s">
        <v>36</v>
      </c>
      <c r="C112" s="162"/>
      <c r="D112" s="162"/>
      <c r="E112" s="162"/>
      <c r="F112" s="162"/>
      <c r="G112" s="162"/>
      <c r="H112" s="106">
        <f>SUM(H108:H111)</f>
        <v>10972199.57392</v>
      </c>
    </row>
    <row r="113" spans="2:8" ht="15.75" customHeight="1" thickBot="1" x14ac:dyDescent="0.3">
      <c r="B113" s="161" t="s">
        <v>37</v>
      </c>
      <c r="C113" s="162"/>
      <c r="D113" s="162"/>
      <c r="E113" s="162"/>
      <c r="F113" s="162"/>
      <c r="G113" s="162"/>
      <c r="H113" s="106">
        <f>+H107+H112</f>
        <v>39464018.77392</v>
      </c>
    </row>
    <row r="114" spans="2:8" ht="15.75" thickBot="1" x14ac:dyDescent="0.3"/>
    <row r="115" spans="2:8" ht="38.25" customHeight="1" thickBot="1" x14ac:dyDescent="0.3">
      <c r="B115" s="192" t="s">
        <v>66</v>
      </c>
      <c r="C115" s="193"/>
      <c r="D115" s="193"/>
      <c r="E115" s="193"/>
      <c r="F115" s="193"/>
      <c r="G115" s="193"/>
      <c r="H115" s="194"/>
    </row>
    <row r="116" spans="2:8" ht="15.75" thickBot="1" x14ac:dyDescent="0.3">
      <c r="B116" s="61" t="s">
        <v>3</v>
      </c>
      <c r="C116" s="62" t="s">
        <v>4</v>
      </c>
      <c r="D116" s="63" t="s">
        <v>5</v>
      </c>
      <c r="E116" s="64" t="s">
        <v>6</v>
      </c>
      <c r="F116" s="65" t="s">
        <v>7</v>
      </c>
      <c r="G116" s="64" t="s">
        <v>8</v>
      </c>
      <c r="H116" s="66" t="s">
        <v>9</v>
      </c>
    </row>
    <row r="117" spans="2:8" s="69" customFormat="1" ht="15.75" customHeight="1" thickBot="1" x14ac:dyDescent="0.3">
      <c r="B117" s="82">
        <v>3</v>
      </c>
      <c r="C117" s="183" t="s">
        <v>20</v>
      </c>
      <c r="D117" s="184"/>
      <c r="E117" s="184"/>
      <c r="F117" s="184"/>
      <c r="G117" s="184"/>
      <c r="H117" s="83">
        <f>SUM(G118:G120)</f>
        <v>28644000</v>
      </c>
    </row>
    <row r="118" spans="2:8" s="56" customFormat="1" ht="167.45" customHeight="1" x14ac:dyDescent="0.25">
      <c r="B118" s="115">
        <v>3.1</v>
      </c>
      <c r="C118" s="116" t="s">
        <v>45</v>
      </c>
      <c r="D118" s="117" t="s">
        <v>41</v>
      </c>
      <c r="E118" s="87">
        <v>48400</v>
      </c>
      <c r="F118" s="88">
        <v>384</v>
      </c>
      <c r="G118" s="87">
        <f>+E118*F118</f>
        <v>18585600</v>
      </c>
      <c r="H118" s="89"/>
    </row>
    <row r="119" spans="2:8" s="56" customFormat="1" ht="130.9" customHeight="1" x14ac:dyDescent="0.25">
      <c r="B119" s="115">
        <v>3.2</v>
      </c>
      <c r="C119" s="116" t="s">
        <v>67</v>
      </c>
      <c r="D119" s="117" t="s">
        <v>41</v>
      </c>
      <c r="E119" s="87">
        <v>66000</v>
      </c>
      <c r="F119" s="88">
        <v>38</v>
      </c>
      <c r="G119" s="87">
        <f>+E119*F119</f>
        <v>2508000</v>
      </c>
      <c r="H119" s="89"/>
    </row>
    <row r="120" spans="2:8" s="56" customFormat="1" ht="129" customHeight="1" thickBot="1" x14ac:dyDescent="0.3">
      <c r="B120" s="129">
        <v>3.3</v>
      </c>
      <c r="C120" s="130" t="s">
        <v>21</v>
      </c>
      <c r="D120" s="131" t="s">
        <v>12</v>
      </c>
      <c r="E120" s="132">
        <v>145200</v>
      </c>
      <c r="F120" s="133">
        <v>52</v>
      </c>
      <c r="G120" s="132">
        <f>+E120*F120</f>
        <v>7550400</v>
      </c>
      <c r="H120" s="134"/>
    </row>
    <row r="121" spans="2:8" ht="15.75" customHeight="1" thickBot="1" x14ac:dyDescent="0.3">
      <c r="B121" s="161" t="s">
        <v>27</v>
      </c>
      <c r="C121" s="162"/>
      <c r="D121" s="162"/>
      <c r="E121" s="162"/>
      <c r="F121" s="162"/>
      <c r="G121" s="185"/>
      <c r="H121" s="102">
        <f>SUM(H117:H120)</f>
        <v>28644000</v>
      </c>
    </row>
    <row r="122" spans="2:8" ht="15" customHeight="1" x14ac:dyDescent="0.25">
      <c r="B122" s="186" t="s">
        <v>28</v>
      </c>
      <c r="C122" s="187"/>
      <c r="D122" s="188" t="s">
        <v>29</v>
      </c>
      <c r="E122" s="189"/>
      <c r="F122" s="190">
        <v>0.28749999999999998</v>
      </c>
      <c r="G122" s="191"/>
      <c r="H122" s="103">
        <f>+H121*F122</f>
        <v>8235149.9999999991</v>
      </c>
    </row>
    <row r="123" spans="2:8" ht="15" customHeight="1" x14ac:dyDescent="0.25">
      <c r="B123" s="171" t="s">
        <v>30</v>
      </c>
      <c r="C123" s="172"/>
      <c r="D123" s="173" t="s">
        <v>31</v>
      </c>
      <c r="E123" s="174"/>
      <c r="F123" s="175">
        <v>0.05</v>
      </c>
      <c r="G123" s="176"/>
      <c r="H123" s="104">
        <f>+H121*F123</f>
        <v>1432200</v>
      </c>
    </row>
    <row r="124" spans="2:8" ht="15" customHeight="1" x14ac:dyDescent="0.25">
      <c r="B124" s="171" t="s">
        <v>32</v>
      </c>
      <c r="C124" s="172"/>
      <c r="D124" s="173" t="s">
        <v>33</v>
      </c>
      <c r="E124" s="174"/>
      <c r="F124" s="175">
        <v>0.04</v>
      </c>
      <c r="G124" s="176"/>
      <c r="H124" s="104">
        <f>+H121*F124</f>
        <v>1145760</v>
      </c>
    </row>
    <row r="125" spans="2:8" ht="15.75" customHeight="1" thickBot="1" x14ac:dyDescent="0.3">
      <c r="B125" s="177" t="s">
        <v>34</v>
      </c>
      <c r="C125" s="178"/>
      <c r="D125" s="179" t="s">
        <v>35</v>
      </c>
      <c r="E125" s="180"/>
      <c r="F125" s="181">
        <v>0.19</v>
      </c>
      <c r="G125" s="182"/>
      <c r="H125" s="105">
        <f>+H124*F125</f>
        <v>217694.4</v>
      </c>
    </row>
    <row r="126" spans="2:8" ht="15.75" customHeight="1" thickBot="1" x14ac:dyDescent="0.3">
      <c r="B126" s="161" t="s">
        <v>36</v>
      </c>
      <c r="C126" s="162"/>
      <c r="D126" s="162"/>
      <c r="E126" s="162"/>
      <c r="F126" s="162"/>
      <c r="G126" s="162"/>
      <c r="H126" s="106">
        <f>SUM(H122:H125)</f>
        <v>11030804.4</v>
      </c>
    </row>
    <row r="127" spans="2:8" ht="15.75" customHeight="1" thickBot="1" x14ac:dyDescent="0.3">
      <c r="B127" s="161" t="s">
        <v>37</v>
      </c>
      <c r="C127" s="162"/>
      <c r="D127" s="162"/>
      <c r="E127" s="162"/>
      <c r="F127" s="162"/>
      <c r="G127" s="162"/>
      <c r="H127" s="106">
        <f>+H121+H126</f>
        <v>39674804.399999999</v>
      </c>
    </row>
    <row r="129" spans="3:8" ht="6" customHeight="1" thickBot="1" x14ac:dyDescent="0.3"/>
    <row r="130" spans="3:8" ht="162.75" customHeight="1" thickBot="1" x14ac:dyDescent="0.3">
      <c r="C130" s="163" t="s">
        <v>68</v>
      </c>
      <c r="D130" s="164"/>
      <c r="E130" s="135" t="s">
        <v>89</v>
      </c>
      <c r="F130" s="136" t="s">
        <v>69</v>
      </c>
      <c r="G130" s="137"/>
      <c r="H130"/>
    </row>
    <row r="131" spans="3:8" ht="35.25" customHeight="1" x14ac:dyDescent="0.25">
      <c r="C131" s="165" t="s">
        <v>70</v>
      </c>
      <c r="D131" s="166"/>
      <c r="E131" s="138">
        <v>30000000</v>
      </c>
      <c r="F131" s="139">
        <f>+H37</f>
        <v>26785190.623999998</v>
      </c>
      <c r="G131" s="140"/>
      <c r="H131"/>
    </row>
    <row r="132" spans="3:8" ht="51.75" customHeight="1" x14ac:dyDescent="0.25">
      <c r="C132" s="167" t="s">
        <v>71</v>
      </c>
      <c r="D132" s="168"/>
      <c r="E132" s="141">
        <v>40000000</v>
      </c>
      <c r="F132" s="142">
        <f>+H113</f>
        <v>39464018.77392</v>
      </c>
      <c r="G132" s="140"/>
      <c r="H132"/>
    </row>
    <row r="133" spans="3:8" ht="51.75" customHeight="1" thickBot="1" x14ac:dyDescent="0.3">
      <c r="C133" s="169" t="s">
        <v>72</v>
      </c>
      <c r="D133" s="170"/>
      <c r="E133" s="143">
        <v>40000000</v>
      </c>
      <c r="F133" s="144">
        <f>+H127</f>
        <v>39674804.399999999</v>
      </c>
      <c r="G133" s="140"/>
      <c r="H133"/>
    </row>
    <row r="134" spans="3:8" x14ac:dyDescent="0.25">
      <c r="C134" s="154"/>
      <c r="D134" s="154"/>
      <c r="E134" s="145"/>
      <c r="F134" s="140"/>
      <c r="G134" s="140"/>
      <c r="H134"/>
    </row>
    <row r="135" spans="3:8" ht="15.75" thickBot="1" x14ac:dyDescent="0.3">
      <c r="C135"/>
      <c r="D135"/>
      <c r="E135"/>
      <c r="F135" s="146"/>
      <c r="G135"/>
      <c r="H135"/>
    </row>
    <row r="136" spans="3:8" ht="75.75" thickBot="1" x14ac:dyDescent="0.3">
      <c r="C136" s="155" t="s">
        <v>73</v>
      </c>
      <c r="D136" s="156"/>
      <c r="E136" s="147" t="s">
        <v>90</v>
      </c>
      <c r="F136" s="148" t="s">
        <v>74</v>
      </c>
      <c r="G136"/>
      <c r="H136"/>
    </row>
    <row r="137" spans="3:8" ht="54" customHeight="1" thickBot="1" x14ac:dyDescent="0.3">
      <c r="C137" s="157"/>
      <c r="D137" s="158"/>
      <c r="E137" s="149">
        <v>110000000</v>
      </c>
      <c r="F137" s="150">
        <f>+F131+F132+F133</f>
        <v>105924013.79791999</v>
      </c>
      <c r="G137"/>
      <c r="H137"/>
    </row>
    <row r="138" spans="3:8" ht="44.45" customHeight="1" x14ac:dyDescent="0.25">
      <c r="C138"/>
      <c r="D138"/>
      <c r="E138"/>
      <c r="F138" s="146"/>
      <c r="G138" s="151"/>
      <c r="H138" s="152"/>
    </row>
    <row r="139" spans="3:8" x14ac:dyDescent="0.25">
      <c r="C139" s="159"/>
      <c r="D139" s="159"/>
      <c r="E139" s="159"/>
      <c r="F139" s="159"/>
      <c r="G139" s="159"/>
      <c r="H139" s="159"/>
    </row>
    <row r="140" spans="3:8" ht="39" customHeight="1" x14ac:dyDescent="0.25">
      <c r="C140" s="160" t="s">
        <v>91</v>
      </c>
      <c r="D140" s="160"/>
      <c r="E140" s="160"/>
      <c r="F140" s="160"/>
      <c r="G140" s="160"/>
      <c r="H140" s="160"/>
    </row>
    <row r="141" spans="3:8" x14ac:dyDescent="0.25">
      <c r="C141"/>
      <c r="D141"/>
      <c r="E141"/>
      <c r="F141"/>
      <c r="G141"/>
      <c r="H141"/>
    </row>
    <row r="142" spans="3:8" ht="15" customHeight="1" x14ac:dyDescent="0.25">
      <c r="C142" s="154" t="s">
        <v>92</v>
      </c>
      <c r="D142" s="154"/>
      <c r="E142" s="154"/>
      <c r="F142" s="154"/>
      <c r="G142" s="154"/>
      <c r="H142" s="154"/>
    </row>
    <row r="143" spans="3:8" x14ac:dyDescent="0.25">
      <c r="C143" s="153"/>
      <c r="D143" s="153"/>
      <c r="E143" s="153"/>
      <c r="F143" s="153"/>
      <c r="G143" s="153"/>
      <c r="H143" s="153"/>
    </row>
    <row r="144" spans="3:8" x14ac:dyDescent="0.25">
      <c r="C144" s="153"/>
      <c r="D144" s="153"/>
      <c r="E144" s="153"/>
      <c r="F144" s="153"/>
      <c r="G144" s="153"/>
      <c r="H144" s="153"/>
    </row>
    <row r="145" spans="3:8" ht="48.75" customHeight="1" x14ac:dyDescent="0.25">
      <c r="C145" s="153" t="s">
        <v>75</v>
      </c>
      <c r="D145" s="153"/>
      <c r="E145" s="153"/>
      <c r="F145" s="153"/>
      <c r="G145" s="153"/>
      <c r="H145" s="153"/>
    </row>
    <row r="146" spans="3:8" x14ac:dyDescent="0.25">
      <c r="C146" s="153"/>
      <c r="D146" s="153"/>
      <c r="E146" s="153"/>
      <c r="F146" s="153"/>
      <c r="G146" s="153"/>
      <c r="H146" s="153"/>
    </row>
    <row r="147" spans="3:8" ht="39.75" customHeight="1" x14ac:dyDescent="0.25">
      <c r="C147" s="153"/>
      <c r="D147" s="153"/>
      <c r="E147" s="153"/>
      <c r="F147" s="153"/>
      <c r="G147" s="153"/>
      <c r="H147" s="153"/>
    </row>
  </sheetData>
  <pageMargins left="0.7" right="0.7" top="0.75" bottom="0.75" header="0.3" footer="0.3"/>
  <pageSetup paperSize="9" scale="48" orientation="portrait" r:id="rId1"/>
  <rowBreaks count="2" manualBreakCount="2">
    <brk id="59" min="1" max="7" man="1"/>
    <brk id="128" min="1"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48E7A-D486-4A51-BB8D-60EF342E4C6F}">
  <sheetPr>
    <pageSetUpPr fitToPage="1"/>
  </sheetPr>
  <dimension ref="B1:L150"/>
  <sheetViews>
    <sheetView topLeftCell="A5" zoomScale="50" zoomScaleNormal="50" workbookViewId="0"/>
  </sheetViews>
  <sheetFormatPr baseColWidth="10" defaultColWidth="11.42578125" defaultRowHeight="15" x14ac:dyDescent="0.25"/>
  <cols>
    <col min="2" max="2" width="12" style="56" bestFit="1" customWidth="1"/>
    <col min="3" max="3" width="51.85546875" style="57" bestFit="1" customWidth="1"/>
    <col min="4" max="4" width="6.7109375" style="56" bestFit="1" customWidth="1"/>
    <col min="5" max="5" width="43.5703125" style="56" customWidth="1"/>
    <col min="6" max="6" width="21.85546875" style="56" customWidth="1"/>
    <col min="7" max="7" width="23.42578125" style="57" bestFit="1" customWidth="1"/>
    <col min="8" max="8" width="40.5703125" style="57" bestFit="1" customWidth="1"/>
    <col min="9" max="9" width="0" hidden="1" customWidth="1"/>
    <col min="10" max="10" width="13.7109375" hidden="1" customWidth="1"/>
    <col min="11" max="11" width="18.7109375" hidden="1" customWidth="1"/>
    <col min="12" max="12" width="19.42578125" hidden="1" customWidth="1"/>
  </cols>
  <sheetData>
    <row r="1" spans="2:11" ht="15.75" thickBot="1" x14ac:dyDescent="0.3"/>
    <row r="2" spans="2:11" x14ac:dyDescent="0.25">
      <c r="B2" s="218" t="s">
        <v>77</v>
      </c>
      <c r="C2" s="219"/>
      <c r="D2" s="219"/>
      <c r="E2" s="219"/>
      <c r="F2" s="219"/>
      <c r="G2" s="219"/>
      <c r="H2" s="220"/>
    </row>
    <row r="3" spans="2:11" x14ac:dyDescent="0.25">
      <c r="B3" s="221" t="s">
        <v>78</v>
      </c>
      <c r="C3" s="222"/>
      <c r="D3" s="222"/>
      <c r="E3" s="222"/>
      <c r="F3" s="222"/>
      <c r="G3" s="222"/>
      <c r="H3" s="223"/>
    </row>
    <row r="4" spans="2:11" ht="42.75" customHeight="1" thickBot="1" x14ac:dyDescent="0.3">
      <c r="B4" s="221" t="s">
        <v>79</v>
      </c>
      <c r="C4" s="222"/>
      <c r="D4" s="222"/>
      <c r="E4" s="222"/>
      <c r="F4" s="222"/>
      <c r="G4" s="222"/>
      <c r="H4" s="223"/>
    </row>
    <row r="5" spans="2:11" ht="15" customHeight="1" x14ac:dyDescent="0.25">
      <c r="B5" s="224" t="s">
        <v>0</v>
      </c>
      <c r="C5" s="226" t="s">
        <v>1</v>
      </c>
      <c r="D5" s="226"/>
      <c r="E5" s="226"/>
      <c r="F5" s="226"/>
      <c r="G5" s="226"/>
      <c r="H5" s="227"/>
    </row>
    <row r="6" spans="2:11" ht="84.75" customHeight="1" thickBot="1" x14ac:dyDescent="0.3">
      <c r="B6" s="225"/>
      <c r="C6" s="228"/>
      <c r="D6" s="228"/>
      <c r="E6" s="228"/>
      <c r="F6" s="228"/>
      <c r="G6" s="228"/>
      <c r="H6" s="229"/>
    </row>
    <row r="7" spans="2:11" x14ac:dyDescent="0.25">
      <c r="B7" s="58" t="s">
        <v>80</v>
      </c>
      <c r="C7" s="230"/>
      <c r="D7" s="230"/>
      <c r="E7" s="230"/>
      <c r="F7" s="230"/>
      <c r="G7" s="59"/>
      <c r="H7" s="60"/>
    </row>
    <row r="8" spans="2:11" x14ac:dyDescent="0.25">
      <c r="B8" s="206" t="s">
        <v>81</v>
      </c>
      <c r="C8" s="207"/>
      <c r="D8" s="207"/>
      <c r="E8" s="207"/>
      <c r="F8" s="207"/>
      <c r="G8" s="207"/>
      <c r="H8" s="208"/>
    </row>
    <row r="9" spans="2:11" x14ac:dyDescent="0.25">
      <c r="B9" s="206" t="s">
        <v>82</v>
      </c>
      <c r="C9" s="207"/>
      <c r="D9" s="207"/>
      <c r="E9" s="207"/>
      <c r="F9" s="207"/>
      <c r="G9" s="207"/>
      <c r="H9" s="208"/>
    </row>
    <row r="10" spans="2:11" x14ac:dyDescent="0.25">
      <c r="B10" s="206" t="s">
        <v>83</v>
      </c>
      <c r="C10" s="207"/>
      <c r="D10" s="207"/>
      <c r="E10" s="207"/>
      <c r="F10" s="207"/>
      <c r="G10" s="207"/>
      <c r="H10" s="208"/>
    </row>
    <row r="11" spans="2:11" ht="34.5" customHeight="1" thickBot="1" x14ac:dyDescent="0.3">
      <c r="B11" s="209" t="s">
        <v>84</v>
      </c>
      <c r="C11" s="210"/>
      <c r="D11" s="210"/>
      <c r="E11" s="210"/>
      <c r="F11" s="210"/>
      <c r="G11" s="210"/>
      <c r="H11" s="211"/>
      <c r="K11">
        <v>0.96452086344861399</v>
      </c>
    </row>
    <row r="12" spans="2:11" ht="19.5" customHeight="1" thickBot="1" x14ac:dyDescent="0.3">
      <c r="B12" s="212" t="s">
        <v>85</v>
      </c>
      <c r="C12" s="213"/>
      <c r="D12" s="213"/>
      <c r="E12" s="213"/>
      <c r="F12" s="213"/>
      <c r="G12" s="213"/>
      <c r="H12" s="214"/>
    </row>
    <row r="13" spans="2:11" ht="72.75" customHeight="1" thickBot="1" x14ac:dyDescent="0.3">
      <c r="B13" s="215" t="s">
        <v>86</v>
      </c>
      <c r="C13" s="216"/>
      <c r="D13" s="216"/>
      <c r="E13" s="216"/>
      <c r="F13" s="216"/>
      <c r="G13" s="216"/>
      <c r="H13" s="217"/>
    </row>
    <row r="14" spans="2:11" ht="15.75" thickBot="1" x14ac:dyDescent="0.3">
      <c r="D14" s="57"/>
      <c r="F14" s="57"/>
    </row>
    <row r="15" spans="2:11" ht="18.75" customHeight="1" thickBot="1" x14ac:dyDescent="0.3">
      <c r="B15" s="192" t="s">
        <v>87</v>
      </c>
      <c r="C15" s="193"/>
      <c r="D15" s="193"/>
      <c r="E15" s="193"/>
      <c r="F15" s="193"/>
      <c r="G15" s="193"/>
      <c r="H15" s="194"/>
    </row>
    <row r="16" spans="2:11" ht="18.75" customHeight="1" thickBot="1" x14ac:dyDescent="0.3">
      <c r="B16" s="192" t="s">
        <v>2</v>
      </c>
      <c r="C16" s="193"/>
      <c r="D16" s="193"/>
      <c r="E16" s="193"/>
      <c r="F16" s="193"/>
      <c r="G16" s="193"/>
      <c r="H16" s="194"/>
    </row>
    <row r="17" spans="2:12" ht="15.75" thickBot="1" x14ac:dyDescent="0.3">
      <c r="B17" s="61" t="s">
        <v>3</v>
      </c>
      <c r="C17" s="62" t="s">
        <v>4</v>
      </c>
      <c r="D17" s="63" t="s">
        <v>5</v>
      </c>
      <c r="E17" s="64" t="s">
        <v>6</v>
      </c>
      <c r="F17" s="65" t="s">
        <v>7</v>
      </c>
      <c r="G17" s="64" t="s">
        <v>8</v>
      </c>
      <c r="H17" s="66" t="s">
        <v>9</v>
      </c>
    </row>
    <row r="18" spans="2:12" s="69" customFormat="1" ht="15.75" customHeight="1" thickBot="1" x14ac:dyDescent="0.3">
      <c r="B18" s="67">
        <v>1</v>
      </c>
      <c r="C18" s="195" t="s">
        <v>10</v>
      </c>
      <c r="D18" s="196"/>
      <c r="E18" s="196"/>
      <c r="F18" s="196"/>
      <c r="G18" s="196"/>
      <c r="H18" s="68">
        <f>SUM(G19:G24)</f>
        <v>2083739.5</v>
      </c>
    </row>
    <row r="19" spans="2:12" s="56" customFormat="1" ht="48" customHeight="1" x14ac:dyDescent="0.25">
      <c r="B19" s="70">
        <v>1.1000000000000001</v>
      </c>
      <c r="C19" s="71" t="s">
        <v>11</v>
      </c>
      <c r="D19" s="72" t="s">
        <v>12</v>
      </c>
      <c r="E19" s="73">
        <v>15599</v>
      </c>
      <c r="F19" s="74">
        <v>84</v>
      </c>
      <c r="G19" s="73">
        <f>+E19*F19</f>
        <v>1310316</v>
      </c>
      <c r="H19" s="75"/>
      <c r="J19" s="140">
        <f>ROUND($K$11*E19,0)</f>
        <v>15046</v>
      </c>
      <c r="K19" s="140">
        <f>J19*F19</f>
        <v>1263864</v>
      </c>
      <c r="L19" s="56">
        <v>16173</v>
      </c>
    </row>
    <row r="20" spans="2:12" s="56" customFormat="1" ht="39.6" customHeight="1" x14ac:dyDescent="0.25">
      <c r="B20" s="76">
        <v>1.2</v>
      </c>
      <c r="C20" s="77" t="s">
        <v>13</v>
      </c>
      <c r="D20" s="78" t="s">
        <v>14</v>
      </c>
      <c r="E20" s="79">
        <v>13115</v>
      </c>
      <c r="F20" s="80">
        <v>14</v>
      </c>
      <c r="G20" s="79">
        <f t="shared" ref="G20:G24" si="0">+E20*F20</f>
        <v>183610</v>
      </c>
      <c r="H20" s="81"/>
      <c r="J20" s="140">
        <f t="shared" ref="J20:J83" si="1">ROUND($K$11*E20,0)</f>
        <v>12650</v>
      </c>
      <c r="K20" s="140">
        <f t="shared" ref="K20:K83" si="2">J20*F20</f>
        <v>177100</v>
      </c>
      <c r="L20" s="56">
        <v>13597</v>
      </c>
    </row>
    <row r="21" spans="2:12" s="56" customFormat="1" ht="44.45" customHeight="1" x14ac:dyDescent="0.25">
      <c r="B21" s="76">
        <v>1.4</v>
      </c>
      <c r="C21" s="77" t="s">
        <v>15</v>
      </c>
      <c r="D21" s="78" t="s">
        <v>14</v>
      </c>
      <c r="E21" s="79">
        <v>17780</v>
      </c>
      <c r="F21" s="80">
        <v>14</v>
      </c>
      <c r="G21" s="79">
        <f t="shared" si="0"/>
        <v>248920</v>
      </c>
      <c r="H21" s="81"/>
      <c r="J21" s="140">
        <f t="shared" si="1"/>
        <v>17149</v>
      </c>
      <c r="K21" s="140">
        <f t="shared" si="2"/>
        <v>240086</v>
      </c>
      <c r="L21" s="56">
        <v>18434</v>
      </c>
    </row>
    <row r="22" spans="2:12" s="56" customFormat="1" ht="48" customHeight="1" x14ac:dyDescent="0.25">
      <c r="B22" s="76">
        <v>1.5</v>
      </c>
      <c r="C22" s="77" t="s">
        <v>16</v>
      </c>
      <c r="D22" s="78" t="s">
        <v>12</v>
      </c>
      <c r="E22" s="79">
        <v>11542</v>
      </c>
      <c r="F22" s="80">
        <v>26.25</v>
      </c>
      <c r="G22" s="79">
        <f t="shared" si="0"/>
        <v>302977.5</v>
      </c>
      <c r="H22" s="81"/>
      <c r="J22" s="140">
        <f t="shared" si="1"/>
        <v>11132</v>
      </c>
      <c r="K22" s="140">
        <f t="shared" si="2"/>
        <v>292215</v>
      </c>
      <c r="L22" s="56">
        <v>11967</v>
      </c>
    </row>
    <row r="23" spans="2:12" s="56" customFormat="1" ht="30" customHeight="1" x14ac:dyDescent="0.25">
      <c r="B23" s="76">
        <v>1.6</v>
      </c>
      <c r="C23" s="77" t="s">
        <v>17</v>
      </c>
      <c r="D23" s="78" t="s">
        <v>18</v>
      </c>
      <c r="E23" s="79">
        <v>4206</v>
      </c>
      <c r="F23" s="80">
        <v>7</v>
      </c>
      <c r="G23" s="79">
        <f t="shared" si="0"/>
        <v>29442</v>
      </c>
      <c r="H23" s="81"/>
      <c r="J23" s="140">
        <f t="shared" si="1"/>
        <v>4057</v>
      </c>
      <c r="K23" s="140">
        <f t="shared" si="2"/>
        <v>28399</v>
      </c>
      <c r="L23" s="56">
        <v>4361</v>
      </c>
    </row>
    <row r="24" spans="2:12" s="56" customFormat="1" ht="23.45" customHeight="1" thickBot="1" x14ac:dyDescent="0.3">
      <c r="B24" s="76">
        <v>1.7</v>
      </c>
      <c r="C24" s="77" t="s">
        <v>19</v>
      </c>
      <c r="D24" s="78" t="s">
        <v>12</v>
      </c>
      <c r="E24" s="79">
        <v>8474</v>
      </c>
      <c r="F24" s="80">
        <v>1</v>
      </c>
      <c r="G24" s="79">
        <f t="shared" si="0"/>
        <v>8474</v>
      </c>
      <c r="H24" s="81"/>
      <c r="J24" s="140">
        <f t="shared" si="1"/>
        <v>8173</v>
      </c>
      <c r="K24" s="140">
        <f t="shared" si="2"/>
        <v>8173</v>
      </c>
      <c r="L24" s="56">
        <v>8786</v>
      </c>
    </row>
    <row r="25" spans="2:12" s="69" customFormat="1" ht="15.75" customHeight="1" thickBot="1" x14ac:dyDescent="0.3">
      <c r="B25" s="82">
        <v>3</v>
      </c>
      <c r="C25" s="183" t="s">
        <v>20</v>
      </c>
      <c r="D25" s="184"/>
      <c r="E25" s="184">
        <v>0</v>
      </c>
      <c r="F25" s="184"/>
      <c r="G25" s="184"/>
      <c r="H25" s="83">
        <f>SUM(G26)</f>
        <v>11258681.800000001</v>
      </c>
      <c r="J25" s="140">
        <f t="shared" si="1"/>
        <v>0</v>
      </c>
      <c r="K25" s="140">
        <f t="shared" si="2"/>
        <v>0</v>
      </c>
    </row>
    <row r="26" spans="2:12" s="56" customFormat="1" ht="129" customHeight="1" thickBot="1" x14ac:dyDescent="0.3">
      <c r="B26" s="84">
        <v>3.3</v>
      </c>
      <c r="C26" s="85" t="s">
        <v>21</v>
      </c>
      <c r="D26" s="86" t="s">
        <v>12</v>
      </c>
      <c r="E26" s="118">
        <v>141797</v>
      </c>
      <c r="F26" s="88">
        <v>79.400000000000006</v>
      </c>
      <c r="G26" s="87">
        <f>+E26*F26</f>
        <v>11258681.800000001</v>
      </c>
      <c r="H26" s="89"/>
      <c r="J26" s="140">
        <f t="shared" si="1"/>
        <v>136766</v>
      </c>
      <c r="K26" s="140">
        <f t="shared" si="2"/>
        <v>10859220.4</v>
      </c>
      <c r="L26" s="56">
        <v>147012.93</v>
      </c>
    </row>
    <row r="27" spans="2:12" s="69" customFormat="1" ht="15.75" customHeight="1" thickBot="1" x14ac:dyDescent="0.3">
      <c r="B27" s="67">
        <v>4</v>
      </c>
      <c r="C27" s="195" t="s">
        <v>22</v>
      </c>
      <c r="D27" s="196"/>
      <c r="E27" s="196">
        <v>0</v>
      </c>
      <c r="F27" s="196"/>
      <c r="G27" s="196"/>
      <c r="H27" s="68">
        <f>SUM(G28)</f>
        <v>8113756</v>
      </c>
      <c r="J27" s="140">
        <f t="shared" si="1"/>
        <v>0</v>
      </c>
      <c r="K27" s="140">
        <f t="shared" si="2"/>
        <v>0</v>
      </c>
    </row>
    <row r="28" spans="2:12" s="56" customFormat="1" ht="15.75" thickBot="1" x14ac:dyDescent="0.3">
      <c r="B28" s="90">
        <v>4.0999999999999996</v>
      </c>
      <c r="C28" s="91" t="s">
        <v>23</v>
      </c>
      <c r="D28" s="92" t="s">
        <v>24</v>
      </c>
      <c r="E28" s="93">
        <v>13846</v>
      </c>
      <c r="F28" s="94">
        <v>586</v>
      </c>
      <c r="G28" s="93">
        <f>+E28*F28</f>
        <v>8113756</v>
      </c>
      <c r="H28" s="95"/>
      <c r="J28" s="140">
        <f t="shared" si="1"/>
        <v>13355</v>
      </c>
      <c r="K28" s="140">
        <f t="shared" si="2"/>
        <v>7826030</v>
      </c>
      <c r="L28" s="56">
        <v>14355.64</v>
      </c>
    </row>
    <row r="29" spans="2:12" s="69" customFormat="1" ht="15.75" customHeight="1" thickBot="1" x14ac:dyDescent="0.3">
      <c r="B29" s="82">
        <v>5</v>
      </c>
      <c r="C29" s="183" t="s">
        <v>25</v>
      </c>
      <c r="D29" s="184"/>
      <c r="E29" s="184">
        <v>0</v>
      </c>
      <c r="F29" s="184"/>
      <c r="G29" s="184"/>
      <c r="H29" s="83">
        <f>SUM(G30)</f>
        <v>304946.10000000003</v>
      </c>
      <c r="J29" s="140">
        <f t="shared" si="1"/>
        <v>0</v>
      </c>
      <c r="K29" s="140">
        <f t="shared" si="2"/>
        <v>0</v>
      </c>
    </row>
    <row r="30" spans="2:12" s="56" customFormat="1" ht="54.6" customHeight="1" thickBot="1" x14ac:dyDescent="0.3">
      <c r="B30" s="96">
        <v>5.0999999999999996</v>
      </c>
      <c r="C30" s="97" t="s">
        <v>26</v>
      </c>
      <c r="D30" s="98" t="s">
        <v>12</v>
      </c>
      <c r="E30" s="99">
        <v>19179</v>
      </c>
      <c r="F30" s="100">
        <v>15.9</v>
      </c>
      <c r="G30" s="99">
        <f>+E30*F30</f>
        <v>304946.10000000003</v>
      </c>
      <c r="H30" s="101"/>
      <c r="J30" s="140">
        <f t="shared" si="1"/>
        <v>18499</v>
      </c>
      <c r="K30" s="140">
        <f t="shared" si="2"/>
        <v>294134.10000000003</v>
      </c>
      <c r="L30" s="56">
        <v>19884.98</v>
      </c>
    </row>
    <row r="31" spans="2:12" ht="15.75" customHeight="1" thickBot="1" x14ac:dyDescent="0.3">
      <c r="B31" s="161" t="s">
        <v>27</v>
      </c>
      <c r="C31" s="162"/>
      <c r="D31" s="162"/>
      <c r="E31" s="162"/>
      <c r="F31" s="162"/>
      <c r="G31" s="185"/>
      <c r="H31" s="102">
        <f>ROUND(SUM(H18:H30),0)</f>
        <v>21761123</v>
      </c>
      <c r="J31" s="140">
        <f t="shared" si="1"/>
        <v>0</v>
      </c>
      <c r="K31" s="140">
        <f t="shared" si="2"/>
        <v>0</v>
      </c>
    </row>
    <row r="32" spans="2:12" ht="15" customHeight="1" x14ac:dyDescent="0.25">
      <c r="B32" s="186" t="s">
        <v>28</v>
      </c>
      <c r="C32" s="187"/>
      <c r="D32" s="188" t="s">
        <v>29</v>
      </c>
      <c r="E32" s="189"/>
      <c r="F32" s="190">
        <v>0.27200000000000002</v>
      </c>
      <c r="G32" s="191"/>
      <c r="H32" s="103">
        <f>+H31*F32</f>
        <v>5919025.4560000002</v>
      </c>
      <c r="J32" s="140">
        <f t="shared" si="1"/>
        <v>0</v>
      </c>
      <c r="K32" s="140">
        <f t="shared" si="2"/>
        <v>0</v>
      </c>
    </row>
    <row r="33" spans="2:12" ht="15" customHeight="1" x14ac:dyDescent="0.25">
      <c r="B33" s="171" t="s">
        <v>30</v>
      </c>
      <c r="C33" s="172"/>
      <c r="D33" s="173" t="s">
        <v>31</v>
      </c>
      <c r="E33" s="174"/>
      <c r="F33" s="175">
        <v>0.01</v>
      </c>
      <c r="G33" s="176"/>
      <c r="H33" s="104">
        <f>+H31*F33</f>
        <v>217611.23</v>
      </c>
      <c r="J33" s="140">
        <f t="shared" si="1"/>
        <v>0</v>
      </c>
      <c r="K33" s="140">
        <f t="shared" si="2"/>
        <v>0</v>
      </c>
    </row>
    <row r="34" spans="2:12" ht="15" customHeight="1" x14ac:dyDescent="0.25">
      <c r="B34" s="171" t="s">
        <v>32</v>
      </c>
      <c r="C34" s="172"/>
      <c r="D34" s="173" t="s">
        <v>33</v>
      </c>
      <c r="E34" s="174"/>
      <c r="F34" s="175">
        <v>0.04</v>
      </c>
      <c r="G34" s="176"/>
      <c r="H34" s="104">
        <f>+H31*F34</f>
        <v>870444.92</v>
      </c>
      <c r="J34" s="140">
        <f t="shared" si="1"/>
        <v>0</v>
      </c>
      <c r="K34" s="140">
        <f t="shared" si="2"/>
        <v>0</v>
      </c>
    </row>
    <row r="35" spans="2:12" ht="15.75" customHeight="1" thickBot="1" x14ac:dyDescent="0.3">
      <c r="B35" s="177" t="s">
        <v>34</v>
      </c>
      <c r="C35" s="178"/>
      <c r="D35" s="179" t="s">
        <v>35</v>
      </c>
      <c r="E35" s="180"/>
      <c r="F35" s="181">
        <v>0.19</v>
      </c>
      <c r="G35" s="182"/>
      <c r="H35" s="105">
        <f>+H34*F35</f>
        <v>165384.53480000002</v>
      </c>
      <c r="J35" s="140">
        <f t="shared" si="1"/>
        <v>0</v>
      </c>
      <c r="K35" s="140">
        <f t="shared" si="2"/>
        <v>0</v>
      </c>
    </row>
    <row r="36" spans="2:12" ht="15.75" customHeight="1" thickBot="1" x14ac:dyDescent="0.3">
      <c r="B36" s="161" t="s">
        <v>36</v>
      </c>
      <c r="C36" s="162"/>
      <c r="D36" s="162"/>
      <c r="E36" s="162"/>
      <c r="F36" s="162"/>
      <c r="G36" s="162"/>
      <c r="H36" s="106">
        <f>ROUND(SUM(H32:H35),0)</f>
        <v>7172466</v>
      </c>
      <c r="J36" s="140">
        <f t="shared" si="1"/>
        <v>0</v>
      </c>
      <c r="K36" s="140">
        <f t="shared" si="2"/>
        <v>0</v>
      </c>
    </row>
    <row r="37" spans="2:12" ht="15.75" customHeight="1" thickBot="1" x14ac:dyDescent="0.3">
      <c r="B37" s="161" t="s">
        <v>37</v>
      </c>
      <c r="C37" s="162"/>
      <c r="D37" s="162"/>
      <c r="E37" s="162"/>
      <c r="F37" s="162"/>
      <c r="G37" s="162"/>
      <c r="H37" s="106">
        <f>ROUND(+H31+H36,0)</f>
        <v>28933589</v>
      </c>
      <c r="J37" s="140">
        <f t="shared" si="1"/>
        <v>0</v>
      </c>
      <c r="K37" s="140">
        <f t="shared" si="2"/>
        <v>0</v>
      </c>
    </row>
    <row r="38" spans="2:12" x14ac:dyDescent="0.25">
      <c r="B38" s="238"/>
      <c r="C38" s="238"/>
      <c r="D38" s="238"/>
      <c r="E38" s="238"/>
      <c r="F38" s="238"/>
      <c r="G38" s="238"/>
      <c r="H38" s="239"/>
      <c r="J38" s="140">
        <f t="shared" si="1"/>
        <v>0</v>
      </c>
      <c r="K38" s="140">
        <f t="shared" si="2"/>
        <v>0</v>
      </c>
    </row>
    <row r="39" spans="2:12" x14ac:dyDescent="0.25">
      <c r="B39" s="238"/>
      <c r="C39" s="238"/>
      <c r="D39" s="238"/>
      <c r="E39" s="238"/>
      <c r="F39" s="238"/>
      <c r="G39" s="238"/>
      <c r="H39" s="239"/>
      <c r="J39" s="140">
        <f t="shared" si="1"/>
        <v>0</v>
      </c>
      <c r="K39" s="140">
        <f t="shared" si="2"/>
        <v>0</v>
      </c>
    </row>
    <row r="40" spans="2:12" ht="15.75" thickBot="1" x14ac:dyDescent="0.3">
      <c r="D40" s="57"/>
      <c r="F40" s="57"/>
      <c r="J40" s="140">
        <f t="shared" si="1"/>
        <v>0</v>
      </c>
      <c r="K40" s="140">
        <f t="shared" si="2"/>
        <v>0</v>
      </c>
    </row>
    <row r="41" spans="2:12" ht="38.25" customHeight="1" thickBot="1" x14ac:dyDescent="0.3">
      <c r="B41" s="192" t="s">
        <v>38</v>
      </c>
      <c r="C41" s="193"/>
      <c r="D41" s="193"/>
      <c r="E41" s="193"/>
      <c r="F41" s="193"/>
      <c r="G41" s="193"/>
      <c r="H41" s="194"/>
      <c r="J41" s="140">
        <f t="shared" si="1"/>
        <v>0</v>
      </c>
      <c r="K41" s="140">
        <f t="shared" si="2"/>
        <v>0</v>
      </c>
    </row>
    <row r="42" spans="2:12" ht="18.75" customHeight="1" thickBot="1" x14ac:dyDescent="0.3">
      <c r="B42" s="199" t="s">
        <v>88</v>
      </c>
      <c r="C42" s="200"/>
      <c r="D42" s="200"/>
      <c r="E42" s="200"/>
      <c r="F42" s="200"/>
      <c r="G42" s="200"/>
      <c r="H42" s="201"/>
      <c r="J42" s="140">
        <f t="shared" si="1"/>
        <v>0</v>
      </c>
      <c r="K42" s="140">
        <f t="shared" si="2"/>
        <v>0</v>
      </c>
    </row>
    <row r="43" spans="2:12" ht="15.75" thickBot="1" x14ac:dyDescent="0.3">
      <c r="B43" s="109" t="s">
        <v>3</v>
      </c>
      <c r="C43" s="110" t="s">
        <v>4</v>
      </c>
      <c r="D43" s="111" t="s">
        <v>5</v>
      </c>
      <c r="E43" s="112" t="s">
        <v>6</v>
      </c>
      <c r="F43" s="113" t="s">
        <v>7</v>
      </c>
      <c r="G43" s="112" t="s">
        <v>8</v>
      </c>
      <c r="H43" s="114" t="s">
        <v>9</v>
      </c>
      <c r="J43" s="140"/>
      <c r="K43" s="140"/>
    </row>
    <row r="44" spans="2:12" s="69" customFormat="1" ht="15.75" customHeight="1" thickBot="1" x14ac:dyDescent="0.3">
      <c r="B44" s="82">
        <v>1</v>
      </c>
      <c r="C44" s="183" t="s">
        <v>10</v>
      </c>
      <c r="D44" s="184"/>
      <c r="E44" s="184"/>
      <c r="F44" s="184"/>
      <c r="G44" s="241"/>
      <c r="H44" s="83">
        <f>SUM(G45:G46)</f>
        <v>765850</v>
      </c>
      <c r="J44" s="140"/>
      <c r="K44" s="140"/>
    </row>
    <row r="45" spans="2:12" s="56" customFormat="1" ht="31.15" customHeight="1" x14ac:dyDescent="0.25">
      <c r="B45" s="115">
        <v>1.3</v>
      </c>
      <c r="C45" s="116" t="s">
        <v>39</v>
      </c>
      <c r="D45" s="117" t="s">
        <v>12</v>
      </c>
      <c r="E45" s="87">
        <v>5101</v>
      </c>
      <c r="F45" s="88">
        <v>70</v>
      </c>
      <c r="G45" s="87">
        <f>+E45*F45</f>
        <v>357070</v>
      </c>
      <c r="H45" s="89"/>
      <c r="J45" s="140">
        <f t="shared" si="1"/>
        <v>4920</v>
      </c>
      <c r="K45" s="140">
        <f t="shared" si="2"/>
        <v>344400</v>
      </c>
      <c r="L45" s="56">
        <v>5289</v>
      </c>
    </row>
    <row r="46" spans="2:12" s="56" customFormat="1" ht="36.6" customHeight="1" thickBot="1" x14ac:dyDescent="0.3">
      <c r="B46" s="84">
        <v>1.8</v>
      </c>
      <c r="C46" s="85" t="s">
        <v>40</v>
      </c>
      <c r="D46" s="86" t="s">
        <v>41</v>
      </c>
      <c r="E46" s="240">
        <v>13626</v>
      </c>
      <c r="F46" s="119">
        <v>30</v>
      </c>
      <c r="G46" s="118">
        <f>+E46*F46</f>
        <v>408780</v>
      </c>
      <c r="H46" s="120"/>
      <c r="J46" s="140">
        <f t="shared" si="1"/>
        <v>13143</v>
      </c>
      <c r="K46" s="140">
        <f t="shared" si="2"/>
        <v>394290</v>
      </c>
      <c r="L46" s="56">
        <v>14127.45</v>
      </c>
    </row>
    <row r="47" spans="2:12" s="69" customFormat="1" ht="15.75" customHeight="1" thickBot="1" x14ac:dyDescent="0.3">
      <c r="B47" s="121">
        <v>2</v>
      </c>
      <c r="C47" s="197" t="s">
        <v>42</v>
      </c>
      <c r="D47" s="198"/>
      <c r="E47" s="198">
        <v>0</v>
      </c>
      <c r="F47" s="198"/>
      <c r="G47" s="198"/>
      <c r="H47" s="122">
        <f>SUM(G48)</f>
        <v>277142.39999999997</v>
      </c>
      <c r="J47" s="140">
        <f t="shared" si="1"/>
        <v>0</v>
      </c>
      <c r="K47" s="140">
        <f t="shared" si="2"/>
        <v>0</v>
      </c>
    </row>
    <row r="48" spans="2:12" s="56" customFormat="1" ht="62.45" customHeight="1" thickBot="1" x14ac:dyDescent="0.3">
      <c r="B48" s="115">
        <v>2.1</v>
      </c>
      <c r="C48" s="116" t="s">
        <v>43</v>
      </c>
      <c r="D48" s="117" t="s">
        <v>44</v>
      </c>
      <c r="E48" s="87">
        <v>76984</v>
      </c>
      <c r="F48" s="88">
        <v>3.5999999999999996</v>
      </c>
      <c r="G48" s="87">
        <f>+E48*F48</f>
        <v>277142.39999999997</v>
      </c>
      <c r="H48" s="89"/>
      <c r="J48" s="140">
        <f t="shared" si="1"/>
        <v>74253</v>
      </c>
      <c r="K48" s="140">
        <f t="shared" si="2"/>
        <v>267310.8</v>
      </c>
      <c r="L48" s="56">
        <v>79816</v>
      </c>
    </row>
    <row r="49" spans="2:12" s="69" customFormat="1" ht="15.75" customHeight="1" thickBot="1" x14ac:dyDescent="0.3">
      <c r="B49" s="82">
        <v>3</v>
      </c>
      <c r="C49" s="202" t="s">
        <v>20</v>
      </c>
      <c r="D49" s="184"/>
      <c r="E49" s="184">
        <v>0</v>
      </c>
      <c r="F49" s="184"/>
      <c r="G49" s="184"/>
      <c r="H49" s="83">
        <f>SUM(G50)</f>
        <v>248730</v>
      </c>
      <c r="J49" s="140">
        <f t="shared" si="1"/>
        <v>0</v>
      </c>
      <c r="K49" s="140">
        <f t="shared" si="2"/>
        <v>0</v>
      </c>
    </row>
    <row r="50" spans="2:12" s="56" customFormat="1" ht="145.15" customHeight="1" thickBot="1" x14ac:dyDescent="0.3">
      <c r="B50" s="70">
        <v>3.1</v>
      </c>
      <c r="C50" s="71" t="s">
        <v>45</v>
      </c>
      <c r="D50" s="72" t="s">
        <v>41</v>
      </c>
      <c r="E50" s="73">
        <v>49746</v>
      </c>
      <c r="F50" s="88">
        <v>5</v>
      </c>
      <c r="G50" s="87">
        <f>+E50*F50</f>
        <v>248730</v>
      </c>
      <c r="H50" s="89"/>
      <c r="J50" s="140">
        <f t="shared" si="1"/>
        <v>47981</v>
      </c>
      <c r="K50" s="140">
        <f t="shared" si="2"/>
        <v>239905</v>
      </c>
      <c r="L50" s="56">
        <v>51575.78</v>
      </c>
    </row>
    <row r="51" spans="2:12" s="69" customFormat="1" ht="15.75" customHeight="1" thickBot="1" x14ac:dyDescent="0.3">
      <c r="B51" s="82">
        <v>4</v>
      </c>
      <c r="C51" s="183" t="s">
        <v>22</v>
      </c>
      <c r="D51" s="184"/>
      <c r="E51" s="184">
        <v>0</v>
      </c>
      <c r="F51" s="184"/>
      <c r="G51" s="184"/>
      <c r="H51" s="83">
        <f>SUM(G52:G55)</f>
        <v>4244411.72</v>
      </c>
      <c r="J51" s="140">
        <f t="shared" si="1"/>
        <v>0</v>
      </c>
      <c r="K51" s="140">
        <f t="shared" si="2"/>
        <v>0</v>
      </c>
    </row>
    <row r="52" spans="2:12" s="56" customFormat="1" ht="44.45" customHeight="1" x14ac:dyDescent="0.25">
      <c r="B52" s="76">
        <v>4.2</v>
      </c>
      <c r="C52" s="77" t="s">
        <v>46</v>
      </c>
      <c r="D52" s="78" t="s">
        <v>12</v>
      </c>
      <c r="E52" s="79">
        <v>12009</v>
      </c>
      <c r="F52" s="88">
        <v>85</v>
      </c>
      <c r="G52" s="87">
        <f>+E52*F52</f>
        <v>1020765</v>
      </c>
      <c r="H52" s="89"/>
      <c r="J52" s="140">
        <f t="shared" si="1"/>
        <v>11583</v>
      </c>
      <c r="K52" s="140">
        <f t="shared" si="2"/>
        <v>984555</v>
      </c>
      <c r="L52" s="56">
        <v>12450.71</v>
      </c>
    </row>
    <row r="53" spans="2:12" s="56" customFormat="1" ht="61.9" customHeight="1" x14ac:dyDescent="0.25">
      <c r="B53" s="76">
        <v>4.3</v>
      </c>
      <c r="C53" s="77" t="s">
        <v>47</v>
      </c>
      <c r="D53" s="78" t="s">
        <v>12</v>
      </c>
      <c r="E53" s="79">
        <v>22628</v>
      </c>
      <c r="F53" s="80">
        <v>70</v>
      </c>
      <c r="G53" s="79">
        <f>+E53*F53</f>
        <v>1583960</v>
      </c>
      <c r="H53" s="81"/>
      <c r="J53" s="140">
        <f t="shared" si="1"/>
        <v>21825</v>
      </c>
      <c r="K53" s="140">
        <f t="shared" si="2"/>
        <v>1527750</v>
      </c>
      <c r="L53" s="56">
        <v>23460</v>
      </c>
    </row>
    <row r="54" spans="2:12" s="56" customFormat="1" ht="72" customHeight="1" x14ac:dyDescent="0.25">
      <c r="B54" s="76">
        <v>4.4000000000000004</v>
      </c>
      <c r="C54" s="77" t="s">
        <v>48</v>
      </c>
      <c r="D54" s="80" t="s">
        <v>24</v>
      </c>
      <c r="E54" s="79">
        <v>20442</v>
      </c>
      <c r="F54" s="80">
        <v>70</v>
      </c>
      <c r="G54" s="79">
        <f>+E54*F54</f>
        <v>1430940</v>
      </c>
      <c r="H54" s="81"/>
      <c r="J54" s="140">
        <f t="shared" si="1"/>
        <v>19717</v>
      </c>
      <c r="K54" s="140">
        <f t="shared" si="2"/>
        <v>1380190</v>
      </c>
      <c r="L54" s="56">
        <v>21193.97</v>
      </c>
    </row>
    <row r="55" spans="2:12" s="56" customFormat="1" ht="41.45" customHeight="1" thickBot="1" x14ac:dyDescent="0.3">
      <c r="B55" s="84">
        <v>4.5</v>
      </c>
      <c r="C55" s="85" t="s">
        <v>49</v>
      </c>
      <c r="D55" s="119" t="s">
        <v>24</v>
      </c>
      <c r="E55" s="118">
        <v>55224</v>
      </c>
      <c r="F55" s="119">
        <v>3.7800000000000002</v>
      </c>
      <c r="G55" s="118">
        <f>+E55*F55</f>
        <v>208746.72</v>
      </c>
      <c r="H55" s="120"/>
      <c r="J55" s="140">
        <f t="shared" si="1"/>
        <v>53265</v>
      </c>
      <c r="K55" s="140">
        <f t="shared" si="2"/>
        <v>201341.7</v>
      </c>
      <c r="L55" s="56">
        <v>57255.88</v>
      </c>
    </row>
    <row r="56" spans="2:12" s="69" customFormat="1" ht="15.75" customHeight="1" thickBot="1" x14ac:dyDescent="0.3">
      <c r="B56" s="121">
        <v>5</v>
      </c>
      <c r="C56" s="197" t="s">
        <v>25</v>
      </c>
      <c r="D56" s="198"/>
      <c r="E56" s="198">
        <v>0</v>
      </c>
      <c r="F56" s="198"/>
      <c r="G56" s="198"/>
      <c r="H56" s="122">
        <f>SUM(G57)</f>
        <v>32911.164000000004</v>
      </c>
      <c r="J56" s="140">
        <f t="shared" si="1"/>
        <v>0</v>
      </c>
      <c r="K56" s="140">
        <f t="shared" si="2"/>
        <v>0</v>
      </c>
    </row>
    <row r="57" spans="2:12" s="56" customFormat="1" ht="55.9" customHeight="1" thickBot="1" x14ac:dyDescent="0.3">
      <c r="B57" s="96">
        <v>5.0999999999999996</v>
      </c>
      <c r="C57" s="97" t="s">
        <v>26</v>
      </c>
      <c r="D57" s="98" t="s">
        <v>12</v>
      </c>
      <c r="E57" s="99">
        <v>19179</v>
      </c>
      <c r="F57" s="100">
        <v>1.7160000000000002</v>
      </c>
      <c r="G57" s="99">
        <f>+E57*F57</f>
        <v>32911.164000000004</v>
      </c>
      <c r="H57" s="101"/>
      <c r="J57" s="140">
        <f t="shared" si="1"/>
        <v>18499</v>
      </c>
      <c r="K57" s="140">
        <f t="shared" si="2"/>
        <v>31744.284000000003</v>
      </c>
      <c r="L57" s="56">
        <v>19884.98</v>
      </c>
    </row>
    <row r="58" spans="2:12" s="69" customFormat="1" ht="15.75" customHeight="1" thickBot="1" x14ac:dyDescent="0.3">
      <c r="B58" s="82">
        <v>8</v>
      </c>
      <c r="C58" s="183" t="s">
        <v>50</v>
      </c>
      <c r="D58" s="184"/>
      <c r="E58" s="184">
        <v>0</v>
      </c>
      <c r="F58" s="184"/>
      <c r="G58" s="184"/>
      <c r="H58" s="83">
        <f>SUM(G59:G59)</f>
        <v>439826</v>
      </c>
      <c r="J58" s="140">
        <f t="shared" si="1"/>
        <v>0</v>
      </c>
      <c r="K58" s="140">
        <f t="shared" si="2"/>
        <v>0</v>
      </c>
    </row>
    <row r="59" spans="2:12" s="56" customFormat="1" ht="51" customHeight="1" thickBot="1" x14ac:dyDescent="0.3">
      <c r="B59" s="115">
        <v>8.9</v>
      </c>
      <c r="C59" s="123" t="s">
        <v>51</v>
      </c>
      <c r="D59" s="117" t="s">
        <v>14</v>
      </c>
      <c r="E59" s="87">
        <v>439826</v>
      </c>
      <c r="F59" s="88">
        <v>1</v>
      </c>
      <c r="G59" s="87">
        <f t="shared" ref="G59" si="3">+E59*F59</f>
        <v>439826</v>
      </c>
      <c r="H59" s="89"/>
      <c r="J59" s="140">
        <f t="shared" si="1"/>
        <v>424221</v>
      </c>
      <c r="K59" s="140">
        <f t="shared" si="2"/>
        <v>424221</v>
      </c>
      <c r="L59" s="56">
        <v>456005</v>
      </c>
    </row>
    <row r="60" spans="2:12" s="69" customFormat="1" ht="15.75" customHeight="1" thickBot="1" x14ac:dyDescent="0.3">
      <c r="B60" s="82">
        <v>10</v>
      </c>
      <c r="C60" s="183" t="s">
        <v>52</v>
      </c>
      <c r="D60" s="184"/>
      <c r="E60" s="184">
        <v>0</v>
      </c>
      <c r="F60" s="184"/>
      <c r="G60" s="184"/>
      <c r="H60" s="83">
        <f>SUM(G61:G62)</f>
        <v>2359659.6</v>
      </c>
      <c r="J60" s="140">
        <f t="shared" si="1"/>
        <v>0</v>
      </c>
      <c r="K60" s="140">
        <f t="shared" si="2"/>
        <v>0</v>
      </c>
    </row>
    <row r="61" spans="2:12" s="56" customFormat="1" ht="204" customHeight="1" x14ac:dyDescent="0.25">
      <c r="B61" s="76">
        <v>10.4</v>
      </c>
      <c r="C61" s="77" t="s">
        <v>53</v>
      </c>
      <c r="D61" s="80" t="s">
        <v>41</v>
      </c>
      <c r="E61" s="79">
        <v>865150</v>
      </c>
      <c r="F61" s="80">
        <v>1.8</v>
      </c>
      <c r="G61" s="79">
        <f>+E61*F61</f>
        <v>1557270</v>
      </c>
      <c r="H61" s="81"/>
      <c r="J61" s="140">
        <f t="shared" si="1"/>
        <v>834455</v>
      </c>
      <c r="K61" s="140">
        <f t="shared" si="2"/>
        <v>1502019</v>
      </c>
      <c r="L61" s="56">
        <v>896974</v>
      </c>
    </row>
    <row r="62" spans="2:12" s="56" customFormat="1" ht="174" customHeight="1" thickBot="1" x14ac:dyDescent="0.3">
      <c r="B62" s="76">
        <v>10.5</v>
      </c>
      <c r="C62" s="77" t="s">
        <v>54</v>
      </c>
      <c r="D62" s="80" t="s">
        <v>41</v>
      </c>
      <c r="E62" s="79">
        <v>445772</v>
      </c>
      <c r="F62" s="80">
        <v>1.8</v>
      </c>
      <c r="G62" s="79">
        <f>+E62*F62</f>
        <v>802389.6</v>
      </c>
      <c r="H62" s="81"/>
      <c r="J62" s="140">
        <f t="shared" si="1"/>
        <v>429956</v>
      </c>
      <c r="K62" s="140">
        <f t="shared" si="2"/>
        <v>773920.8</v>
      </c>
      <c r="L62" s="56">
        <v>462169.5</v>
      </c>
    </row>
    <row r="63" spans="2:12" s="69" customFormat="1" ht="15.75" customHeight="1" thickBot="1" x14ac:dyDescent="0.3">
      <c r="B63" s="82">
        <v>12</v>
      </c>
      <c r="C63" s="183" t="s">
        <v>55</v>
      </c>
      <c r="D63" s="184"/>
      <c r="E63" s="184">
        <v>0</v>
      </c>
      <c r="F63" s="184"/>
      <c r="G63" s="184"/>
      <c r="H63" s="83">
        <f>SUM(G64:G64)</f>
        <v>231559</v>
      </c>
      <c r="J63" s="140">
        <f t="shared" si="1"/>
        <v>0</v>
      </c>
      <c r="K63" s="140">
        <f t="shared" si="2"/>
        <v>0</v>
      </c>
    </row>
    <row r="64" spans="2:12" s="56" customFormat="1" ht="43.9" customHeight="1" thickBot="1" x14ac:dyDescent="0.3">
      <c r="B64" s="76">
        <v>12.1</v>
      </c>
      <c r="C64" s="124" t="s">
        <v>56</v>
      </c>
      <c r="D64" s="78" t="s">
        <v>12</v>
      </c>
      <c r="E64" s="79">
        <v>231559</v>
      </c>
      <c r="F64" s="80">
        <v>1</v>
      </c>
      <c r="G64" s="79">
        <f>+E64*F64</f>
        <v>231559</v>
      </c>
      <c r="H64" s="81"/>
      <c r="J64" s="140">
        <f t="shared" si="1"/>
        <v>223343</v>
      </c>
      <c r="K64" s="140">
        <f t="shared" si="2"/>
        <v>223343</v>
      </c>
      <c r="L64" s="56">
        <v>240077</v>
      </c>
    </row>
    <row r="65" spans="2:12" s="69" customFormat="1" ht="15.75" customHeight="1" thickBot="1" x14ac:dyDescent="0.3">
      <c r="B65" s="67">
        <v>13</v>
      </c>
      <c r="C65" s="195" t="s">
        <v>57</v>
      </c>
      <c r="D65" s="196"/>
      <c r="E65" s="196">
        <v>0</v>
      </c>
      <c r="F65" s="196"/>
      <c r="G65" s="196"/>
      <c r="H65" s="68">
        <f>SUM(G66:G67)</f>
        <v>2280255</v>
      </c>
      <c r="J65" s="140">
        <f t="shared" si="1"/>
        <v>0</v>
      </c>
      <c r="K65" s="140">
        <f t="shared" si="2"/>
        <v>0</v>
      </c>
    </row>
    <row r="66" spans="2:12" s="56" customFormat="1" ht="49.9" customHeight="1" x14ac:dyDescent="0.25">
      <c r="B66" s="70">
        <v>13.1</v>
      </c>
      <c r="C66" s="125" t="s">
        <v>58</v>
      </c>
      <c r="D66" s="72">
        <v>0</v>
      </c>
      <c r="E66" s="73">
        <v>45979</v>
      </c>
      <c r="F66" s="74">
        <v>1</v>
      </c>
      <c r="G66" s="73">
        <f t="shared" ref="G66:G67" si="4">+E66*F66</f>
        <v>45979</v>
      </c>
      <c r="H66" s="75"/>
      <c r="J66" s="140">
        <f t="shared" si="1"/>
        <v>44348</v>
      </c>
      <c r="K66" s="140">
        <f t="shared" si="2"/>
        <v>44348</v>
      </c>
      <c r="L66" s="56">
        <v>47670</v>
      </c>
    </row>
    <row r="67" spans="2:12" s="56" customFormat="1" ht="66" customHeight="1" thickBot="1" x14ac:dyDescent="0.3">
      <c r="B67" s="84">
        <v>13.6</v>
      </c>
      <c r="C67" s="126" t="s">
        <v>59</v>
      </c>
      <c r="D67" s="86">
        <v>0</v>
      </c>
      <c r="E67" s="118">
        <v>131428</v>
      </c>
      <c r="F67" s="119">
        <v>17</v>
      </c>
      <c r="G67" s="118">
        <f t="shared" si="4"/>
        <v>2234276</v>
      </c>
      <c r="H67" s="120"/>
      <c r="J67" s="140">
        <f t="shared" si="1"/>
        <v>126765</v>
      </c>
      <c r="K67" s="140">
        <f t="shared" si="2"/>
        <v>2155005</v>
      </c>
      <c r="L67" s="56">
        <v>136262</v>
      </c>
    </row>
    <row r="68" spans="2:12" ht="18" customHeight="1" thickBot="1" x14ac:dyDescent="0.3">
      <c r="B68" s="199" t="s">
        <v>60</v>
      </c>
      <c r="C68" s="200"/>
      <c r="D68" s="200"/>
      <c r="E68" s="200"/>
      <c r="F68" s="200"/>
      <c r="G68" s="200"/>
      <c r="H68" s="201"/>
      <c r="J68" s="140">
        <f t="shared" si="1"/>
        <v>0</v>
      </c>
      <c r="K68" s="140">
        <f t="shared" si="2"/>
        <v>0</v>
      </c>
    </row>
    <row r="69" spans="2:12" ht="15.75" thickBot="1" x14ac:dyDescent="0.3">
      <c r="B69" s="109" t="s">
        <v>3</v>
      </c>
      <c r="C69" s="110" t="s">
        <v>4</v>
      </c>
      <c r="D69" s="111" t="s">
        <v>5</v>
      </c>
      <c r="E69" s="112" t="s">
        <v>6</v>
      </c>
      <c r="F69" s="113" t="s">
        <v>7</v>
      </c>
      <c r="G69" s="112" t="s">
        <v>8</v>
      </c>
      <c r="H69" s="114" t="s">
        <v>9</v>
      </c>
      <c r="J69" s="140"/>
      <c r="K69" s="140"/>
    </row>
    <row r="70" spans="2:12" s="69" customFormat="1" ht="15.75" customHeight="1" thickBot="1" x14ac:dyDescent="0.3">
      <c r="B70" s="82">
        <v>1</v>
      </c>
      <c r="C70" s="183" t="s">
        <v>10</v>
      </c>
      <c r="D70" s="184"/>
      <c r="E70" s="184"/>
      <c r="F70" s="184"/>
      <c r="G70" s="184"/>
      <c r="H70" s="83">
        <f>SUM(G71:G72)</f>
        <v>765850</v>
      </c>
      <c r="J70" s="140"/>
      <c r="K70" s="140"/>
    </row>
    <row r="71" spans="2:12" s="56" customFormat="1" x14ac:dyDescent="0.25">
      <c r="B71" s="115">
        <v>1.3</v>
      </c>
      <c r="C71" s="116" t="s">
        <v>39</v>
      </c>
      <c r="D71" s="117" t="s">
        <v>12</v>
      </c>
      <c r="E71" s="87">
        <v>5101</v>
      </c>
      <c r="F71" s="88">
        <v>70</v>
      </c>
      <c r="G71" s="87">
        <f>+E71*F71</f>
        <v>357070</v>
      </c>
      <c r="H71" s="89"/>
      <c r="J71" s="140">
        <f t="shared" si="1"/>
        <v>4920</v>
      </c>
      <c r="K71" s="140">
        <f t="shared" si="2"/>
        <v>344400</v>
      </c>
      <c r="L71" s="56" t="s">
        <v>94</v>
      </c>
    </row>
    <row r="72" spans="2:12" s="56" customFormat="1" ht="15.75" customHeight="1" thickBot="1" x14ac:dyDescent="0.3">
      <c r="B72" s="84">
        <v>1.8</v>
      </c>
      <c r="C72" s="85" t="s">
        <v>40</v>
      </c>
      <c r="D72" s="86" t="s">
        <v>41</v>
      </c>
      <c r="E72" s="240">
        <v>13626</v>
      </c>
      <c r="F72" s="119">
        <v>30</v>
      </c>
      <c r="G72" s="118">
        <f>+E72*F72</f>
        <v>408780</v>
      </c>
      <c r="H72" s="120"/>
      <c r="J72" s="140">
        <f t="shared" si="1"/>
        <v>13143</v>
      </c>
      <c r="K72" s="140">
        <f t="shared" si="2"/>
        <v>394290</v>
      </c>
      <c r="L72" s="56" t="s">
        <v>95</v>
      </c>
    </row>
    <row r="73" spans="2:12" s="69" customFormat="1" ht="15.75" customHeight="1" thickBot="1" x14ac:dyDescent="0.3">
      <c r="B73" s="82">
        <v>3</v>
      </c>
      <c r="C73" s="183" t="s">
        <v>20</v>
      </c>
      <c r="D73" s="184"/>
      <c r="E73" s="184"/>
      <c r="F73" s="184"/>
      <c r="G73" s="184"/>
      <c r="H73" s="83">
        <f>SUM(G74)</f>
        <v>945174</v>
      </c>
      <c r="J73" s="140">
        <f t="shared" si="1"/>
        <v>0</v>
      </c>
      <c r="K73" s="140">
        <f t="shared" si="2"/>
        <v>0</v>
      </c>
    </row>
    <row r="74" spans="2:12" s="56" customFormat="1" ht="154.9" customHeight="1" thickBot="1" x14ac:dyDescent="0.3">
      <c r="B74" s="70">
        <v>3.1</v>
      </c>
      <c r="C74" s="71" t="s">
        <v>45</v>
      </c>
      <c r="D74" s="72" t="s">
        <v>41</v>
      </c>
      <c r="E74" s="73">
        <v>49746</v>
      </c>
      <c r="F74" s="88">
        <v>19</v>
      </c>
      <c r="G74" s="87">
        <f>+E74*F74</f>
        <v>945174</v>
      </c>
      <c r="H74" s="89"/>
      <c r="J74" s="140">
        <f t="shared" si="1"/>
        <v>47981</v>
      </c>
      <c r="K74" s="140">
        <f t="shared" si="2"/>
        <v>911639</v>
      </c>
      <c r="L74" s="56">
        <v>51575.78</v>
      </c>
    </row>
    <row r="75" spans="2:12" s="69" customFormat="1" ht="15.75" customHeight="1" thickBot="1" x14ac:dyDescent="0.3">
      <c r="B75" s="82">
        <v>4</v>
      </c>
      <c r="C75" s="183" t="s">
        <v>22</v>
      </c>
      <c r="D75" s="184"/>
      <c r="E75" s="184">
        <v>0</v>
      </c>
      <c r="F75" s="184"/>
      <c r="G75" s="184"/>
      <c r="H75" s="83">
        <f>SUM(G76:G79)</f>
        <v>4244411.72</v>
      </c>
      <c r="J75" s="140">
        <f t="shared" si="1"/>
        <v>0</v>
      </c>
      <c r="K75" s="140">
        <f t="shared" si="2"/>
        <v>0</v>
      </c>
    </row>
    <row r="76" spans="2:12" s="56" customFormat="1" ht="52.9" customHeight="1" x14ac:dyDescent="0.25">
      <c r="B76" s="76">
        <v>4.2</v>
      </c>
      <c r="C76" s="77" t="s">
        <v>46</v>
      </c>
      <c r="D76" s="78" t="s">
        <v>12</v>
      </c>
      <c r="E76" s="79">
        <v>12009</v>
      </c>
      <c r="F76" s="88">
        <v>85</v>
      </c>
      <c r="G76" s="87">
        <f>+E76*F76</f>
        <v>1020765</v>
      </c>
      <c r="H76" s="89"/>
      <c r="J76" s="140">
        <f t="shared" si="1"/>
        <v>11583</v>
      </c>
      <c r="K76" s="140">
        <f t="shared" si="2"/>
        <v>984555</v>
      </c>
      <c r="L76" s="56">
        <v>12450.71</v>
      </c>
    </row>
    <row r="77" spans="2:12" s="56" customFormat="1" ht="71.45" customHeight="1" x14ac:dyDescent="0.25">
      <c r="B77" s="76">
        <v>4.3</v>
      </c>
      <c r="C77" s="77" t="s">
        <v>47</v>
      </c>
      <c r="D77" s="78" t="s">
        <v>12</v>
      </c>
      <c r="E77" s="79">
        <v>22628</v>
      </c>
      <c r="F77" s="80">
        <v>70</v>
      </c>
      <c r="G77" s="79">
        <f>+E77*F77</f>
        <v>1583960</v>
      </c>
      <c r="H77" s="81"/>
      <c r="J77" s="140">
        <f t="shared" si="1"/>
        <v>21825</v>
      </c>
      <c r="K77" s="140">
        <f t="shared" si="2"/>
        <v>1527750</v>
      </c>
      <c r="L77" s="56">
        <v>23460</v>
      </c>
    </row>
    <row r="78" spans="2:12" s="56" customFormat="1" ht="75.599999999999994" customHeight="1" x14ac:dyDescent="0.25">
      <c r="B78" s="76">
        <v>4.4000000000000004</v>
      </c>
      <c r="C78" s="77" t="s">
        <v>48</v>
      </c>
      <c r="D78" s="80" t="s">
        <v>24</v>
      </c>
      <c r="E78" s="79">
        <v>20442</v>
      </c>
      <c r="F78" s="80">
        <v>70</v>
      </c>
      <c r="G78" s="79">
        <f>+E78*F78</f>
        <v>1430940</v>
      </c>
      <c r="H78" s="81"/>
      <c r="J78" s="140">
        <f t="shared" si="1"/>
        <v>19717</v>
      </c>
      <c r="K78" s="140">
        <f t="shared" si="2"/>
        <v>1380190</v>
      </c>
      <c r="L78" s="56">
        <v>21193.97</v>
      </c>
    </row>
    <row r="79" spans="2:12" s="56" customFormat="1" ht="37.9" customHeight="1" thickBot="1" x14ac:dyDescent="0.3">
      <c r="B79" s="84">
        <v>4.5</v>
      </c>
      <c r="C79" s="85" t="s">
        <v>49</v>
      </c>
      <c r="D79" s="119" t="s">
        <v>24</v>
      </c>
      <c r="E79" s="118">
        <v>55224</v>
      </c>
      <c r="F79" s="119">
        <v>3.7800000000000002</v>
      </c>
      <c r="G79" s="118">
        <f>+E79*F79</f>
        <v>208746.72</v>
      </c>
      <c r="H79" s="120"/>
      <c r="J79" s="140">
        <f t="shared" si="1"/>
        <v>53265</v>
      </c>
      <c r="K79" s="140">
        <f t="shared" si="2"/>
        <v>201341.7</v>
      </c>
      <c r="L79" s="56">
        <v>57255.88</v>
      </c>
    </row>
    <row r="80" spans="2:12" s="69" customFormat="1" ht="15.75" customHeight="1" thickBot="1" x14ac:dyDescent="0.3">
      <c r="B80" s="121">
        <v>5</v>
      </c>
      <c r="C80" s="197" t="s">
        <v>25</v>
      </c>
      <c r="D80" s="198"/>
      <c r="E80" s="198">
        <v>0</v>
      </c>
      <c r="F80" s="198"/>
      <c r="G80" s="198"/>
      <c r="H80" s="122">
        <f>SUM(G81)</f>
        <v>32911.164000000004</v>
      </c>
      <c r="J80" s="140">
        <f t="shared" si="1"/>
        <v>0</v>
      </c>
      <c r="K80" s="140">
        <f t="shared" si="2"/>
        <v>0</v>
      </c>
    </row>
    <row r="81" spans="2:12" s="56" customFormat="1" ht="63" customHeight="1" thickBot="1" x14ac:dyDescent="0.3">
      <c r="B81" s="96">
        <v>5.0999999999999996</v>
      </c>
      <c r="C81" s="97" t="s">
        <v>26</v>
      </c>
      <c r="D81" s="98" t="s">
        <v>12</v>
      </c>
      <c r="E81" s="99">
        <v>19179</v>
      </c>
      <c r="F81" s="100">
        <v>1.7160000000000002</v>
      </c>
      <c r="G81" s="99">
        <f>+E81*F81</f>
        <v>32911.164000000004</v>
      </c>
      <c r="H81" s="101"/>
      <c r="J81" s="140">
        <f t="shared" si="1"/>
        <v>18499</v>
      </c>
      <c r="K81" s="140">
        <f t="shared" si="2"/>
        <v>31744.284000000003</v>
      </c>
      <c r="L81" s="56">
        <v>19884.98</v>
      </c>
    </row>
    <row r="82" spans="2:12" s="69" customFormat="1" ht="15.75" customHeight="1" thickBot="1" x14ac:dyDescent="0.3">
      <c r="B82" s="67">
        <v>8</v>
      </c>
      <c r="C82" s="195" t="s">
        <v>50</v>
      </c>
      <c r="D82" s="196"/>
      <c r="E82" s="196">
        <v>0</v>
      </c>
      <c r="F82" s="196"/>
      <c r="G82" s="196"/>
      <c r="H82" s="68">
        <f>SUM(G83:G84)</f>
        <v>691092</v>
      </c>
      <c r="J82" s="140">
        <f t="shared" si="1"/>
        <v>0</v>
      </c>
      <c r="K82" s="140">
        <f t="shared" si="2"/>
        <v>0</v>
      </c>
    </row>
    <row r="83" spans="2:12" s="56" customFormat="1" ht="34.9" customHeight="1" x14ac:dyDescent="0.25">
      <c r="B83" s="70">
        <v>8.8000000000000007</v>
      </c>
      <c r="C83" s="125" t="s">
        <v>61</v>
      </c>
      <c r="D83" s="72" t="s">
        <v>14</v>
      </c>
      <c r="E83" s="73">
        <v>251266</v>
      </c>
      <c r="F83" s="74">
        <v>1</v>
      </c>
      <c r="G83" s="73">
        <f t="shared" ref="G83:G84" si="5">+E83*F83</f>
        <v>251266</v>
      </c>
      <c r="H83" s="75"/>
      <c r="J83" s="140">
        <f t="shared" si="1"/>
        <v>242351</v>
      </c>
      <c r="K83" s="140">
        <f t="shared" si="2"/>
        <v>242351</v>
      </c>
      <c r="L83" s="56">
        <v>260509</v>
      </c>
    </row>
    <row r="84" spans="2:12" s="56" customFormat="1" ht="43.9" customHeight="1" thickBot="1" x14ac:dyDescent="0.3">
      <c r="B84" s="84">
        <v>8.9</v>
      </c>
      <c r="C84" s="126" t="s">
        <v>51</v>
      </c>
      <c r="D84" s="86" t="s">
        <v>14</v>
      </c>
      <c r="E84" s="118">
        <v>439826</v>
      </c>
      <c r="F84" s="119">
        <v>1</v>
      </c>
      <c r="G84" s="118">
        <f t="shared" si="5"/>
        <v>439826</v>
      </c>
      <c r="H84" s="120"/>
      <c r="J84" s="140">
        <f t="shared" ref="J84:J120" si="6">ROUND($K$11*E84,0)</f>
        <v>424221</v>
      </c>
      <c r="K84" s="140">
        <f t="shared" ref="K84:K120" si="7">J84*F84</f>
        <v>424221</v>
      </c>
      <c r="L84" s="56">
        <v>456005</v>
      </c>
    </row>
    <row r="85" spans="2:12" s="69" customFormat="1" ht="15.75" customHeight="1" thickBot="1" x14ac:dyDescent="0.3">
      <c r="B85" s="121">
        <v>10</v>
      </c>
      <c r="C85" s="197" t="s">
        <v>52</v>
      </c>
      <c r="D85" s="198"/>
      <c r="E85" s="198">
        <v>0</v>
      </c>
      <c r="F85" s="198"/>
      <c r="G85" s="198"/>
      <c r="H85" s="122">
        <f>SUM(G86:G88)</f>
        <v>4318383.5999999996</v>
      </c>
      <c r="J85" s="140">
        <f t="shared" si="6"/>
        <v>0</v>
      </c>
      <c r="K85" s="140">
        <f t="shared" si="7"/>
        <v>0</v>
      </c>
    </row>
    <row r="86" spans="2:12" s="56" customFormat="1" ht="49.15" customHeight="1" x14ac:dyDescent="0.25">
      <c r="B86" s="96">
        <v>10.3</v>
      </c>
      <c r="C86" s="77" t="s">
        <v>62</v>
      </c>
      <c r="D86" s="78" t="s">
        <v>12</v>
      </c>
      <c r="E86" s="79">
        <v>544090</v>
      </c>
      <c r="F86" s="100">
        <v>3.6</v>
      </c>
      <c r="G86" s="99">
        <f>+E86*F86</f>
        <v>1958724</v>
      </c>
      <c r="H86" s="101"/>
      <c r="J86" s="140">
        <f t="shared" si="6"/>
        <v>524786</v>
      </c>
      <c r="K86" s="140">
        <f t="shared" si="7"/>
        <v>1889229.6</v>
      </c>
      <c r="L86" s="56">
        <v>564104</v>
      </c>
    </row>
    <row r="87" spans="2:12" s="56" customFormat="1" ht="207" customHeight="1" x14ac:dyDescent="0.25">
      <c r="B87" s="76">
        <v>10.4</v>
      </c>
      <c r="C87" s="77" t="s">
        <v>53</v>
      </c>
      <c r="D87" s="80" t="s">
        <v>41</v>
      </c>
      <c r="E87" s="79">
        <v>865150</v>
      </c>
      <c r="F87" s="80">
        <v>1.8</v>
      </c>
      <c r="G87" s="79">
        <f>+E87*F87</f>
        <v>1557270</v>
      </c>
      <c r="H87" s="81"/>
      <c r="J87" s="140">
        <f t="shared" si="6"/>
        <v>834455</v>
      </c>
      <c r="K87" s="140">
        <f t="shared" si="7"/>
        <v>1502019</v>
      </c>
      <c r="L87" s="56">
        <v>896974</v>
      </c>
    </row>
    <row r="88" spans="2:12" s="56" customFormat="1" ht="183.6" customHeight="1" thickBot="1" x14ac:dyDescent="0.3">
      <c r="B88" s="76">
        <v>10.5</v>
      </c>
      <c r="C88" s="77" t="s">
        <v>54</v>
      </c>
      <c r="D88" s="80" t="s">
        <v>41</v>
      </c>
      <c r="E88" s="79">
        <v>445772</v>
      </c>
      <c r="F88" s="80">
        <v>1.8</v>
      </c>
      <c r="G88" s="79">
        <f>+E88*F88</f>
        <v>802389.6</v>
      </c>
      <c r="H88" s="81"/>
      <c r="J88" s="140">
        <f t="shared" si="6"/>
        <v>429956</v>
      </c>
      <c r="K88" s="140">
        <f t="shared" si="7"/>
        <v>773920.8</v>
      </c>
      <c r="L88" s="56">
        <v>462169.5</v>
      </c>
    </row>
    <row r="89" spans="2:12" s="69" customFormat="1" ht="15.75" customHeight="1" thickBot="1" x14ac:dyDescent="0.3">
      <c r="B89" s="67">
        <v>13</v>
      </c>
      <c r="C89" s="183" t="s">
        <v>57</v>
      </c>
      <c r="D89" s="184"/>
      <c r="E89" s="184">
        <v>0</v>
      </c>
      <c r="F89" s="184"/>
      <c r="G89" s="241"/>
      <c r="H89" s="68">
        <f>SUM(G90:G90)</f>
        <v>45979</v>
      </c>
      <c r="J89" s="140">
        <f t="shared" si="6"/>
        <v>0</v>
      </c>
      <c r="K89" s="140">
        <f t="shared" si="7"/>
        <v>0</v>
      </c>
    </row>
    <row r="90" spans="2:12" s="56" customFormat="1" ht="66" customHeight="1" thickBot="1" x14ac:dyDescent="0.3">
      <c r="B90" s="90">
        <v>13.1</v>
      </c>
      <c r="C90" s="127" t="s">
        <v>58</v>
      </c>
      <c r="D90" s="92" t="s">
        <v>14</v>
      </c>
      <c r="E90" s="93">
        <v>45979</v>
      </c>
      <c r="F90" s="94">
        <v>1</v>
      </c>
      <c r="G90" s="93">
        <f>+E90*F90</f>
        <v>45979</v>
      </c>
      <c r="H90" s="95"/>
      <c r="J90" s="140">
        <f t="shared" si="6"/>
        <v>44348</v>
      </c>
      <c r="K90" s="140">
        <f t="shared" si="7"/>
        <v>44348</v>
      </c>
      <c r="L90" s="56">
        <v>47670</v>
      </c>
    </row>
    <row r="91" spans="2:12" s="128" customFormat="1" ht="19.5" customHeight="1" thickBot="1" x14ac:dyDescent="0.35">
      <c r="B91" s="199" t="s">
        <v>63</v>
      </c>
      <c r="C91" s="200"/>
      <c r="D91" s="200"/>
      <c r="E91" s="200"/>
      <c r="F91" s="200"/>
      <c r="G91" s="200"/>
      <c r="H91" s="201"/>
      <c r="J91" s="140">
        <f t="shared" si="6"/>
        <v>0</v>
      </c>
      <c r="K91" s="140">
        <f t="shared" si="7"/>
        <v>0</v>
      </c>
    </row>
    <row r="92" spans="2:12" ht="15.75" thickBot="1" x14ac:dyDescent="0.3">
      <c r="B92" s="109" t="s">
        <v>3</v>
      </c>
      <c r="C92" s="110" t="s">
        <v>4</v>
      </c>
      <c r="D92" s="111" t="s">
        <v>5</v>
      </c>
      <c r="E92" s="112" t="s">
        <v>6</v>
      </c>
      <c r="F92" s="113" t="s">
        <v>7</v>
      </c>
      <c r="G92" s="112" t="s">
        <v>8</v>
      </c>
      <c r="H92" s="114" t="s">
        <v>9</v>
      </c>
      <c r="J92" s="140"/>
      <c r="K92" s="140"/>
    </row>
    <row r="93" spans="2:12" s="69" customFormat="1" ht="15.75" customHeight="1" thickBot="1" x14ac:dyDescent="0.3">
      <c r="B93" s="82">
        <v>1</v>
      </c>
      <c r="C93" s="183" t="s">
        <v>10</v>
      </c>
      <c r="D93" s="184"/>
      <c r="E93" s="184"/>
      <c r="F93" s="184"/>
      <c r="G93" s="184"/>
      <c r="H93" s="83">
        <f>SUM(G94:G94)</f>
        <v>357070</v>
      </c>
      <c r="J93" s="140">
        <f t="shared" si="6"/>
        <v>0</v>
      </c>
      <c r="K93" s="140">
        <f t="shared" si="7"/>
        <v>0</v>
      </c>
    </row>
    <row r="94" spans="2:12" s="56" customFormat="1" ht="39" customHeight="1" thickBot="1" x14ac:dyDescent="0.3">
      <c r="B94" s="115">
        <v>1.3</v>
      </c>
      <c r="C94" s="116" t="s">
        <v>39</v>
      </c>
      <c r="D94" s="117" t="s">
        <v>12</v>
      </c>
      <c r="E94" s="87">
        <v>5101</v>
      </c>
      <c r="F94" s="88">
        <v>70</v>
      </c>
      <c r="G94" s="87">
        <f>+E94*F94</f>
        <v>357070</v>
      </c>
      <c r="H94" s="89"/>
      <c r="J94" s="140">
        <f t="shared" si="6"/>
        <v>4920</v>
      </c>
      <c r="K94" s="140">
        <f t="shared" si="7"/>
        <v>344400</v>
      </c>
      <c r="L94" s="56">
        <v>5289</v>
      </c>
    </row>
    <row r="95" spans="2:12" s="69" customFormat="1" ht="15.75" customHeight="1" thickBot="1" x14ac:dyDescent="0.3">
      <c r="B95" s="82">
        <v>3</v>
      </c>
      <c r="C95" s="183" t="s">
        <v>20</v>
      </c>
      <c r="D95" s="184"/>
      <c r="E95" s="184">
        <v>0</v>
      </c>
      <c r="F95" s="184"/>
      <c r="G95" s="184"/>
      <c r="H95" s="83">
        <f>SUM(G96)</f>
        <v>397968</v>
      </c>
      <c r="J95" s="140">
        <f t="shared" si="6"/>
        <v>0</v>
      </c>
      <c r="K95" s="140">
        <f t="shared" si="7"/>
        <v>0</v>
      </c>
    </row>
    <row r="96" spans="2:12" s="56" customFormat="1" ht="129" thickBot="1" x14ac:dyDescent="0.3">
      <c r="B96" s="70">
        <v>3.1</v>
      </c>
      <c r="C96" s="71" t="s">
        <v>45</v>
      </c>
      <c r="D96" s="72" t="s">
        <v>41</v>
      </c>
      <c r="E96" s="73">
        <v>49746</v>
      </c>
      <c r="F96" s="88">
        <v>8</v>
      </c>
      <c r="G96" s="87">
        <f>+E96*F96</f>
        <v>397968</v>
      </c>
      <c r="H96" s="89"/>
      <c r="J96" s="140">
        <f t="shared" si="6"/>
        <v>47981</v>
      </c>
      <c r="K96" s="140">
        <f t="shared" si="7"/>
        <v>383848</v>
      </c>
      <c r="L96" s="56">
        <v>51575.78</v>
      </c>
    </row>
    <row r="97" spans="2:12" s="69" customFormat="1" ht="15.75" customHeight="1" thickBot="1" x14ac:dyDescent="0.3">
      <c r="B97" s="82">
        <v>4</v>
      </c>
      <c r="C97" s="183" t="s">
        <v>22</v>
      </c>
      <c r="D97" s="184"/>
      <c r="E97" s="184">
        <v>0</v>
      </c>
      <c r="F97" s="184"/>
      <c r="G97" s="184"/>
      <c r="H97" s="83">
        <f>SUM(G98:G100)</f>
        <v>4203791</v>
      </c>
      <c r="J97" s="140">
        <f t="shared" si="6"/>
        <v>0</v>
      </c>
      <c r="K97" s="140">
        <f t="shared" si="7"/>
        <v>0</v>
      </c>
    </row>
    <row r="98" spans="2:12" s="56" customFormat="1" ht="28.5" x14ac:dyDescent="0.25">
      <c r="B98" s="76">
        <v>4.2</v>
      </c>
      <c r="C98" s="77" t="s">
        <v>46</v>
      </c>
      <c r="D98" s="78" t="s">
        <v>12</v>
      </c>
      <c r="E98" s="79">
        <v>12009</v>
      </c>
      <c r="F98" s="88">
        <v>99</v>
      </c>
      <c r="G98" s="87">
        <f>+E98*F98</f>
        <v>1188891</v>
      </c>
      <c r="H98" s="89"/>
      <c r="J98" s="140">
        <f t="shared" si="6"/>
        <v>11583</v>
      </c>
      <c r="K98" s="140">
        <f t="shared" si="7"/>
        <v>1146717</v>
      </c>
      <c r="L98" s="56">
        <v>12450.71</v>
      </c>
    </row>
    <row r="99" spans="2:12" s="56" customFormat="1" ht="42.75" x14ac:dyDescent="0.25">
      <c r="B99" s="76">
        <v>4.3</v>
      </c>
      <c r="C99" s="77" t="s">
        <v>47</v>
      </c>
      <c r="D99" s="78" t="s">
        <v>12</v>
      </c>
      <c r="E99" s="79">
        <v>22628</v>
      </c>
      <c r="F99" s="80">
        <v>70</v>
      </c>
      <c r="G99" s="79">
        <f>+E99*F99</f>
        <v>1583960</v>
      </c>
      <c r="H99" s="81"/>
      <c r="J99" s="140">
        <f t="shared" si="6"/>
        <v>21825</v>
      </c>
      <c r="K99" s="140">
        <f t="shared" si="7"/>
        <v>1527750</v>
      </c>
      <c r="L99" s="56">
        <v>23460</v>
      </c>
    </row>
    <row r="100" spans="2:12" s="56" customFormat="1" ht="72" thickBot="1" x14ac:dyDescent="0.3">
      <c r="B100" s="96">
        <v>4.4000000000000004</v>
      </c>
      <c r="C100" s="97" t="s">
        <v>48</v>
      </c>
      <c r="D100" s="100" t="s">
        <v>24</v>
      </c>
      <c r="E100" s="99">
        <v>20442</v>
      </c>
      <c r="F100" s="100">
        <v>70</v>
      </c>
      <c r="G100" s="99">
        <f>+E100*F100</f>
        <v>1430940</v>
      </c>
      <c r="H100" s="101"/>
      <c r="J100" s="140">
        <f t="shared" si="6"/>
        <v>19717</v>
      </c>
      <c r="K100" s="140">
        <f t="shared" si="7"/>
        <v>1380190</v>
      </c>
      <c r="L100" s="56">
        <v>21193.97</v>
      </c>
    </row>
    <row r="101" spans="2:12" s="69" customFormat="1" ht="15.75" customHeight="1" thickBot="1" x14ac:dyDescent="0.3">
      <c r="B101" s="82">
        <v>5</v>
      </c>
      <c r="C101" s="183" t="s">
        <v>25</v>
      </c>
      <c r="D101" s="184"/>
      <c r="E101" s="184">
        <v>0</v>
      </c>
      <c r="F101" s="184"/>
      <c r="G101" s="184"/>
      <c r="H101" s="83">
        <f>SUM(G102)</f>
        <v>42193.8</v>
      </c>
      <c r="J101" s="140">
        <f t="shared" si="6"/>
        <v>0</v>
      </c>
      <c r="K101" s="140">
        <f t="shared" si="7"/>
        <v>0</v>
      </c>
    </row>
    <row r="102" spans="2:12" s="56" customFormat="1" ht="43.5" thickBot="1" x14ac:dyDescent="0.3">
      <c r="B102" s="96">
        <v>5.0999999999999996</v>
      </c>
      <c r="C102" s="97" t="s">
        <v>26</v>
      </c>
      <c r="D102" s="98" t="s">
        <v>12</v>
      </c>
      <c r="E102" s="99">
        <v>19179</v>
      </c>
      <c r="F102" s="100">
        <v>2.2000000000000002</v>
      </c>
      <c r="G102" s="99">
        <f>+E102*F102</f>
        <v>42193.8</v>
      </c>
      <c r="H102" s="101"/>
      <c r="J102" s="140">
        <f t="shared" si="6"/>
        <v>18499</v>
      </c>
      <c r="K102" s="140">
        <f t="shared" si="7"/>
        <v>40697.800000000003</v>
      </c>
      <c r="L102" s="56">
        <v>19884.98</v>
      </c>
    </row>
    <row r="103" spans="2:12" s="69" customFormat="1" ht="15.75" customHeight="1" thickBot="1" x14ac:dyDescent="0.3">
      <c r="B103" s="67">
        <v>6</v>
      </c>
      <c r="C103" s="195" t="s">
        <v>64</v>
      </c>
      <c r="D103" s="196"/>
      <c r="E103" s="196">
        <v>0</v>
      </c>
      <c r="F103" s="196"/>
      <c r="G103" s="196"/>
      <c r="H103" s="68">
        <f>SUM(G104:G104)</f>
        <v>130191</v>
      </c>
      <c r="J103" s="140">
        <f t="shared" si="6"/>
        <v>0</v>
      </c>
      <c r="K103" s="140">
        <f t="shared" si="7"/>
        <v>0</v>
      </c>
    </row>
    <row r="104" spans="2:12" s="56" customFormat="1" ht="15.75" thickBot="1" x14ac:dyDescent="0.3">
      <c r="B104" s="70">
        <v>6.4</v>
      </c>
      <c r="C104" s="125" t="s">
        <v>65</v>
      </c>
      <c r="D104" s="72" t="s">
        <v>12</v>
      </c>
      <c r="E104" s="73">
        <v>43397</v>
      </c>
      <c r="F104" s="74">
        <v>3</v>
      </c>
      <c r="G104" s="73">
        <f>+E104*F104</f>
        <v>130191</v>
      </c>
      <c r="H104" s="75"/>
      <c r="J104" s="140">
        <f t="shared" si="6"/>
        <v>41857</v>
      </c>
      <c r="K104" s="140">
        <f t="shared" si="7"/>
        <v>125571</v>
      </c>
      <c r="L104" s="56">
        <v>44993.59</v>
      </c>
    </row>
    <row r="105" spans="2:12" s="69" customFormat="1" ht="15.75" customHeight="1" thickBot="1" x14ac:dyDescent="0.3">
      <c r="B105" s="82">
        <v>10</v>
      </c>
      <c r="C105" s="183" t="s">
        <v>52</v>
      </c>
      <c r="D105" s="184"/>
      <c r="E105" s="184">
        <v>0</v>
      </c>
      <c r="F105" s="184"/>
      <c r="G105" s="184"/>
      <c r="H105" s="83">
        <f>SUM(G106)</f>
        <v>1958724</v>
      </c>
      <c r="J105" s="140">
        <f t="shared" si="6"/>
        <v>0</v>
      </c>
      <c r="K105" s="140">
        <f t="shared" si="7"/>
        <v>0</v>
      </c>
    </row>
    <row r="106" spans="2:12" s="56" customFormat="1" ht="29.25" customHeight="1" thickBot="1" x14ac:dyDescent="0.3">
      <c r="B106" s="96">
        <v>10.3</v>
      </c>
      <c r="C106" s="77" t="s">
        <v>62</v>
      </c>
      <c r="D106" s="78" t="s">
        <v>12</v>
      </c>
      <c r="E106" s="79">
        <v>544090</v>
      </c>
      <c r="F106" s="100">
        <v>3.6</v>
      </c>
      <c r="G106" s="99">
        <f>+E106*F106</f>
        <v>1958724</v>
      </c>
      <c r="H106" s="101"/>
      <c r="J106" s="140">
        <f t="shared" si="6"/>
        <v>524786</v>
      </c>
      <c r="K106" s="140">
        <f t="shared" si="7"/>
        <v>1889229.6</v>
      </c>
      <c r="L106" s="56">
        <v>564104</v>
      </c>
    </row>
    <row r="107" spans="2:12" ht="15.75" customHeight="1" thickBot="1" x14ac:dyDescent="0.3">
      <c r="B107" s="161" t="s">
        <v>27</v>
      </c>
      <c r="C107" s="162"/>
      <c r="D107" s="162"/>
      <c r="E107" s="162"/>
      <c r="F107" s="162"/>
      <c r="G107" s="185"/>
      <c r="H107" s="102">
        <f>SUM(H44:H106)</f>
        <v>29014084.168000001</v>
      </c>
      <c r="J107" s="140">
        <f t="shared" si="6"/>
        <v>0</v>
      </c>
      <c r="K107" s="140">
        <f t="shared" si="7"/>
        <v>0</v>
      </c>
    </row>
    <row r="108" spans="2:12" ht="15" customHeight="1" x14ac:dyDescent="0.25">
      <c r="B108" s="186" t="s">
        <v>28</v>
      </c>
      <c r="C108" s="187"/>
      <c r="D108" s="188" t="s">
        <v>29</v>
      </c>
      <c r="E108" s="189"/>
      <c r="F108" s="190">
        <v>0.27200000000000002</v>
      </c>
      <c r="G108" s="191"/>
      <c r="H108" s="103">
        <f>+H107*F108</f>
        <v>7891830.8936960008</v>
      </c>
      <c r="J108" s="140">
        <f t="shared" si="6"/>
        <v>0</v>
      </c>
      <c r="K108" s="140">
        <f t="shared" si="7"/>
        <v>0</v>
      </c>
    </row>
    <row r="109" spans="2:12" ht="15" customHeight="1" x14ac:dyDescent="0.25">
      <c r="B109" s="171" t="s">
        <v>30</v>
      </c>
      <c r="C109" s="172"/>
      <c r="D109" s="173" t="s">
        <v>31</v>
      </c>
      <c r="E109" s="174"/>
      <c r="F109" s="175">
        <v>0.01</v>
      </c>
      <c r="G109" s="176"/>
      <c r="H109" s="104">
        <f>+H107*F109</f>
        <v>290140.84168000001</v>
      </c>
      <c r="J109" s="140">
        <f t="shared" si="6"/>
        <v>0</v>
      </c>
      <c r="K109" s="140">
        <f t="shared" si="7"/>
        <v>0</v>
      </c>
    </row>
    <row r="110" spans="2:12" ht="15" customHeight="1" x14ac:dyDescent="0.25">
      <c r="B110" s="171" t="s">
        <v>32</v>
      </c>
      <c r="C110" s="172"/>
      <c r="D110" s="173" t="s">
        <v>33</v>
      </c>
      <c r="E110" s="174"/>
      <c r="F110" s="175">
        <v>0.04</v>
      </c>
      <c r="G110" s="176"/>
      <c r="H110" s="104">
        <f>+H107*F110</f>
        <v>1160563.36672</v>
      </c>
      <c r="J110" s="140">
        <f t="shared" si="6"/>
        <v>0</v>
      </c>
      <c r="K110" s="140">
        <f t="shared" si="7"/>
        <v>0</v>
      </c>
    </row>
    <row r="111" spans="2:12" ht="15.75" customHeight="1" thickBot="1" x14ac:dyDescent="0.3">
      <c r="B111" s="177" t="s">
        <v>34</v>
      </c>
      <c r="C111" s="178"/>
      <c r="D111" s="179" t="s">
        <v>35</v>
      </c>
      <c r="E111" s="180"/>
      <c r="F111" s="181">
        <v>0.19</v>
      </c>
      <c r="G111" s="182"/>
      <c r="H111" s="105">
        <f>+H110*F111</f>
        <v>220507.03967680002</v>
      </c>
      <c r="J111" s="140">
        <f t="shared" si="6"/>
        <v>0</v>
      </c>
      <c r="K111" s="140">
        <f t="shared" si="7"/>
        <v>0</v>
      </c>
    </row>
    <row r="112" spans="2:12" ht="15.75" customHeight="1" thickBot="1" x14ac:dyDescent="0.3">
      <c r="B112" s="161" t="s">
        <v>36</v>
      </c>
      <c r="C112" s="162"/>
      <c r="D112" s="162"/>
      <c r="E112" s="162"/>
      <c r="F112" s="162"/>
      <c r="G112" s="162"/>
      <c r="H112" s="106">
        <f>ROUND(SUM(H108:H111),0)</f>
        <v>9563042</v>
      </c>
      <c r="J112" s="140">
        <f t="shared" si="6"/>
        <v>0</v>
      </c>
      <c r="K112" s="140">
        <f t="shared" si="7"/>
        <v>0</v>
      </c>
    </row>
    <row r="113" spans="2:12" ht="15.75" customHeight="1" thickBot="1" x14ac:dyDescent="0.3">
      <c r="B113" s="161" t="s">
        <v>37</v>
      </c>
      <c r="C113" s="162"/>
      <c r="D113" s="162"/>
      <c r="E113" s="162"/>
      <c r="F113" s="162"/>
      <c r="G113" s="162"/>
      <c r="H113" s="106">
        <f>ROUND(+H107+H112,0)</f>
        <v>38577126</v>
      </c>
      <c r="J113" s="140">
        <f t="shared" si="6"/>
        <v>0</v>
      </c>
      <c r="K113" s="140">
        <f t="shared" si="7"/>
        <v>0</v>
      </c>
    </row>
    <row r="114" spans="2:12" ht="15.75" thickBot="1" x14ac:dyDescent="0.3">
      <c r="J114" s="140">
        <f t="shared" si="6"/>
        <v>0</v>
      </c>
      <c r="K114" s="140">
        <f t="shared" si="7"/>
        <v>0</v>
      </c>
    </row>
    <row r="115" spans="2:12" ht="38.25" customHeight="1" thickBot="1" x14ac:dyDescent="0.3">
      <c r="B115" s="192" t="s">
        <v>66</v>
      </c>
      <c r="C115" s="193"/>
      <c r="D115" s="193"/>
      <c r="E115" s="193"/>
      <c r="F115" s="193"/>
      <c r="G115" s="193"/>
      <c r="H115" s="194"/>
      <c r="J115" s="140">
        <f t="shared" si="6"/>
        <v>0</v>
      </c>
      <c r="K115" s="140">
        <f t="shared" si="7"/>
        <v>0</v>
      </c>
    </row>
    <row r="116" spans="2:12" ht="15.75" thickBot="1" x14ac:dyDescent="0.3">
      <c r="B116" s="61" t="s">
        <v>3</v>
      </c>
      <c r="C116" s="62" t="s">
        <v>4</v>
      </c>
      <c r="D116" s="63" t="s">
        <v>5</v>
      </c>
      <c r="E116" s="64" t="s">
        <v>6</v>
      </c>
      <c r="F116" s="65" t="s">
        <v>7</v>
      </c>
      <c r="G116" s="64" t="s">
        <v>8</v>
      </c>
      <c r="H116" s="66" t="s">
        <v>9</v>
      </c>
      <c r="J116" s="140"/>
      <c r="K116" s="140"/>
    </row>
    <row r="117" spans="2:12" s="69" customFormat="1" ht="15.75" customHeight="1" thickBot="1" x14ac:dyDescent="0.3">
      <c r="B117" s="82">
        <v>3</v>
      </c>
      <c r="C117" s="183" t="s">
        <v>20</v>
      </c>
      <c r="D117" s="184"/>
      <c r="E117" s="184"/>
      <c r="F117" s="184"/>
      <c r="G117" s="184"/>
      <c r="H117" s="83">
        <f>SUM(G118:G120)</f>
        <v>29016436</v>
      </c>
      <c r="J117" s="140"/>
      <c r="K117" s="140"/>
    </row>
    <row r="118" spans="2:12" s="56" customFormat="1" ht="167.45" customHeight="1" x14ac:dyDescent="0.25">
      <c r="B118" s="115">
        <v>3.1</v>
      </c>
      <c r="C118" s="116" t="s">
        <v>45</v>
      </c>
      <c r="D118" s="117" t="s">
        <v>41</v>
      </c>
      <c r="E118" s="87">
        <v>49746</v>
      </c>
      <c r="F118" s="88">
        <v>384</v>
      </c>
      <c r="G118" s="87">
        <f>+E118*F118</f>
        <v>19102464</v>
      </c>
      <c r="H118" s="89"/>
      <c r="J118" s="140">
        <f t="shared" si="6"/>
        <v>47981</v>
      </c>
      <c r="K118" s="140">
        <f t="shared" si="7"/>
        <v>18424704</v>
      </c>
      <c r="L118" s="56">
        <v>51575.78</v>
      </c>
    </row>
    <row r="119" spans="2:12" s="56" customFormat="1" ht="130.9" customHeight="1" x14ac:dyDescent="0.25">
      <c r="B119" s="115">
        <v>3.2</v>
      </c>
      <c r="C119" s="116" t="s">
        <v>67</v>
      </c>
      <c r="D119" s="117" t="s">
        <v>41</v>
      </c>
      <c r="E119" s="87">
        <v>66856</v>
      </c>
      <c r="F119" s="88">
        <v>38</v>
      </c>
      <c r="G119" s="87">
        <f>+E119*F119</f>
        <v>2540528</v>
      </c>
      <c r="H119" s="89"/>
      <c r="J119" s="140">
        <f t="shared" si="6"/>
        <v>64484</v>
      </c>
      <c r="K119" s="140">
        <f t="shared" si="7"/>
        <v>2450392</v>
      </c>
      <c r="L119" s="56">
        <v>69315.66</v>
      </c>
    </row>
    <row r="120" spans="2:12" s="56" customFormat="1" ht="129" customHeight="1" thickBot="1" x14ac:dyDescent="0.3">
      <c r="B120" s="129">
        <v>3.3</v>
      </c>
      <c r="C120" s="130" t="s">
        <v>21</v>
      </c>
      <c r="D120" s="131" t="s">
        <v>12</v>
      </c>
      <c r="E120" s="132">
        <v>141797</v>
      </c>
      <c r="F120" s="133">
        <v>52</v>
      </c>
      <c r="G120" s="132">
        <f>+E120*F120</f>
        <v>7373444</v>
      </c>
      <c r="H120" s="134"/>
      <c r="J120" s="140">
        <f t="shared" si="6"/>
        <v>136766</v>
      </c>
      <c r="K120" s="140">
        <f t="shared" si="7"/>
        <v>7111832</v>
      </c>
      <c r="L120" s="56">
        <v>147012.93</v>
      </c>
    </row>
    <row r="121" spans="2:12" ht="15.75" customHeight="1" thickBot="1" x14ac:dyDescent="0.3">
      <c r="B121" s="161" t="s">
        <v>27</v>
      </c>
      <c r="C121" s="162"/>
      <c r="D121" s="162"/>
      <c r="E121" s="162"/>
      <c r="F121" s="162"/>
      <c r="G121" s="185"/>
      <c r="H121" s="102">
        <f>SUM(H117:H120)</f>
        <v>29016436</v>
      </c>
      <c r="K121" s="151">
        <f>SUM(K19:K120)</f>
        <v>76960895.868000001</v>
      </c>
    </row>
    <row r="122" spans="2:12" ht="15" customHeight="1" x14ac:dyDescent="0.25">
      <c r="B122" s="186" t="s">
        <v>28</v>
      </c>
      <c r="C122" s="187"/>
      <c r="D122" s="188" t="s">
        <v>29</v>
      </c>
      <c r="E122" s="189"/>
      <c r="F122" s="190">
        <v>0.27200000000000002</v>
      </c>
      <c r="G122" s="191"/>
      <c r="H122" s="103">
        <f>+H121*F122</f>
        <v>7892470.5920000002</v>
      </c>
      <c r="K122" s="151">
        <f>$K$121*F122</f>
        <v>20933363.676096004</v>
      </c>
    </row>
    <row r="123" spans="2:12" ht="15" customHeight="1" x14ac:dyDescent="0.25">
      <c r="B123" s="171" t="s">
        <v>30</v>
      </c>
      <c r="C123" s="172"/>
      <c r="D123" s="173" t="s">
        <v>31</v>
      </c>
      <c r="E123" s="174"/>
      <c r="F123" s="175">
        <v>0.01</v>
      </c>
      <c r="G123" s="176"/>
      <c r="H123" s="104">
        <f>+H121*F123</f>
        <v>290164.36</v>
      </c>
      <c r="K123" s="151">
        <f t="shared" ref="K123:K124" si="8">$K$121*F123</f>
        <v>769608.95868000004</v>
      </c>
    </row>
    <row r="124" spans="2:12" ht="15" customHeight="1" x14ac:dyDescent="0.25">
      <c r="B124" s="171" t="s">
        <v>32</v>
      </c>
      <c r="C124" s="172"/>
      <c r="D124" s="173" t="s">
        <v>33</v>
      </c>
      <c r="E124" s="174"/>
      <c r="F124" s="175">
        <v>0.04</v>
      </c>
      <c r="G124" s="176"/>
      <c r="H124" s="104">
        <f>+H121*F124</f>
        <v>1160657.44</v>
      </c>
      <c r="K124" s="151">
        <f t="shared" si="8"/>
        <v>3078435.8347200002</v>
      </c>
    </row>
    <row r="125" spans="2:12" ht="15.75" customHeight="1" thickBot="1" x14ac:dyDescent="0.3">
      <c r="B125" s="177" t="s">
        <v>34</v>
      </c>
      <c r="C125" s="178"/>
      <c r="D125" s="179" t="s">
        <v>35</v>
      </c>
      <c r="E125" s="180"/>
      <c r="F125" s="181">
        <v>0.19</v>
      </c>
      <c r="G125" s="182"/>
      <c r="H125" s="105">
        <f>+H124*F125</f>
        <v>220524.9136</v>
      </c>
      <c r="K125" s="151">
        <f>K124*F125</f>
        <v>584902.80859680008</v>
      </c>
    </row>
    <row r="126" spans="2:12" ht="15.75" customHeight="1" thickBot="1" x14ac:dyDescent="0.3">
      <c r="B126" s="161" t="s">
        <v>36</v>
      </c>
      <c r="C126" s="162"/>
      <c r="D126" s="162"/>
      <c r="E126" s="162"/>
      <c r="F126" s="162"/>
      <c r="G126" s="162"/>
      <c r="H126" s="106">
        <f>ROUND(SUM(H122:H125),0)</f>
        <v>9563817</v>
      </c>
      <c r="K126" s="106">
        <f>SUM(K122:K125)</f>
        <v>25366311.278092805</v>
      </c>
    </row>
    <row r="127" spans="2:12" ht="15.75" customHeight="1" thickBot="1" x14ac:dyDescent="0.3">
      <c r="B127" s="161" t="s">
        <v>37</v>
      </c>
      <c r="C127" s="162"/>
      <c r="D127" s="162"/>
      <c r="E127" s="162"/>
      <c r="F127" s="162"/>
      <c r="G127" s="162"/>
      <c r="H127" s="106">
        <f>ROUND(+H121+H126,0)</f>
        <v>38580253</v>
      </c>
      <c r="K127" s="151">
        <f>K126+K121</f>
        <v>102327207.1460928</v>
      </c>
    </row>
    <row r="129" spans="3:11" ht="15.75" thickBot="1" x14ac:dyDescent="0.3"/>
    <row r="130" spans="3:11" ht="85.9" customHeight="1" thickBot="1" x14ac:dyDescent="0.3">
      <c r="C130" s="163" t="s">
        <v>68</v>
      </c>
      <c r="D130" s="164"/>
      <c r="E130" s="135" t="s">
        <v>89</v>
      </c>
      <c r="F130" s="136" t="s">
        <v>69</v>
      </c>
      <c r="G130" s="137"/>
      <c r="H130"/>
      <c r="K130">
        <f>K127/E137</f>
        <v>0.93024733769175272</v>
      </c>
    </row>
    <row r="131" spans="3:11" ht="35.25" customHeight="1" x14ac:dyDescent="0.25">
      <c r="C131" s="165" t="s">
        <v>70</v>
      </c>
      <c r="D131" s="166"/>
      <c r="E131" s="138">
        <v>30000000</v>
      </c>
      <c r="F131" s="139">
        <f>+H37</f>
        <v>28933589</v>
      </c>
      <c r="G131" s="140"/>
      <c r="H131"/>
    </row>
    <row r="132" spans="3:11" ht="51.75" customHeight="1" x14ac:dyDescent="0.25">
      <c r="C132" s="167" t="s">
        <v>71</v>
      </c>
      <c r="D132" s="168"/>
      <c r="E132" s="141">
        <v>40000000</v>
      </c>
      <c r="F132" s="142">
        <f>+H113</f>
        <v>38577126</v>
      </c>
      <c r="G132" s="140"/>
      <c r="H132"/>
    </row>
    <row r="133" spans="3:11" ht="51.75" customHeight="1" thickBot="1" x14ac:dyDescent="0.3">
      <c r="C133" s="169" t="s">
        <v>72</v>
      </c>
      <c r="D133" s="170"/>
      <c r="E133" s="143">
        <v>40000000</v>
      </c>
      <c r="F133" s="144">
        <f>+H127</f>
        <v>38580253</v>
      </c>
      <c r="G133" s="140"/>
      <c r="H133"/>
    </row>
    <row r="134" spans="3:11" x14ac:dyDescent="0.25">
      <c r="C134" s="244"/>
      <c r="D134" s="244"/>
      <c r="E134" s="242"/>
      <c r="F134" s="243"/>
      <c r="G134" s="140"/>
      <c r="H134"/>
    </row>
    <row r="135" spans="3:11" ht="15.75" thickBot="1" x14ac:dyDescent="0.3">
      <c r="C135"/>
      <c r="D135"/>
      <c r="E135"/>
      <c r="F135" s="146"/>
      <c r="G135"/>
      <c r="H135"/>
    </row>
    <row r="136" spans="3:11" ht="60.75" thickBot="1" x14ac:dyDescent="0.3">
      <c r="C136" s="155" t="s">
        <v>73</v>
      </c>
      <c r="D136" s="156"/>
      <c r="E136" s="147" t="s">
        <v>90</v>
      </c>
      <c r="F136" s="148" t="s">
        <v>74</v>
      </c>
      <c r="G136"/>
      <c r="H136"/>
      <c r="K136">
        <f>F137/E137</f>
        <v>0.96446334545454548</v>
      </c>
    </row>
    <row r="137" spans="3:11" ht="15.75" customHeight="1" thickBot="1" x14ac:dyDescent="0.3">
      <c r="C137" s="157"/>
      <c r="D137" s="158"/>
      <c r="E137" s="149">
        <v>110000000</v>
      </c>
      <c r="F137" s="150">
        <f>+F131+F132+F133</f>
        <v>106090968</v>
      </c>
      <c r="G137"/>
      <c r="H137"/>
    </row>
    <row r="138" spans="3:11" ht="44.45" customHeight="1" x14ac:dyDescent="0.25">
      <c r="C138"/>
      <c r="D138"/>
      <c r="E138"/>
      <c r="F138" s="146"/>
      <c r="G138"/>
      <c r="H138"/>
    </row>
    <row r="139" spans="3:11" x14ac:dyDescent="0.25">
      <c r="C139" s="159"/>
      <c r="D139" s="159"/>
      <c r="E139" s="159"/>
      <c r="F139" s="159"/>
      <c r="G139" s="159"/>
      <c r="H139" s="159"/>
      <c r="I139" s="159"/>
    </row>
    <row r="140" spans="3:11" ht="39" customHeight="1" x14ac:dyDescent="0.25">
      <c r="C140" s="160" t="s">
        <v>91</v>
      </c>
      <c r="D140" s="160"/>
      <c r="E140" s="160"/>
      <c r="F140" s="160"/>
      <c r="G140" s="160"/>
      <c r="H140" s="160"/>
      <c r="I140" s="160"/>
    </row>
    <row r="141" spans="3:11" x14ac:dyDescent="0.25">
      <c r="C141"/>
      <c r="D141"/>
      <c r="E141"/>
      <c r="F141"/>
      <c r="G141"/>
      <c r="H141"/>
    </row>
    <row r="142" spans="3:11" ht="15" customHeight="1" x14ac:dyDescent="0.25">
      <c r="C142" s="154" t="s">
        <v>92</v>
      </c>
      <c r="D142" s="154"/>
      <c r="E142" s="154"/>
      <c r="F142" s="154"/>
      <c r="G142" s="154"/>
      <c r="H142" s="154"/>
    </row>
    <row r="143" spans="3:11" x14ac:dyDescent="0.25">
      <c r="C143" s="153"/>
      <c r="D143" s="153"/>
      <c r="E143" s="153"/>
      <c r="F143" s="153"/>
      <c r="G143" s="153"/>
      <c r="H143" s="153"/>
    </row>
    <row r="144" spans="3:11" x14ac:dyDescent="0.25">
      <c r="C144" s="153"/>
      <c r="D144" s="153"/>
      <c r="E144" s="153"/>
      <c r="F144" s="153"/>
      <c r="G144" s="153"/>
      <c r="H144" s="153"/>
    </row>
    <row r="145" spans="2:8" x14ac:dyDescent="0.25">
      <c r="C145" s="153"/>
      <c r="D145" s="153"/>
      <c r="E145" s="153"/>
      <c r="F145" s="153"/>
      <c r="G145" s="153"/>
      <c r="H145" s="153"/>
    </row>
    <row r="146" spans="2:8" ht="39.75" customHeight="1" x14ac:dyDescent="0.25">
      <c r="C146" s="153"/>
      <c r="D146" s="153"/>
      <c r="E146" s="153"/>
      <c r="F146" s="153"/>
      <c r="G146" s="153"/>
      <c r="H146" s="153"/>
    </row>
    <row r="150" spans="2:8" ht="82.15" customHeight="1" x14ac:dyDescent="0.25">
      <c r="B150" s="154" t="s">
        <v>96</v>
      </c>
      <c r="C150" s="154"/>
      <c r="D150" s="154"/>
      <c r="E150" s="154"/>
      <c r="F150" s="154"/>
      <c r="G150" s="154"/>
      <c r="H150" s="154"/>
    </row>
  </sheetData>
  <pageMargins left="0.70866141732283472" right="0.70866141732283472" top="0.74803149606299213" bottom="0.74803149606299213" header="0.31496062992125984" footer="0.31496062992125984"/>
  <pageSetup paperSize="9" scale="43" fitToHeight="4" orientation="portrait" r:id="rId1"/>
  <rowBreaks count="2" manualBreakCount="2">
    <brk id="59" min="1" max="7" man="1"/>
    <brk id="129" min="1"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C9F99-11AA-454F-9007-F4D60E7898F4}">
  <dimension ref="B1:J147"/>
  <sheetViews>
    <sheetView topLeftCell="A18" zoomScale="70" zoomScaleNormal="70" workbookViewId="0"/>
  </sheetViews>
  <sheetFormatPr baseColWidth="10" defaultColWidth="11.42578125" defaultRowHeight="15" x14ac:dyDescent="0.25"/>
  <cols>
    <col min="2" max="2" width="12" style="56" bestFit="1" customWidth="1"/>
    <col min="3" max="3" width="51.85546875" style="57" bestFit="1" customWidth="1"/>
    <col min="4" max="4" width="6.7109375" style="56" bestFit="1" customWidth="1"/>
    <col min="5" max="5" width="33.42578125" style="56" customWidth="1"/>
    <col min="6" max="6" width="16" style="56" bestFit="1" customWidth="1"/>
    <col min="7" max="7" width="23.42578125" style="57" bestFit="1" customWidth="1"/>
    <col min="8" max="8" width="40.5703125" style="57" bestFit="1" customWidth="1"/>
    <col min="10" max="10" width="22" style="246" customWidth="1"/>
  </cols>
  <sheetData>
    <row r="1" spans="2:8" ht="15.75" thickBot="1" x14ac:dyDescent="0.3"/>
    <row r="2" spans="2:8" x14ac:dyDescent="0.25">
      <c r="B2" s="218" t="s">
        <v>77</v>
      </c>
      <c r="C2" s="219"/>
      <c r="D2" s="219"/>
      <c r="E2" s="219"/>
      <c r="F2" s="219"/>
      <c r="G2" s="219"/>
      <c r="H2" s="220"/>
    </row>
    <row r="3" spans="2:8" x14ac:dyDescent="0.25">
      <c r="B3" s="221" t="s">
        <v>78</v>
      </c>
      <c r="C3" s="222"/>
      <c r="D3" s="222"/>
      <c r="E3" s="222"/>
      <c r="F3" s="222"/>
      <c r="G3" s="222"/>
      <c r="H3" s="223"/>
    </row>
    <row r="4" spans="2:8" ht="42.75" customHeight="1" thickBot="1" x14ac:dyDescent="0.3">
      <c r="B4" s="221" t="s">
        <v>79</v>
      </c>
      <c r="C4" s="222"/>
      <c r="D4" s="222"/>
      <c r="E4" s="222"/>
      <c r="F4" s="222"/>
      <c r="G4" s="222"/>
      <c r="H4" s="223"/>
    </row>
    <row r="5" spans="2:8" ht="15" customHeight="1" x14ac:dyDescent="0.25">
      <c r="B5" s="224" t="s">
        <v>0</v>
      </c>
      <c r="C5" s="226" t="s">
        <v>1</v>
      </c>
      <c r="D5" s="226"/>
      <c r="E5" s="226"/>
      <c r="F5" s="226"/>
      <c r="G5" s="226"/>
      <c r="H5" s="227"/>
    </row>
    <row r="6" spans="2:8" ht="84.75" customHeight="1" thickBot="1" x14ac:dyDescent="0.3">
      <c r="B6" s="225"/>
      <c r="C6" s="228"/>
      <c r="D6" s="228"/>
      <c r="E6" s="228"/>
      <c r="F6" s="228"/>
      <c r="G6" s="228"/>
      <c r="H6" s="229"/>
    </row>
    <row r="7" spans="2:8" x14ac:dyDescent="0.25">
      <c r="B7" s="58" t="s">
        <v>80</v>
      </c>
      <c r="C7" s="230"/>
      <c r="D7" s="230"/>
      <c r="E7" s="230"/>
      <c r="F7" s="230"/>
      <c r="G7" s="59"/>
      <c r="H7" s="60"/>
    </row>
    <row r="8" spans="2:8" x14ac:dyDescent="0.25">
      <c r="B8" s="206" t="s">
        <v>81</v>
      </c>
      <c r="C8" s="207"/>
      <c r="D8" s="207"/>
      <c r="E8" s="207"/>
      <c r="F8" s="207"/>
      <c r="G8" s="207"/>
      <c r="H8" s="208"/>
    </row>
    <row r="9" spans="2:8" x14ac:dyDescent="0.25">
      <c r="B9" s="206" t="s">
        <v>82</v>
      </c>
      <c r="C9" s="207"/>
      <c r="D9" s="207"/>
      <c r="E9" s="207"/>
      <c r="F9" s="207"/>
      <c r="G9" s="207"/>
      <c r="H9" s="208"/>
    </row>
    <row r="10" spans="2:8" x14ac:dyDescent="0.25">
      <c r="B10" s="206" t="s">
        <v>83</v>
      </c>
      <c r="C10" s="207"/>
      <c r="D10" s="207"/>
      <c r="E10" s="207"/>
      <c r="F10" s="207"/>
      <c r="G10" s="207"/>
      <c r="H10" s="208"/>
    </row>
    <row r="11" spans="2:8" ht="34.5" customHeight="1" thickBot="1" x14ac:dyDescent="0.3">
      <c r="B11" s="209" t="s">
        <v>84</v>
      </c>
      <c r="C11" s="210"/>
      <c r="D11" s="210"/>
      <c r="E11" s="210"/>
      <c r="F11" s="210"/>
      <c r="G11" s="210"/>
      <c r="H11" s="211"/>
    </row>
    <row r="12" spans="2:8" ht="19.5" customHeight="1" thickBot="1" x14ac:dyDescent="0.3">
      <c r="B12" s="212" t="s">
        <v>85</v>
      </c>
      <c r="C12" s="213"/>
      <c r="D12" s="213"/>
      <c r="E12" s="213"/>
      <c r="F12" s="213"/>
      <c r="G12" s="213"/>
      <c r="H12" s="214"/>
    </row>
    <row r="13" spans="2:8" ht="72.75" customHeight="1" thickBot="1" x14ac:dyDescent="0.3">
      <c r="B13" s="215" t="s">
        <v>86</v>
      </c>
      <c r="C13" s="216"/>
      <c r="D13" s="216"/>
      <c r="E13" s="216"/>
      <c r="F13" s="216"/>
      <c r="G13" s="216"/>
      <c r="H13" s="217"/>
    </row>
    <row r="14" spans="2:8" ht="15.75" thickBot="1" x14ac:dyDescent="0.3">
      <c r="D14" s="57"/>
      <c r="F14" s="57"/>
    </row>
    <row r="15" spans="2:8" ht="18.75" customHeight="1" thickBot="1" x14ac:dyDescent="0.3">
      <c r="B15" s="192" t="s">
        <v>87</v>
      </c>
      <c r="C15" s="193"/>
      <c r="D15" s="193"/>
      <c r="E15" s="193"/>
      <c r="F15" s="193"/>
      <c r="G15" s="193"/>
      <c r="H15" s="194"/>
    </row>
    <row r="16" spans="2:8" ht="18.75" customHeight="1" thickBot="1" x14ac:dyDescent="0.3">
      <c r="B16" s="192" t="s">
        <v>2</v>
      </c>
      <c r="C16" s="193"/>
      <c r="D16" s="193"/>
      <c r="E16" s="193"/>
      <c r="F16" s="193"/>
      <c r="G16" s="193"/>
      <c r="H16" s="194"/>
    </row>
    <row r="17" spans="2:10" ht="15.75" thickBot="1" x14ac:dyDescent="0.3">
      <c r="B17" s="61" t="s">
        <v>3</v>
      </c>
      <c r="C17" s="62" t="s">
        <v>4</v>
      </c>
      <c r="D17" s="63" t="s">
        <v>5</v>
      </c>
      <c r="E17" s="64" t="s">
        <v>6</v>
      </c>
      <c r="F17" s="65" t="s">
        <v>7</v>
      </c>
      <c r="G17" s="64" t="s">
        <v>8</v>
      </c>
      <c r="H17" s="66" t="s">
        <v>9</v>
      </c>
    </row>
    <row r="18" spans="2:10" s="69" customFormat="1" ht="15.75" customHeight="1" thickBot="1" x14ac:dyDescent="0.3">
      <c r="B18" s="67">
        <v>1</v>
      </c>
      <c r="C18" s="195" t="s">
        <v>10</v>
      </c>
      <c r="D18" s="196"/>
      <c r="E18" s="196"/>
      <c r="F18" s="196"/>
      <c r="G18" s="196"/>
      <c r="H18" s="68">
        <f>SUM(G19:G24)</f>
        <v>2101606.3149450002</v>
      </c>
      <c r="J18" s="247"/>
    </row>
    <row r="19" spans="2:10" s="56" customFormat="1" ht="48" customHeight="1" thickBot="1" x14ac:dyDescent="0.3">
      <c r="B19" s="70">
        <v>1.1000000000000001</v>
      </c>
      <c r="C19" s="71" t="s">
        <v>11</v>
      </c>
      <c r="D19" s="72" t="s">
        <v>12</v>
      </c>
      <c r="E19" s="73">
        <f>J19-(2.722%*J19)</f>
        <v>15732.77094</v>
      </c>
      <c r="F19" s="74">
        <v>84</v>
      </c>
      <c r="G19" s="73">
        <f>+E19*F19</f>
        <v>1321552.75896</v>
      </c>
      <c r="H19" s="75"/>
      <c r="J19" s="248">
        <v>16173</v>
      </c>
    </row>
    <row r="20" spans="2:10" s="56" customFormat="1" ht="39.6" customHeight="1" thickBot="1" x14ac:dyDescent="0.3">
      <c r="B20" s="76">
        <v>1.2</v>
      </c>
      <c r="C20" s="77" t="s">
        <v>13</v>
      </c>
      <c r="D20" s="78" t="s">
        <v>14</v>
      </c>
      <c r="E20" s="73">
        <f t="shared" ref="E20:E30" si="0">J20-(2.722%*J20)</f>
        <v>13226.889660000001</v>
      </c>
      <c r="F20" s="80">
        <v>14</v>
      </c>
      <c r="G20" s="79">
        <f t="shared" ref="G20:G24" si="1">+E20*F20</f>
        <v>185176.45524000001</v>
      </c>
      <c r="H20" s="81"/>
      <c r="J20" s="248">
        <v>13597</v>
      </c>
    </row>
    <row r="21" spans="2:10" s="56" customFormat="1" ht="44.45" customHeight="1" thickBot="1" x14ac:dyDescent="0.3">
      <c r="B21" s="76">
        <v>1.4</v>
      </c>
      <c r="C21" s="77" t="s">
        <v>15</v>
      </c>
      <c r="D21" s="78" t="s">
        <v>14</v>
      </c>
      <c r="E21" s="73">
        <f t="shared" si="0"/>
        <v>17932.22652</v>
      </c>
      <c r="F21" s="80">
        <v>14</v>
      </c>
      <c r="G21" s="79">
        <f t="shared" si="1"/>
        <v>251051.17128000001</v>
      </c>
      <c r="H21" s="81"/>
      <c r="J21" s="248">
        <v>18434</v>
      </c>
    </row>
    <row r="22" spans="2:10" s="56" customFormat="1" ht="48" customHeight="1" thickBot="1" x14ac:dyDescent="0.3">
      <c r="B22" s="76">
        <v>1.5</v>
      </c>
      <c r="C22" s="77" t="s">
        <v>16</v>
      </c>
      <c r="D22" s="78" t="s">
        <v>12</v>
      </c>
      <c r="E22" s="73">
        <f t="shared" si="0"/>
        <v>11641.258260000001</v>
      </c>
      <c r="F22" s="80">
        <v>26.25</v>
      </c>
      <c r="G22" s="79">
        <f t="shared" si="1"/>
        <v>305583.02932500001</v>
      </c>
      <c r="H22" s="81"/>
      <c r="J22" s="248">
        <v>11967</v>
      </c>
    </row>
    <row r="23" spans="2:10" s="56" customFormat="1" ht="30" customHeight="1" thickBot="1" x14ac:dyDescent="0.3">
      <c r="B23" s="76">
        <v>1.6</v>
      </c>
      <c r="C23" s="77" t="s">
        <v>17</v>
      </c>
      <c r="D23" s="78" t="s">
        <v>18</v>
      </c>
      <c r="E23" s="73">
        <f t="shared" si="0"/>
        <v>4242.2935799999996</v>
      </c>
      <c r="F23" s="80">
        <v>7</v>
      </c>
      <c r="G23" s="79">
        <f t="shared" si="1"/>
        <v>29696.055059999999</v>
      </c>
      <c r="H23" s="81"/>
      <c r="J23" s="248">
        <v>4361</v>
      </c>
    </row>
    <row r="24" spans="2:10" s="56" customFormat="1" ht="23.45" customHeight="1" thickBot="1" x14ac:dyDescent="0.3">
      <c r="B24" s="76">
        <v>1.7</v>
      </c>
      <c r="C24" s="77" t="s">
        <v>19</v>
      </c>
      <c r="D24" s="78" t="s">
        <v>12</v>
      </c>
      <c r="E24" s="73">
        <f t="shared" si="0"/>
        <v>8546.8450799999991</v>
      </c>
      <c r="F24" s="80">
        <v>1</v>
      </c>
      <c r="G24" s="79">
        <f t="shared" si="1"/>
        <v>8546.8450799999991</v>
      </c>
      <c r="H24" s="81"/>
      <c r="J24" s="248">
        <v>8786</v>
      </c>
    </row>
    <row r="25" spans="2:10" s="69" customFormat="1" ht="15.75" customHeight="1" thickBot="1" x14ac:dyDescent="0.3">
      <c r="B25" s="82">
        <v>3</v>
      </c>
      <c r="C25" s="183" t="s">
        <v>20</v>
      </c>
      <c r="D25" s="184"/>
      <c r="E25" s="73">
        <f t="shared" si="0"/>
        <v>0</v>
      </c>
      <c r="F25" s="184"/>
      <c r="G25" s="184"/>
      <c r="H25" s="83">
        <f>SUM(G26)</f>
        <v>11355020.468784001</v>
      </c>
      <c r="J25" s="247"/>
    </row>
    <row r="26" spans="2:10" s="56" customFormat="1" ht="129" customHeight="1" thickBot="1" x14ac:dyDescent="0.3">
      <c r="B26" s="84">
        <v>3.3</v>
      </c>
      <c r="C26" s="85" t="s">
        <v>21</v>
      </c>
      <c r="D26" s="86" t="s">
        <v>12</v>
      </c>
      <c r="E26" s="73">
        <f t="shared" si="0"/>
        <v>143010.33335999999</v>
      </c>
      <c r="F26" s="88">
        <v>79.400000000000006</v>
      </c>
      <c r="G26" s="87">
        <f>+E26*F26</f>
        <v>11355020.468784001</v>
      </c>
      <c r="H26" s="89"/>
      <c r="J26" s="248">
        <v>147012</v>
      </c>
    </row>
    <row r="27" spans="2:10" s="69" customFormat="1" ht="15.75" customHeight="1" thickBot="1" x14ac:dyDescent="0.3">
      <c r="B27" s="67">
        <v>4</v>
      </c>
      <c r="C27" s="195" t="s">
        <v>22</v>
      </c>
      <c r="D27" s="196"/>
      <c r="E27" s="73">
        <f t="shared" si="0"/>
        <v>0</v>
      </c>
      <c r="F27" s="196"/>
      <c r="G27" s="196"/>
      <c r="H27" s="68">
        <f>SUM(G28)</f>
        <v>8183054.5433999998</v>
      </c>
      <c r="J27" s="247"/>
    </row>
    <row r="28" spans="2:10" s="56" customFormat="1" ht="15.75" thickBot="1" x14ac:dyDescent="0.3">
      <c r="B28" s="90">
        <v>4.0999999999999996</v>
      </c>
      <c r="C28" s="91" t="s">
        <v>23</v>
      </c>
      <c r="D28" s="92" t="s">
        <v>24</v>
      </c>
      <c r="E28" s="73">
        <f t="shared" si="0"/>
        <v>13964.2569</v>
      </c>
      <c r="F28" s="94">
        <v>586</v>
      </c>
      <c r="G28" s="93">
        <f>+E28*F28</f>
        <v>8183054.5433999998</v>
      </c>
      <c r="H28" s="95"/>
      <c r="J28" s="248">
        <v>14355</v>
      </c>
    </row>
    <row r="29" spans="2:10" s="69" customFormat="1" ht="15.75" customHeight="1" thickBot="1" x14ac:dyDescent="0.3">
      <c r="B29" s="82">
        <v>5</v>
      </c>
      <c r="C29" s="183" t="s">
        <v>25</v>
      </c>
      <c r="D29" s="184"/>
      <c r="E29" s="73">
        <f t="shared" si="0"/>
        <v>0</v>
      </c>
      <c r="F29" s="184"/>
      <c r="G29" s="184"/>
      <c r="H29" s="83">
        <f>SUM(G30)</f>
        <v>307549.844568</v>
      </c>
      <c r="J29" s="247"/>
    </row>
    <row r="30" spans="2:10" s="56" customFormat="1" ht="54.6" customHeight="1" thickBot="1" x14ac:dyDescent="0.3">
      <c r="B30" s="96">
        <v>5.0999999999999996</v>
      </c>
      <c r="C30" s="97" t="s">
        <v>26</v>
      </c>
      <c r="D30" s="98" t="s">
        <v>12</v>
      </c>
      <c r="E30" s="73">
        <f t="shared" si="0"/>
        <v>19342.757519999999</v>
      </c>
      <c r="F30" s="100">
        <v>15.9</v>
      </c>
      <c r="G30" s="99">
        <f>+E30*F30</f>
        <v>307549.844568</v>
      </c>
      <c r="H30" s="101"/>
      <c r="J30" s="248">
        <v>19884</v>
      </c>
    </row>
    <row r="31" spans="2:10" ht="15.75" customHeight="1" thickBot="1" x14ac:dyDescent="0.3">
      <c r="B31" s="161" t="s">
        <v>27</v>
      </c>
      <c r="C31" s="162"/>
      <c r="D31" s="162"/>
      <c r="E31" s="162"/>
      <c r="F31" s="162"/>
      <c r="G31" s="185"/>
      <c r="H31" s="102">
        <f>SUM(H18:H30)</f>
        <v>21947231.171697002</v>
      </c>
    </row>
    <row r="32" spans="2:10" ht="15" customHeight="1" x14ac:dyDescent="0.25">
      <c r="B32" s="186" t="s">
        <v>28</v>
      </c>
      <c r="C32" s="187"/>
      <c r="D32" s="188" t="s">
        <v>29</v>
      </c>
      <c r="E32" s="189"/>
      <c r="F32" s="190">
        <v>0.27200000000000002</v>
      </c>
      <c r="G32" s="191"/>
      <c r="H32" s="103">
        <f>+H31*F32</f>
        <v>5969646.8787015853</v>
      </c>
    </row>
    <row r="33" spans="2:10" ht="15" customHeight="1" x14ac:dyDescent="0.25">
      <c r="B33" s="171" t="s">
        <v>30</v>
      </c>
      <c r="C33" s="172"/>
      <c r="D33" s="173" t="s">
        <v>31</v>
      </c>
      <c r="E33" s="174"/>
      <c r="F33" s="175">
        <v>0.01</v>
      </c>
      <c r="G33" s="176"/>
      <c r="H33" s="104">
        <f>+H31*F33</f>
        <v>219472.31171697003</v>
      </c>
    </row>
    <row r="34" spans="2:10" ht="15" customHeight="1" x14ac:dyDescent="0.25">
      <c r="B34" s="171" t="s">
        <v>32</v>
      </c>
      <c r="C34" s="172"/>
      <c r="D34" s="173" t="s">
        <v>33</v>
      </c>
      <c r="E34" s="174"/>
      <c r="F34" s="175">
        <v>0.04</v>
      </c>
      <c r="G34" s="176"/>
      <c r="H34" s="104">
        <f>+H31*F34</f>
        <v>877889.24686788011</v>
      </c>
    </row>
    <row r="35" spans="2:10" ht="15.75" customHeight="1" thickBot="1" x14ac:dyDescent="0.3">
      <c r="B35" s="177" t="s">
        <v>34</v>
      </c>
      <c r="C35" s="178"/>
      <c r="D35" s="179" t="s">
        <v>35</v>
      </c>
      <c r="E35" s="180"/>
      <c r="F35" s="181">
        <v>0.19</v>
      </c>
      <c r="G35" s="182"/>
      <c r="H35" s="105">
        <f>+H34*F35</f>
        <v>166798.95690489723</v>
      </c>
    </row>
    <row r="36" spans="2:10" ht="15.75" customHeight="1" thickBot="1" x14ac:dyDescent="0.3">
      <c r="B36" s="161" t="s">
        <v>36</v>
      </c>
      <c r="C36" s="162"/>
      <c r="D36" s="162"/>
      <c r="E36" s="162"/>
      <c r="F36" s="162"/>
      <c r="G36" s="162"/>
      <c r="H36" s="106">
        <f>SUM(H32:H35)</f>
        <v>7233807.3941913331</v>
      </c>
    </row>
    <row r="37" spans="2:10" ht="15.75" customHeight="1" thickBot="1" x14ac:dyDescent="0.3">
      <c r="B37" s="161" t="s">
        <v>37</v>
      </c>
      <c r="C37" s="162"/>
      <c r="D37" s="162"/>
      <c r="E37" s="162"/>
      <c r="F37" s="162"/>
      <c r="G37" s="162"/>
      <c r="H37" s="106">
        <f>+H31+H36</f>
        <v>29181038.565888334</v>
      </c>
    </row>
    <row r="38" spans="2:10" x14ac:dyDescent="0.25">
      <c r="B38" s="107"/>
      <c r="C38" s="107"/>
      <c r="D38" s="107"/>
      <c r="E38" s="107"/>
      <c r="F38" s="107"/>
      <c r="G38" s="107"/>
      <c r="H38" s="108"/>
    </row>
    <row r="39" spans="2:10" x14ac:dyDescent="0.25">
      <c r="B39" s="107"/>
      <c r="C39" s="107"/>
      <c r="D39" s="107"/>
      <c r="E39" s="107"/>
      <c r="F39" s="107"/>
      <c r="G39" s="107"/>
      <c r="H39" s="108"/>
    </row>
    <row r="40" spans="2:10" ht="15.75" thickBot="1" x14ac:dyDescent="0.3">
      <c r="D40" s="57"/>
      <c r="F40" s="57"/>
    </row>
    <row r="41" spans="2:10" ht="38.25" customHeight="1" thickBot="1" x14ac:dyDescent="0.3">
      <c r="B41" s="203" t="s">
        <v>38</v>
      </c>
      <c r="C41" s="204"/>
      <c r="D41" s="204"/>
      <c r="E41" s="204"/>
      <c r="F41" s="204"/>
      <c r="G41" s="204"/>
      <c r="H41" s="205"/>
    </row>
    <row r="42" spans="2:10" ht="18.75" customHeight="1" thickBot="1" x14ac:dyDescent="0.3">
      <c r="B42" s="199" t="s">
        <v>88</v>
      </c>
      <c r="C42" s="200"/>
      <c r="D42" s="200"/>
      <c r="E42" s="200"/>
      <c r="F42" s="200"/>
      <c r="G42" s="200"/>
      <c r="H42" s="201"/>
    </row>
    <row r="43" spans="2:10" ht="15.75" thickBot="1" x14ac:dyDescent="0.3">
      <c r="B43" s="109" t="s">
        <v>3</v>
      </c>
      <c r="C43" s="110" t="s">
        <v>4</v>
      </c>
      <c r="D43" s="111" t="s">
        <v>5</v>
      </c>
      <c r="E43" s="112" t="s">
        <v>6</v>
      </c>
      <c r="F43" s="113" t="s">
        <v>7</v>
      </c>
      <c r="G43" s="112" t="s">
        <v>8</v>
      </c>
      <c r="H43" s="114" t="s">
        <v>9</v>
      </c>
    </row>
    <row r="44" spans="2:10" s="69" customFormat="1" ht="15.75" customHeight="1" thickBot="1" x14ac:dyDescent="0.3">
      <c r="B44" s="82">
        <v>1</v>
      </c>
      <c r="C44" s="183" t="s">
        <v>10</v>
      </c>
      <c r="D44" s="184"/>
      <c r="E44" s="184"/>
      <c r="F44" s="184"/>
      <c r="G44" s="184"/>
      <c r="H44" s="83">
        <f>SUM(G45:G46)</f>
        <v>772426.23120000004</v>
      </c>
      <c r="J44" s="247"/>
    </row>
    <row r="45" spans="2:10" s="56" customFormat="1" ht="31.15" customHeight="1" x14ac:dyDescent="0.25">
      <c r="B45" s="115">
        <v>1.3</v>
      </c>
      <c r="C45" s="116" t="s">
        <v>39</v>
      </c>
      <c r="D45" s="117" t="s">
        <v>12</v>
      </c>
      <c r="E45" s="87">
        <f>J45-(2.722%*J45)</f>
        <v>5145.0334199999998</v>
      </c>
      <c r="F45" s="88">
        <v>70</v>
      </c>
      <c r="G45" s="87">
        <f>+E45*F45</f>
        <v>360152.3394</v>
      </c>
      <c r="H45" s="89"/>
      <c r="J45" s="248">
        <v>5289</v>
      </c>
    </row>
    <row r="46" spans="2:10" s="56" customFormat="1" ht="36.6" customHeight="1" thickBot="1" x14ac:dyDescent="0.3">
      <c r="B46" s="84">
        <v>1.8</v>
      </c>
      <c r="C46" s="85" t="s">
        <v>40</v>
      </c>
      <c r="D46" s="86" t="s">
        <v>41</v>
      </c>
      <c r="E46" s="87">
        <f t="shared" ref="E46:E67" si="2">J46-(2.722%*J46)</f>
        <v>13742.46306</v>
      </c>
      <c r="F46" s="119">
        <v>30</v>
      </c>
      <c r="G46" s="118">
        <f>+E46*F46</f>
        <v>412273.89179999998</v>
      </c>
      <c r="H46" s="120"/>
      <c r="J46" s="248">
        <v>14127</v>
      </c>
    </row>
    <row r="47" spans="2:10" s="69" customFormat="1" ht="15.75" customHeight="1" thickBot="1" x14ac:dyDescent="0.3">
      <c r="B47" s="121">
        <v>2</v>
      </c>
      <c r="C47" s="197" t="s">
        <v>42</v>
      </c>
      <c r="D47" s="198"/>
      <c r="E47" s="87">
        <f t="shared" si="2"/>
        <v>0</v>
      </c>
      <c r="F47" s="198"/>
      <c r="G47" s="198"/>
      <c r="H47" s="122">
        <f>SUM(G48)</f>
        <v>279516.27052799996</v>
      </c>
      <c r="J47" s="247"/>
    </row>
    <row r="48" spans="2:10" s="56" customFormat="1" ht="62.45" customHeight="1" thickBot="1" x14ac:dyDescent="0.3">
      <c r="B48" s="115">
        <v>2.1</v>
      </c>
      <c r="C48" s="116" t="s">
        <v>43</v>
      </c>
      <c r="D48" s="117" t="s">
        <v>44</v>
      </c>
      <c r="E48" s="87">
        <f t="shared" si="2"/>
        <v>77643.408479999998</v>
      </c>
      <c r="F48" s="88">
        <v>3.5999999999999996</v>
      </c>
      <c r="G48" s="87">
        <f>+E48*F48</f>
        <v>279516.27052799996</v>
      </c>
      <c r="H48" s="89"/>
      <c r="J48" s="248">
        <v>79816</v>
      </c>
    </row>
    <row r="49" spans="2:10" s="69" customFormat="1" ht="15.75" customHeight="1" thickBot="1" x14ac:dyDescent="0.3">
      <c r="B49" s="82">
        <v>3</v>
      </c>
      <c r="C49" s="202" t="s">
        <v>20</v>
      </c>
      <c r="D49" s="184"/>
      <c r="E49" s="87">
        <f t="shared" si="2"/>
        <v>0</v>
      </c>
      <c r="F49" s="184"/>
      <c r="G49" s="184"/>
      <c r="H49" s="83">
        <f>SUM(G50)</f>
        <v>250855.64249999999</v>
      </c>
      <c r="J49" s="247"/>
    </row>
    <row r="50" spans="2:10" s="56" customFormat="1" ht="145.15" customHeight="1" thickBot="1" x14ac:dyDescent="0.3">
      <c r="B50" s="70">
        <v>3.1</v>
      </c>
      <c r="C50" s="71" t="s">
        <v>45</v>
      </c>
      <c r="D50" s="72" t="s">
        <v>41</v>
      </c>
      <c r="E50" s="87">
        <f t="shared" si="2"/>
        <v>50171.128499999999</v>
      </c>
      <c r="F50" s="88">
        <v>5</v>
      </c>
      <c r="G50" s="87">
        <f>+E50*F50</f>
        <v>250855.64249999999</v>
      </c>
      <c r="H50" s="89"/>
      <c r="J50" s="248">
        <v>51575</v>
      </c>
    </row>
    <row r="51" spans="2:10" s="69" customFormat="1" ht="15.75" customHeight="1" thickBot="1" x14ac:dyDescent="0.3">
      <c r="B51" s="82">
        <v>4</v>
      </c>
      <c r="C51" s="183" t="s">
        <v>22</v>
      </c>
      <c r="D51" s="184"/>
      <c r="E51" s="87">
        <f t="shared" si="2"/>
        <v>0</v>
      </c>
      <c r="F51" s="184"/>
      <c r="G51" s="184"/>
      <c r="H51" s="83">
        <f>SUM(G52:G55)</f>
        <v>4280605.4502420006</v>
      </c>
      <c r="J51" s="247"/>
    </row>
    <row r="52" spans="2:10" s="56" customFormat="1" ht="44.45" customHeight="1" x14ac:dyDescent="0.25">
      <c r="B52" s="76">
        <v>4.2</v>
      </c>
      <c r="C52" s="77" t="s">
        <v>46</v>
      </c>
      <c r="D52" s="78" t="s">
        <v>12</v>
      </c>
      <c r="E52" s="87">
        <f t="shared" si="2"/>
        <v>12111.111000000001</v>
      </c>
      <c r="F52" s="88">
        <v>85</v>
      </c>
      <c r="G52" s="87">
        <f>+E52*F52</f>
        <v>1029444.4350000001</v>
      </c>
      <c r="H52" s="89"/>
      <c r="J52" s="248">
        <v>12450</v>
      </c>
    </row>
    <row r="53" spans="2:10" s="56" customFormat="1" ht="61.9" customHeight="1" x14ac:dyDescent="0.25">
      <c r="B53" s="76">
        <v>4.3</v>
      </c>
      <c r="C53" s="77" t="s">
        <v>47</v>
      </c>
      <c r="D53" s="78" t="s">
        <v>12</v>
      </c>
      <c r="E53" s="87">
        <f t="shared" si="2"/>
        <v>22821.418799999999</v>
      </c>
      <c r="F53" s="80">
        <v>70</v>
      </c>
      <c r="G53" s="79">
        <f>+E53*F53</f>
        <v>1597499.3159999999</v>
      </c>
      <c r="H53" s="81"/>
      <c r="J53" s="248">
        <v>23460</v>
      </c>
    </row>
    <row r="54" spans="2:10" s="56" customFormat="1" ht="72" customHeight="1" x14ac:dyDescent="0.25">
      <c r="B54" s="76">
        <v>4.4000000000000004</v>
      </c>
      <c r="C54" s="77" t="s">
        <v>48</v>
      </c>
      <c r="D54" s="80" t="s">
        <v>24</v>
      </c>
      <c r="E54" s="87">
        <f t="shared" si="2"/>
        <v>20616.126540000001</v>
      </c>
      <c r="F54" s="80">
        <v>70</v>
      </c>
      <c r="G54" s="79">
        <f>+E54*F54</f>
        <v>1443128.8578000001</v>
      </c>
      <c r="H54" s="81"/>
      <c r="J54" s="248">
        <v>21193</v>
      </c>
    </row>
    <row r="55" spans="2:10" s="56" customFormat="1" ht="41.45" customHeight="1" thickBot="1" x14ac:dyDescent="0.3">
      <c r="B55" s="84">
        <v>4.5</v>
      </c>
      <c r="C55" s="85" t="s">
        <v>49</v>
      </c>
      <c r="D55" s="119" t="s">
        <v>24</v>
      </c>
      <c r="E55" s="87">
        <f t="shared" si="2"/>
        <v>55696.518900000003</v>
      </c>
      <c r="F55" s="119">
        <v>3.7800000000000002</v>
      </c>
      <c r="G55" s="118">
        <f>+E55*F55</f>
        <v>210532.84144200003</v>
      </c>
      <c r="H55" s="120"/>
      <c r="J55" s="248">
        <v>57255</v>
      </c>
    </row>
    <row r="56" spans="2:10" s="69" customFormat="1" ht="15.75" customHeight="1" thickBot="1" x14ac:dyDescent="0.3">
      <c r="B56" s="121">
        <v>5</v>
      </c>
      <c r="C56" s="197" t="s">
        <v>25</v>
      </c>
      <c r="D56" s="198"/>
      <c r="E56" s="87">
        <f t="shared" si="2"/>
        <v>0</v>
      </c>
      <c r="F56" s="198"/>
      <c r="G56" s="198"/>
      <c r="H56" s="249">
        <f>SUM(G57)</f>
        <v>33192.171904319999</v>
      </c>
      <c r="J56" s="247"/>
    </row>
    <row r="57" spans="2:10" s="56" customFormat="1" ht="55.9" customHeight="1" thickBot="1" x14ac:dyDescent="0.3">
      <c r="B57" s="96">
        <v>5.0999999999999996</v>
      </c>
      <c r="C57" s="97" t="s">
        <v>26</v>
      </c>
      <c r="D57" s="98" t="s">
        <v>12</v>
      </c>
      <c r="E57" s="87">
        <f t="shared" si="2"/>
        <v>19342.757519999999</v>
      </c>
      <c r="F57" s="100">
        <v>1.7160000000000002</v>
      </c>
      <c r="G57" s="99">
        <f>+E57*F57</f>
        <v>33192.171904319999</v>
      </c>
      <c r="H57" s="101"/>
      <c r="J57" s="248">
        <v>19884</v>
      </c>
    </row>
    <row r="58" spans="2:10" s="69" customFormat="1" ht="15.75" customHeight="1" thickBot="1" x14ac:dyDescent="0.3">
      <c r="B58" s="82">
        <v>8</v>
      </c>
      <c r="C58" s="183" t="s">
        <v>50</v>
      </c>
      <c r="D58" s="184"/>
      <c r="E58" s="87">
        <f t="shared" si="2"/>
        <v>0</v>
      </c>
      <c r="F58" s="184"/>
      <c r="G58" s="184"/>
      <c r="H58" s="83">
        <f>SUM(G59:G59)</f>
        <v>443592.54389999999</v>
      </c>
      <c r="J58" s="247"/>
    </row>
    <row r="59" spans="2:10" s="56" customFormat="1" ht="51" customHeight="1" thickBot="1" x14ac:dyDescent="0.3">
      <c r="B59" s="115">
        <v>8.9</v>
      </c>
      <c r="C59" s="123" t="s">
        <v>51</v>
      </c>
      <c r="D59" s="117" t="s">
        <v>14</v>
      </c>
      <c r="E59" s="87">
        <f t="shared" si="2"/>
        <v>443592.54389999999</v>
      </c>
      <c r="F59" s="88">
        <v>1</v>
      </c>
      <c r="G59" s="87">
        <f t="shared" ref="G59" si="3">+E59*F59</f>
        <v>443592.54389999999</v>
      </c>
      <c r="H59" s="89"/>
      <c r="J59" s="248">
        <v>456005</v>
      </c>
    </row>
    <row r="60" spans="2:10" s="69" customFormat="1" ht="15.75" customHeight="1" thickBot="1" x14ac:dyDescent="0.3">
      <c r="B60" s="82">
        <v>10</v>
      </c>
      <c r="C60" s="183" t="s">
        <v>52</v>
      </c>
      <c r="D60" s="184"/>
      <c r="E60" s="87">
        <f t="shared" si="2"/>
        <v>0</v>
      </c>
      <c r="F60" s="184"/>
      <c r="G60" s="184"/>
      <c r="H60" s="83">
        <f>SUM(G61:G62)</f>
        <v>2379864.8295720001</v>
      </c>
      <c r="J60" s="247"/>
    </row>
    <row r="61" spans="2:10" s="56" customFormat="1" ht="204" customHeight="1" x14ac:dyDescent="0.25">
      <c r="B61" s="76">
        <v>10.4</v>
      </c>
      <c r="C61" s="77" t="s">
        <v>53</v>
      </c>
      <c r="D61" s="80" t="s">
        <v>41</v>
      </c>
      <c r="E61" s="87">
        <f t="shared" si="2"/>
        <v>872558.36771999998</v>
      </c>
      <c r="F61" s="80">
        <v>1.8</v>
      </c>
      <c r="G61" s="79">
        <f>+E61*F61</f>
        <v>1570605.0618960001</v>
      </c>
      <c r="H61" s="81"/>
      <c r="J61" s="248">
        <v>896974</v>
      </c>
    </row>
    <row r="62" spans="2:10" s="56" customFormat="1" ht="174" customHeight="1" thickBot="1" x14ac:dyDescent="0.3">
      <c r="B62" s="76">
        <v>10.5</v>
      </c>
      <c r="C62" s="77" t="s">
        <v>54</v>
      </c>
      <c r="D62" s="80" t="s">
        <v>41</v>
      </c>
      <c r="E62" s="87">
        <f t="shared" si="2"/>
        <v>449588.75981999998</v>
      </c>
      <c r="F62" s="80">
        <v>1.8</v>
      </c>
      <c r="G62" s="79">
        <f>+E62*F62</f>
        <v>809259.76767600002</v>
      </c>
      <c r="H62" s="81"/>
      <c r="J62" s="248">
        <v>462169</v>
      </c>
    </row>
    <row r="63" spans="2:10" s="69" customFormat="1" ht="15.75" customHeight="1" thickBot="1" x14ac:dyDescent="0.3">
      <c r="B63" s="82">
        <v>12</v>
      </c>
      <c r="C63" s="183" t="s">
        <v>55</v>
      </c>
      <c r="D63" s="184"/>
      <c r="E63" s="87">
        <f t="shared" si="2"/>
        <v>0</v>
      </c>
      <c r="F63" s="184"/>
      <c r="G63" s="184"/>
      <c r="H63" s="83">
        <f>SUM(G64:G64)</f>
        <v>233542.10406000001</v>
      </c>
      <c r="J63" s="247"/>
    </row>
    <row r="64" spans="2:10" s="56" customFormat="1" ht="43.9" customHeight="1" thickBot="1" x14ac:dyDescent="0.3">
      <c r="B64" s="76">
        <v>12.1</v>
      </c>
      <c r="C64" s="124" t="s">
        <v>56</v>
      </c>
      <c r="D64" s="78" t="s">
        <v>12</v>
      </c>
      <c r="E64" s="87">
        <f t="shared" si="2"/>
        <v>233542.10406000001</v>
      </c>
      <c r="F64" s="80">
        <v>1</v>
      </c>
      <c r="G64" s="79">
        <f>+E64*F64</f>
        <v>233542.10406000001</v>
      </c>
      <c r="H64" s="81"/>
      <c r="J64" s="248">
        <v>240077</v>
      </c>
    </row>
    <row r="65" spans="2:10" s="69" customFormat="1" ht="15.75" customHeight="1" thickBot="1" x14ac:dyDescent="0.3">
      <c r="B65" s="67">
        <v>13</v>
      </c>
      <c r="C65" s="195" t="s">
        <v>57</v>
      </c>
      <c r="D65" s="196"/>
      <c r="E65" s="87">
        <f t="shared" si="2"/>
        <v>0</v>
      </c>
      <c r="F65" s="196"/>
      <c r="G65" s="196"/>
      <c r="H65" s="68">
        <f>SUM(G66:G67)</f>
        <v>2299772.5447200001</v>
      </c>
      <c r="J65" s="247"/>
    </row>
    <row r="66" spans="2:10" s="56" customFormat="1" ht="49.9" customHeight="1" x14ac:dyDescent="0.25">
      <c r="B66" s="70">
        <v>13.1</v>
      </c>
      <c r="C66" s="125" t="s">
        <v>58</v>
      </c>
      <c r="D66" s="72">
        <v>0</v>
      </c>
      <c r="E66" s="87">
        <f t="shared" si="2"/>
        <v>46372.422599999998</v>
      </c>
      <c r="F66" s="74">
        <v>1</v>
      </c>
      <c r="G66" s="73">
        <f t="shared" ref="G66:G67" si="4">+E66*F66</f>
        <v>46372.422599999998</v>
      </c>
      <c r="H66" s="75"/>
      <c r="J66" s="248">
        <v>47670</v>
      </c>
    </row>
    <row r="67" spans="2:10" s="56" customFormat="1" ht="66" customHeight="1" thickBot="1" x14ac:dyDescent="0.3">
      <c r="B67" s="84">
        <v>13.6</v>
      </c>
      <c r="C67" s="126" t="s">
        <v>59</v>
      </c>
      <c r="D67" s="86">
        <v>0</v>
      </c>
      <c r="E67" s="87">
        <f t="shared" si="2"/>
        <v>132552.94836000001</v>
      </c>
      <c r="F67" s="119">
        <v>17</v>
      </c>
      <c r="G67" s="118">
        <f t="shared" si="4"/>
        <v>2253400.12212</v>
      </c>
      <c r="H67" s="120"/>
      <c r="J67" s="248">
        <v>136262</v>
      </c>
    </row>
    <row r="68" spans="2:10" ht="18.75" customHeight="1" thickBot="1" x14ac:dyDescent="0.3">
      <c r="B68" s="199" t="s">
        <v>60</v>
      </c>
      <c r="C68" s="200"/>
      <c r="D68" s="200"/>
      <c r="E68" s="200"/>
      <c r="F68" s="200"/>
      <c r="G68" s="200"/>
      <c r="H68" s="201"/>
    </row>
    <row r="69" spans="2:10" ht="15.75" thickBot="1" x14ac:dyDescent="0.3">
      <c r="B69" s="109" t="s">
        <v>3</v>
      </c>
      <c r="C69" s="110" t="s">
        <v>4</v>
      </c>
      <c r="D69" s="111" t="s">
        <v>5</v>
      </c>
      <c r="E69" s="112" t="s">
        <v>6</v>
      </c>
      <c r="F69" s="113" t="s">
        <v>7</v>
      </c>
      <c r="G69" s="112" t="s">
        <v>8</v>
      </c>
      <c r="H69" s="114" t="s">
        <v>9</v>
      </c>
    </row>
    <row r="70" spans="2:10" s="69" customFormat="1" ht="15.75" customHeight="1" thickBot="1" x14ac:dyDescent="0.3">
      <c r="B70" s="82">
        <v>1</v>
      </c>
      <c r="C70" s="183" t="s">
        <v>10</v>
      </c>
      <c r="D70" s="184"/>
      <c r="E70" s="184"/>
      <c r="F70" s="184"/>
      <c r="G70" s="184"/>
      <c r="H70" s="83">
        <f>SUM(G71:G72)</f>
        <v>772426.23120000004</v>
      </c>
      <c r="J70" s="247"/>
    </row>
    <row r="71" spans="2:10" s="56" customFormat="1" x14ac:dyDescent="0.25">
      <c r="B71" s="115">
        <v>1.3</v>
      </c>
      <c r="C71" s="116" t="s">
        <v>39</v>
      </c>
      <c r="D71" s="117" t="s">
        <v>12</v>
      </c>
      <c r="E71" s="87">
        <f>J71-(2.722%*J71)</f>
        <v>5145.0334199999998</v>
      </c>
      <c r="F71" s="88">
        <v>70</v>
      </c>
      <c r="G71" s="87">
        <f>+E71*F71</f>
        <v>360152.3394</v>
      </c>
      <c r="H71" s="89"/>
      <c r="J71" s="248">
        <v>5289</v>
      </c>
    </row>
    <row r="72" spans="2:10" s="56" customFormat="1" ht="15.75" thickBot="1" x14ac:dyDescent="0.3">
      <c r="B72" s="84">
        <v>1.8</v>
      </c>
      <c r="C72" s="85" t="s">
        <v>40</v>
      </c>
      <c r="D72" s="86" t="s">
        <v>41</v>
      </c>
      <c r="E72" s="87">
        <f t="shared" ref="E72:E90" si="5">J72-(2.722%*J72)</f>
        <v>13742.46306</v>
      </c>
      <c r="F72" s="119">
        <v>30</v>
      </c>
      <c r="G72" s="118">
        <f>+E72*F72</f>
        <v>412273.89179999998</v>
      </c>
      <c r="H72" s="120"/>
      <c r="J72" s="248">
        <v>14127</v>
      </c>
    </row>
    <row r="73" spans="2:10" s="69" customFormat="1" ht="15.75" customHeight="1" thickBot="1" x14ac:dyDescent="0.3">
      <c r="B73" s="82">
        <v>3</v>
      </c>
      <c r="C73" s="183" t="s">
        <v>20</v>
      </c>
      <c r="D73" s="184"/>
      <c r="E73" s="87">
        <f t="shared" si="5"/>
        <v>0</v>
      </c>
      <c r="F73" s="184"/>
      <c r="G73" s="184"/>
      <c r="H73" s="83">
        <f>SUM(G74)</f>
        <v>953251.44149999996</v>
      </c>
      <c r="J73" s="247"/>
    </row>
    <row r="74" spans="2:10" s="56" customFormat="1" ht="154.9" customHeight="1" thickBot="1" x14ac:dyDescent="0.3">
      <c r="B74" s="70">
        <v>3.1</v>
      </c>
      <c r="C74" s="71" t="s">
        <v>45</v>
      </c>
      <c r="D74" s="72" t="s">
        <v>41</v>
      </c>
      <c r="E74" s="87">
        <f t="shared" si="5"/>
        <v>50171.128499999999</v>
      </c>
      <c r="F74" s="88">
        <v>19</v>
      </c>
      <c r="G74" s="87">
        <f>+E74*F74</f>
        <v>953251.44149999996</v>
      </c>
      <c r="H74" s="89"/>
      <c r="J74" s="248">
        <v>51575</v>
      </c>
    </row>
    <row r="75" spans="2:10" s="69" customFormat="1" ht="15.75" customHeight="1" thickBot="1" x14ac:dyDescent="0.3">
      <c r="B75" s="82">
        <v>4</v>
      </c>
      <c r="C75" s="183" t="s">
        <v>22</v>
      </c>
      <c r="D75" s="184"/>
      <c r="E75" s="87">
        <f t="shared" si="5"/>
        <v>0</v>
      </c>
      <c r="F75" s="184"/>
      <c r="G75" s="184"/>
      <c r="H75" s="83">
        <f>SUM(G76:G79)</f>
        <v>4281432.3132420005</v>
      </c>
      <c r="J75" s="247"/>
    </row>
    <row r="76" spans="2:10" s="56" customFormat="1" ht="52.9" customHeight="1" x14ac:dyDescent="0.25">
      <c r="B76" s="76">
        <v>4.2</v>
      </c>
      <c r="C76" s="77" t="s">
        <v>46</v>
      </c>
      <c r="D76" s="78" t="s">
        <v>12</v>
      </c>
      <c r="E76" s="87">
        <f t="shared" si="5"/>
        <v>12120.8388</v>
      </c>
      <c r="F76" s="88">
        <v>85</v>
      </c>
      <c r="G76" s="87">
        <f>+E76*F76</f>
        <v>1030271.298</v>
      </c>
      <c r="H76" s="89"/>
      <c r="J76" s="248">
        <v>12460</v>
      </c>
    </row>
    <row r="77" spans="2:10" s="56" customFormat="1" ht="71.45" customHeight="1" x14ac:dyDescent="0.25">
      <c r="B77" s="76">
        <v>4.3</v>
      </c>
      <c r="C77" s="77" t="s">
        <v>47</v>
      </c>
      <c r="D77" s="78" t="s">
        <v>12</v>
      </c>
      <c r="E77" s="87">
        <f t="shared" si="5"/>
        <v>22821.418799999999</v>
      </c>
      <c r="F77" s="80">
        <v>70</v>
      </c>
      <c r="G77" s="79">
        <f>+E77*F77</f>
        <v>1597499.3159999999</v>
      </c>
      <c r="H77" s="81"/>
      <c r="J77" s="248">
        <v>23460</v>
      </c>
    </row>
    <row r="78" spans="2:10" s="56" customFormat="1" ht="75.599999999999994" customHeight="1" x14ac:dyDescent="0.25">
      <c r="B78" s="76">
        <v>4.4000000000000004</v>
      </c>
      <c r="C78" s="77" t="s">
        <v>48</v>
      </c>
      <c r="D78" s="80" t="s">
        <v>24</v>
      </c>
      <c r="E78" s="87">
        <f t="shared" si="5"/>
        <v>20616.126540000001</v>
      </c>
      <c r="F78" s="80">
        <v>70</v>
      </c>
      <c r="G78" s="79">
        <f>+E78*F78</f>
        <v>1443128.8578000001</v>
      </c>
      <c r="H78" s="81"/>
      <c r="J78" s="248">
        <v>21193</v>
      </c>
    </row>
    <row r="79" spans="2:10" s="56" customFormat="1" ht="37.9" customHeight="1" thickBot="1" x14ac:dyDescent="0.3">
      <c r="B79" s="84">
        <v>4.5</v>
      </c>
      <c r="C79" s="85" t="s">
        <v>49</v>
      </c>
      <c r="D79" s="119" t="s">
        <v>24</v>
      </c>
      <c r="E79" s="87">
        <f t="shared" si="5"/>
        <v>55696.518900000003</v>
      </c>
      <c r="F79" s="119">
        <v>3.7800000000000002</v>
      </c>
      <c r="G79" s="118">
        <f>+E79*F79</f>
        <v>210532.84144200003</v>
      </c>
      <c r="H79" s="120"/>
      <c r="J79" s="248">
        <v>57255</v>
      </c>
    </row>
    <row r="80" spans="2:10" s="69" customFormat="1" ht="15.75" customHeight="1" thickBot="1" x14ac:dyDescent="0.3">
      <c r="B80" s="121">
        <v>5</v>
      </c>
      <c r="C80" s="197" t="s">
        <v>25</v>
      </c>
      <c r="D80" s="198"/>
      <c r="E80" s="87">
        <f t="shared" si="5"/>
        <v>0</v>
      </c>
      <c r="F80" s="198"/>
      <c r="G80" s="198"/>
      <c r="H80" s="122">
        <f>SUM(G81)</f>
        <v>33192.171904319999</v>
      </c>
      <c r="J80" s="247"/>
    </row>
    <row r="81" spans="2:10" s="56" customFormat="1" ht="63" customHeight="1" thickBot="1" x14ac:dyDescent="0.3">
      <c r="B81" s="96">
        <v>5.0999999999999996</v>
      </c>
      <c r="C81" s="97" t="s">
        <v>26</v>
      </c>
      <c r="D81" s="98" t="s">
        <v>12</v>
      </c>
      <c r="E81" s="87">
        <f t="shared" si="5"/>
        <v>19342.757519999999</v>
      </c>
      <c r="F81" s="100">
        <v>1.7160000000000002</v>
      </c>
      <c r="G81" s="99">
        <f>+E81*F81</f>
        <v>33192.171904319999</v>
      </c>
      <c r="H81" s="101"/>
      <c r="J81" s="248">
        <v>19884</v>
      </c>
    </row>
    <row r="82" spans="2:10" s="69" customFormat="1" ht="15.75" customHeight="1" thickBot="1" x14ac:dyDescent="0.3">
      <c r="B82" s="67">
        <v>8</v>
      </c>
      <c r="C82" s="195" t="s">
        <v>50</v>
      </c>
      <c r="D82" s="196"/>
      <c r="E82" s="87">
        <f t="shared" si="5"/>
        <v>0</v>
      </c>
      <c r="F82" s="196"/>
      <c r="G82" s="196"/>
      <c r="H82" s="68">
        <f>SUM(G83:G84)</f>
        <v>697010.48892000003</v>
      </c>
      <c r="J82" s="247"/>
    </row>
    <row r="83" spans="2:10" s="56" customFormat="1" ht="34.9" customHeight="1" x14ac:dyDescent="0.25">
      <c r="B83" s="70">
        <v>8.8000000000000007</v>
      </c>
      <c r="C83" s="125" t="s">
        <v>61</v>
      </c>
      <c r="D83" s="72" t="s">
        <v>14</v>
      </c>
      <c r="E83" s="87">
        <f t="shared" si="5"/>
        <v>253417.94502000001</v>
      </c>
      <c r="F83" s="74">
        <v>1</v>
      </c>
      <c r="G83" s="73">
        <f t="shared" ref="G83:G84" si="6">+E83*F83</f>
        <v>253417.94502000001</v>
      </c>
      <c r="H83" s="75"/>
      <c r="J83" s="248">
        <v>260509</v>
      </c>
    </row>
    <row r="84" spans="2:10" s="56" customFormat="1" ht="43.9" customHeight="1" thickBot="1" x14ac:dyDescent="0.3">
      <c r="B84" s="84">
        <v>8.9</v>
      </c>
      <c r="C84" s="126" t="s">
        <v>51</v>
      </c>
      <c r="D84" s="86" t="s">
        <v>14</v>
      </c>
      <c r="E84" s="87">
        <f t="shared" si="5"/>
        <v>443592.54389999999</v>
      </c>
      <c r="F84" s="119">
        <v>1</v>
      </c>
      <c r="G84" s="118">
        <f t="shared" si="6"/>
        <v>443592.54389999999</v>
      </c>
      <c r="H84" s="120"/>
      <c r="J84" s="248">
        <v>456005</v>
      </c>
    </row>
    <row r="85" spans="2:10" s="69" customFormat="1" ht="15.75" customHeight="1" thickBot="1" x14ac:dyDescent="0.3">
      <c r="B85" s="121">
        <v>10</v>
      </c>
      <c r="C85" s="197" t="s">
        <v>52</v>
      </c>
      <c r="D85" s="198"/>
      <c r="E85" s="87">
        <f t="shared" si="5"/>
        <v>0</v>
      </c>
      <c r="F85" s="198"/>
      <c r="G85" s="198"/>
      <c r="H85" s="122">
        <f>SUM(G86:G88)</f>
        <v>4355361.5504040001</v>
      </c>
      <c r="J85" s="247"/>
    </row>
    <row r="86" spans="2:10" s="56" customFormat="1" ht="49.15" customHeight="1" x14ac:dyDescent="0.25">
      <c r="B86" s="96">
        <v>10.3</v>
      </c>
      <c r="C86" s="77" t="s">
        <v>62</v>
      </c>
      <c r="D86" s="78" t="s">
        <v>12</v>
      </c>
      <c r="E86" s="87">
        <f t="shared" si="5"/>
        <v>548749.08912000002</v>
      </c>
      <c r="F86" s="100">
        <v>3.6</v>
      </c>
      <c r="G86" s="99">
        <f>+E86*F86</f>
        <v>1975496.720832</v>
      </c>
      <c r="H86" s="101"/>
      <c r="J86" s="248">
        <v>564104</v>
      </c>
    </row>
    <row r="87" spans="2:10" s="56" customFormat="1" ht="207" customHeight="1" x14ac:dyDescent="0.25">
      <c r="B87" s="76">
        <v>10.4</v>
      </c>
      <c r="C87" s="77" t="s">
        <v>53</v>
      </c>
      <c r="D87" s="80" t="s">
        <v>41</v>
      </c>
      <c r="E87" s="87">
        <f t="shared" si="5"/>
        <v>872558.36771999998</v>
      </c>
      <c r="F87" s="80">
        <v>1.8</v>
      </c>
      <c r="G87" s="79">
        <f>+E87*F87</f>
        <v>1570605.0618960001</v>
      </c>
      <c r="H87" s="81"/>
      <c r="J87" s="248">
        <v>896974</v>
      </c>
    </row>
    <row r="88" spans="2:10" s="56" customFormat="1" ht="183.6" customHeight="1" thickBot="1" x14ac:dyDescent="0.3">
      <c r="B88" s="76">
        <v>10.5</v>
      </c>
      <c r="C88" s="77" t="s">
        <v>54</v>
      </c>
      <c r="D88" s="80" t="s">
        <v>41</v>
      </c>
      <c r="E88" s="87">
        <f t="shared" si="5"/>
        <v>449588.75981999998</v>
      </c>
      <c r="F88" s="80">
        <v>1.8</v>
      </c>
      <c r="G88" s="79">
        <f>+E88*F88</f>
        <v>809259.76767600002</v>
      </c>
      <c r="H88" s="81"/>
      <c r="J88" s="248">
        <v>462169</v>
      </c>
    </row>
    <row r="89" spans="2:10" s="69" customFormat="1" ht="15.75" customHeight="1" thickBot="1" x14ac:dyDescent="0.3">
      <c r="B89" s="67">
        <v>13</v>
      </c>
      <c r="C89" s="195" t="s">
        <v>57</v>
      </c>
      <c r="D89" s="196"/>
      <c r="E89" s="87">
        <f t="shared" si="5"/>
        <v>0</v>
      </c>
      <c r="F89" s="196"/>
      <c r="G89" s="196"/>
      <c r="H89" s="68">
        <f>SUM(G90:G90)</f>
        <v>46372.422599999998</v>
      </c>
      <c r="J89" s="247"/>
    </row>
    <row r="90" spans="2:10" s="56" customFormat="1" ht="66" customHeight="1" thickBot="1" x14ac:dyDescent="0.3">
      <c r="B90" s="90">
        <v>13.1</v>
      </c>
      <c r="C90" s="127" t="s">
        <v>58</v>
      </c>
      <c r="D90" s="92" t="s">
        <v>14</v>
      </c>
      <c r="E90" s="87">
        <f t="shared" si="5"/>
        <v>46372.422599999998</v>
      </c>
      <c r="F90" s="94">
        <v>1</v>
      </c>
      <c r="G90" s="93">
        <f>+E90*F90</f>
        <v>46372.422599999998</v>
      </c>
      <c r="H90" s="95"/>
      <c r="J90" s="248">
        <v>47670</v>
      </c>
    </row>
    <row r="91" spans="2:10" s="128" customFormat="1" ht="19.5" customHeight="1" thickBot="1" x14ac:dyDescent="0.35">
      <c r="B91" s="199" t="s">
        <v>63</v>
      </c>
      <c r="C91" s="200"/>
      <c r="D91" s="200"/>
      <c r="E91" s="200"/>
      <c r="F91" s="200"/>
      <c r="G91" s="200"/>
      <c r="H91" s="201"/>
      <c r="J91" s="250"/>
    </row>
    <row r="92" spans="2:10" ht="15.75" thickBot="1" x14ac:dyDescent="0.3">
      <c r="B92" s="109" t="s">
        <v>3</v>
      </c>
      <c r="C92" s="110" t="s">
        <v>4</v>
      </c>
      <c r="D92" s="111" t="s">
        <v>5</v>
      </c>
      <c r="E92" s="112" t="s">
        <v>6</v>
      </c>
      <c r="F92" s="113" t="s">
        <v>7</v>
      </c>
      <c r="G92" s="112" t="s">
        <v>8</v>
      </c>
      <c r="H92" s="114" t="s">
        <v>9</v>
      </c>
    </row>
    <row r="93" spans="2:10" s="69" customFormat="1" ht="15.75" customHeight="1" thickBot="1" x14ac:dyDescent="0.3">
      <c r="B93" s="82">
        <v>1</v>
      </c>
      <c r="C93" s="183" t="s">
        <v>10</v>
      </c>
      <c r="D93" s="184"/>
      <c r="E93" s="184"/>
      <c r="F93" s="184"/>
      <c r="G93" s="184"/>
      <c r="H93" s="83">
        <f>SUM(G94:G94)</f>
        <v>360152.3394</v>
      </c>
      <c r="J93" s="247"/>
    </row>
    <row r="94" spans="2:10" s="56" customFormat="1" ht="39" customHeight="1" thickBot="1" x14ac:dyDescent="0.3">
      <c r="B94" s="115">
        <v>1.3</v>
      </c>
      <c r="C94" s="116" t="s">
        <v>39</v>
      </c>
      <c r="D94" s="117" t="s">
        <v>12</v>
      </c>
      <c r="E94" s="87">
        <f>J94-(2.722%*J94)</f>
        <v>5145.0334199999998</v>
      </c>
      <c r="F94" s="88">
        <v>70</v>
      </c>
      <c r="G94" s="87">
        <f>+E94*F94</f>
        <v>360152.3394</v>
      </c>
      <c r="H94" s="89"/>
      <c r="J94" s="248">
        <v>5289</v>
      </c>
    </row>
    <row r="95" spans="2:10" s="69" customFormat="1" ht="15.75" customHeight="1" thickBot="1" x14ac:dyDescent="0.3">
      <c r="B95" s="82">
        <v>3</v>
      </c>
      <c r="C95" s="183" t="s">
        <v>20</v>
      </c>
      <c r="D95" s="184"/>
      <c r="E95" s="87">
        <f t="shared" ref="E95:E106" si="7">J95-(2.722%*J95)</f>
        <v>0</v>
      </c>
      <c r="F95" s="184"/>
      <c r="G95" s="184"/>
      <c r="H95" s="83">
        <f>SUM(G96)</f>
        <v>401369.02799999999</v>
      </c>
      <c r="J95" s="247"/>
    </row>
    <row r="96" spans="2:10" s="56" customFormat="1" ht="129" thickBot="1" x14ac:dyDescent="0.3">
      <c r="B96" s="70">
        <v>3.1</v>
      </c>
      <c r="C96" s="71" t="s">
        <v>45</v>
      </c>
      <c r="D96" s="72" t="s">
        <v>41</v>
      </c>
      <c r="E96" s="87">
        <f t="shared" si="7"/>
        <v>50171.128499999999</v>
      </c>
      <c r="F96" s="88">
        <v>8</v>
      </c>
      <c r="G96" s="87">
        <f>+E96*F96</f>
        <v>401369.02799999999</v>
      </c>
      <c r="H96" s="89"/>
      <c r="J96" s="248">
        <v>51575</v>
      </c>
    </row>
    <row r="97" spans="2:10" s="69" customFormat="1" ht="15.75" customHeight="1" thickBot="1" x14ac:dyDescent="0.3">
      <c r="B97" s="82">
        <v>4</v>
      </c>
      <c r="C97" s="183" t="s">
        <v>22</v>
      </c>
      <c r="D97" s="184"/>
      <c r="E97" s="87">
        <f t="shared" si="7"/>
        <v>0</v>
      </c>
      <c r="F97" s="184"/>
      <c r="G97" s="184"/>
      <c r="H97" s="83">
        <f>SUM(G98:G100)</f>
        <v>4239628.1628</v>
      </c>
      <c r="J97" s="247"/>
    </row>
    <row r="98" spans="2:10" s="56" customFormat="1" ht="28.5" x14ac:dyDescent="0.25">
      <c r="B98" s="76">
        <v>4.2</v>
      </c>
      <c r="C98" s="77" t="s">
        <v>46</v>
      </c>
      <c r="D98" s="78" t="s">
        <v>12</v>
      </c>
      <c r="E98" s="87">
        <f t="shared" si="7"/>
        <v>12111.111000000001</v>
      </c>
      <c r="F98" s="88">
        <v>99</v>
      </c>
      <c r="G98" s="87">
        <f>+E98*F98</f>
        <v>1198999.9890000001</v>
      </c>
      <c r="H98" s="89"/>
      <c r="J98" s="248">
        <v>12450</v>
      </c>
    </row>
    <row r="99" spans="2:10" s="56" customFormat="1" ht="42.75" x14ac:dyDescent="0.25">
      <c r="B99" s="76">
        <v>4.3</v>
      </c>
      <c r="C99" s="77" t="s">
        <v>47</v>
      </c>
      <c r="D99" s="78" t="s">
        <v>12</v>
      </c>
      <c r="E99" s="87">
        <f t="shared" si="7"/>
        <v>22821.418799999999</v>
      </c>
      <c r="F99" s="80">
        <v>70</v>
      </c>
      <c r="G99" s="79">
        <f>+E99*F99</f>
        <v>1597499.3159999999</v>
      </c>
      <c r="H99" s="81"/>
      <c r="J99" s="248">
        <v>23460</v>
      </c>
    </row>
    <row r="100" spans="2:10" s="56" customFormat="1" ht="72" thickBot="1" x14ac:dyDescent="0.3">
      <c r="B100" s="96">
        <v>4.4000000000000004</v>
      </c>
      <c r="C100" s="97" t="s">
        <v>48</v>
      </c>
      <c r="D100" s="100" t="s">
        <v>24</v>
      </c>
      <c r="E100" s="87">
        <f t="shared" si="7"/>
        <v>20616.126540000001</v>
      </c>
      <c r="F100" s="100">
        <v>70</v>
      </c>
      <c r="G100" s="99">
        <f>+E100*F100</f>
        <v>1443128.8578000001</v>
      </c>
      <c r="H100" s="101"/>
      <c r="J100" s="248">
        <v>21193</v>
      </c>
    </row>
    <row r="101" spans="2:10" s="69" customFormat="1" ht="15.75" customHeight="1" thickBot="1" x14ac:dyDescent="0.3">
      <c r="B101" s="82">
        <v>5</v>
      </c>
      <c r="C101" s="183" t="s">
        <v>25</v>
      </c>
      <c r="D101" s="184"/>
      <c r="E101" s="87">
        <f t="shared" si="7"/>
        <v>0</v>
      </c>
      <c r="F101" s="184"/>
      <c r="G101" s="184"/>
      <c r="H101" s="83">
        <f>SUM(G102)</f>
        <v>42554.066544000001</v>
      </c>
      <c r="J101" s="247"/>
    </row>
    <row r="102" spans="2:10" s="56" customFormat="1" ht="43.5" thickBot="1" x14ac:dyDescent="0.3">
      <c r="B102" s="96">
        <v>5.0999999999999996</v>
      </c>
      <c r="C102" s="97" t="s">
        <v>26</v>
      </c>
      <c r="D102" s="98" t="s">
        <v>12</v>
      </c>
      <c r="E102" s="87">
        <f t="shared" si="7"/>
        <v>19342.757519999999</v>
      </c>
      <c r="F102" s="100">
        <v>2.2000000000000002</v>
      </c>
      <c r="G102" s="99">
        <f>+E102*F102</f>
        <v>42554.066544000001</v>
      </c>
      <c r="H102" s="101"/>
      <c r="J102" s="248">
        <v>19884</v>
      </c>
    </row>
    <row r="103" spans="2:10" s="69" customFormat="1" ht="15.75" customHeight="1" thickBot="1" x14ac:dyDescent="0.3">
      <c r="B103" s="67">
        <v>6</v>
      </c>
      <c r="C103" s="195" t="s">
        <v>64</v>
      </c>
      <c r="D103" s="196"/>
      <c r="E103" s="87">
        <f t="shared" si="7"/>
        <v>0</v>
      </c>
      <c r="F103" s="196"/>
      <c r="G103" s="196"/>
      <c r="H103" s="68">
        <f>SUM(G104:G104)</f>
        <v>131304.87161999999</v>
      </c>
      <c r="J103" s="247"/>
    </row>
    <row r="104" spans="2:10" s="56" customFormat="1" ht="15.75" thickBot="1" x14ac:dyDescent="0.3">
      <c r="B104" s="70">
        <v>6.4</v>
      </c>
      <c r="C104" s="125" t="s">
        <v>65</v>
      </c>
      <c r="D104" s="72" t="s">
        <v>12</v>
      </c>
      <c r="E104" s="87">
        <f t="shared" si="7"/>
        <v>43768.290540000002</v>
      </c>
      <c r="F104" s="74">
        <v>3</v>
      </c>
      <c r="G104" s="73">
        <f>+E104*F104</f>
        <v>131304.87161999999</v>
      </c>
      <c r="H104" s="75"/>
      <c r="J104" s="248">
        <v>44993</v>
      </c>
    </row>
    <row r="105" spans="2:10" s="69" customFormat="1" ht="15.75" customHeight="1" thickBot="1" x14ac:dyDescent="0.3">
      <c r="B105" s="82">
        <v>10</v>
      </c>
      <c r="C105" s="183" t="s">
        <v>52</v>
      </c>
      <c r="D105" s="184"/>
      <c r="E105" s="87">
        <f t="shared" si="7"/>
        <v>0</v>
      </c>
      <c r="F105" s="184"/>
      <c r="G105" s="184"/>
      <c r="H105" s="83">
        <f>SUM(G106)</f>
        <v>1975496.720832</v>
      </c>
      <c r="J105" s="247"/>
    </row>
    <row r="106" spans="2:10" s="56" customFormat="1" ht="29.25" thickBot="1" x14ac:dyDescent="0.3">
      <c r="B106" s="96">
        <v>10.3</v>
      </c>
      <c r="C106" s="77" t="s">
        <v>62</v>
      </c>
      <c r="D106" s="78" t="s">
        <v>12</v>
      </c>
      <c r="E106" s="87">
        <f t="shared" si="7"/>
        <v>548749.08912000002</v>
      </c>
      <c r="F106" s="100">
        <v>3.6</v>
      </c>
      <c r="G106" s="99">
        <f>+E106*F106</f>
        <v>1975496.720832</v>
      </c>
      <c r="H106" s="101"/>
      <c r="J106" s="248">
        <v>564104</v>
      </c>
    </row>
    <row r="107" spans="2:10" ht="15.75" customHeight="1" thickBot="1" x14ac:dyDescent="0.3">
      <c r="B107" s="161" t="s">
        <v>27</v>
      </c>
      <c r="C107" s="162"/>
      <c r="D107" s="162"/>
      <c r="E107" s="162"/>
      <c r="F107" s="162"/>
      <c r="G107" s="185"/>
      <c r="H107" s="102">
        <f>SUM(H44:H106)</f>
        <v>29262919.597592648</v>
      </c>
    </row>
    <row r="108" spans="2:10" ht="15" customHeight="1" x14ac:dyDescent="0.25">
      <c r="B108" s="186" t="s">
        <v>28</v>
      </c>
      <c r="C108" s="187"/>
      <c r="D108" s="188" t="s">
        <v>29</v>
      </c>
      <c r="E108" s="189"/>
      <c r="F108" s="190">
        <v>0.27200000000000002</v>
      </c>
      <c r="G108" s="191"/>
      <c r="H108" s="103">
        <f>+H107*F108</f>
        <v>7959514.1305452008</v>
      </c>
    </row>
    <row r="109" spans="2:10" ht="15" customHeight="1" x14ac:dyDescent="0.25">
      <c r="B109" s="171" t="s">
        <v>30</v>
      </c>
      <c r="C109" s="172"/>
      <c r="D109" s="173" t="s">
        <v>31</v>
      </c>
      <c r="E109" s="174"/>
      <c r="F109" s="175">
        <v>0.01</v>
      </c>
      <c r="G109" s="176"/>
      <c r="H109" s="104">
        <f>+H107*F109</f>
        <v>292629.19597592647</v>
      </c>
    </row>
    <row r="110" spans="2:10" ht="15" customHeight="1" x14ac:dyDescent="0.25">
      <c r="B110" s="171" t="s">
        <v>32</v>
      </c>
      <c r="C110" s="172"/>
      <c r="D110" s="173" t="s">
        <v>33</v>
      </c>
      <c r="E110" s="174"/>
      <c r="F110" s="175">
        <v>0.04</v>
      </c>
      <c r="G110" s="176"/>
      <c r="H110" s="104">
        <f>+H107*F110</f>
        <v>1170516.7839037059</v>
      </c>
    </row>
    <row r="111" spans="2:10" ht="15.75" customHeight="1" thickBot="1" x14ac:dyDescent="0.3">
      <c r="B111" s="177" t="s">
        <v>34</v>
      </c>
      <c r="C111" s="178"/>
      <c r="D111" s="179" t="s">
        <v>35</v>
      </c>
      <c r="E111" s="180"/>
      <c r="F111" s="181">
        <v>0.19</v>
      </c>
      <c r="G111" s="182"/>
      <c r="H111" s="105">
        <f>+H110*F111</f>
        <v>222398.18894170411</v>
      </c>
    </row>
    <row r="112" spans="2:10" ht="15.75" customHeight="1" thickBot="1" x14ac:dyDescent="0.3">
      <c r="B112" s="161" t="s">
        <v>36</v>
      </c>
      <c r="C112" s="162"/>
      <c r="D112" s="162"/>
      <c r="E112" s="162"/>
      <c r="F112" s="162"/>
      <c r="G112" s="162"/>
      <c r="H112" s="106">
        <f>SUM(H108:H111)</f>
        <v>9645058.2993665375</v>
      </c>
    </row>
    <row r="113" spans="2:10" ht="15.75" customHeight="1" thickBot="1" x14ac:dyDescent="0.3">
      <c r="B113" s="161" t="s">
        <v>37</v>
      </c>
      <c r="C113" s="162"/>
      <c r="D113" s="162"/>
      <c r="E113" s="162"/>
      <c r="F113" s="162"/>
      <c r="G113" s="162"/>
      <c r="H113" s="106">
        <f>+H107+H112</f>
        <v>38907977.896959186</v>
      </c>
    </row>
    <row r="114" spans="2:10" ht="15.75" thickBot="1" x14ac:dyDescent="0.3"/>
    <row r="115" spans="2:10" ht="38.25" customHeight="1" thickBot="1" x14ac:dyDescent="0.3">
      <c r="B115" s="192" t="s">
        <v>66</v>
      </c>
      <c r="C115" s="193"/>
      <c r="D115" s="193"/>
      <c r="E115" s="193"/>
      <c r="F115" s="193"/>
      <c r="G115" s="193"/>
      <c r="H115" s="194"/>
    </row>
    <row r="116" spans="2:10" ht="15.75" thickBot="1" x14ac:dyDescent="0.3">
      <c r="B116" s="61" t="s">
        <v>3</v>
      </c>
      <c r="C116" s="62" t="s">
        <v>4</v>
      </c>
      <c r="D116" s="63" t="s">
        <v>5</v>
      </c>
      <c r="E116" s="64" t="s">
        <v>6</v>
      </c>
      <c r="F116" s="65" t="s">
        <v>7</v>
      </c>
      <c r="G116" s="64" t="s">
        <v>8</v>
      </c>
      <c r="H116" s="66" t="s">
        <v>9</v>
      </c>
    </row>
    <row r="117" spans="2:10" s="69" customFormat="1" ht="15.75" customHeight="1" thickBot="1" x14ac:dyDescent="0.3">
      <c r="B117" s="82">
        <v>3</v>
      </c>
      <c r="C117" s="183" t="s">
        <v>20</v>
      </c>
      <c r="D117" s="184"/>
      <c r="E117" s="184"/>
      <c r="F117" s="184"/>
      <c r="G117" s="184"/>
      <c r="H117" s="83">
        <f>SUM(G118:G120)</f>
        <v>29264524.015320003</v>
      </c>
      <c r="J117" s="247"/>
    </row>
    <row r="118" spans="2:10" s="56" customFormat="1" ht="167.45" customHeight="1" x14ac:dyDescent="0.25">
      <c r="B118" s="115">
        <v>3.1</v>
      </c>
      <c r="C118" s="116" t="s">
        <v>45</v>
      </c>
      <c r="D118" s="117" t="s">
        <v>41</v>
      </c>
      <c r="E118" s="87">
        <f>J118-(2.722%*J118)</f>
        <v>50171.128499999999</v>
      </c>
      <c r="F118" s="88">
        <v>384</v>
      </c>
      <c r="G118" s="87">
        <f>+E118*F118</f>
        <v>19265713.344000001</v>
      </c>
      <c r="H118" s="89"/>
      <c r="J118" s="248">
        <v>51575</v>
      </c>
    </row>
    <row r="119" spans="2:10" s="56" customFormat="1" ht="130.9" customHeight="1" x14ac:dyDescent="0.25">
      <c r="B119" s="115">
        <v>3.2</v>
      </c>
      <c r="C119" s="116" t="s">
        <v>67</v>
      </c>
      <c r="D119" s="117" t="s">
        <v>41</v>
      </c>
      <c r="E119" s="87">
        <f t="shared" ref="E119:E120" si="8">J119-(2.722%*J119)</f>
        <v>67428.245699999999</v>
      </c>
      <c r="F119" s="88">
        <v>38</v>
      </c>
      <c r="G119" s="87">
        <f>+E119*F119</f>
        <v>2562273.3366</v>
      </c>
      <c r="H119" s="89"/>
      <c r="J119" s="248">
        <v>69315</v>
      </c>
    </row>
    <row r="120" spans="2:10" s="56" customFormat="1" ht="129" customHeight="1" thickBot="1" x14ac:dyDescent="0.3">
      <c r="B120" s="129">
        <v>3.3</v>
      </c>
      <c r="C120" s="130" t="s">
        <v>21</v>
      </c>
      <c r="D120" s="131" t="s">
        <v>12</v>
      </c>
      <c r="E120" s="87">
        <f t="shared" si="8"/>
        <v>143010.33335999999</v>
      </c>
      <c r="F120" s="133">
        <v>52</v>
      </c>
      <c r="G120" s="132">
        <f>+E120*F120</f>
        <v>7436537.3347199997</v>
      </c>
      <c r="H120" s="134"/>
      <c r="J120" s="248">
        <v>147012</v>
      </c>
    </row>
    <row r="121" spans="2:10" ht="15.75" customHeight="1" thickBot="1" x14ac:dyDescent="0.3">
      <c r="B121" s="161" t="s">
        <v>27</v>
      </c>
      <c r="C121" s="162"/>
      <c r="D121" s="162"/>
      <c r="E121" s="162"/>
      <c r="F121" s="162"/>
      <c r="G121" s="185"/>
      <c r="H121" s="102">
        <f>SUM(H117:H120)</f>
        <v>29264524.015320003</v>
      </c>
    </row>
    <row r="122" spans="2:10" ht="15" customHeight="1" x14ac:dyDescent="0.25">
      <c r="B122" s="186" t="s">
        <v>28</v>
      </c>
      <c r="C122" s="187"/>
      <c r="D122" s="188" t="s">
        <v>29</v>
      </c>
      <c r="E122" s="189"/>
      <c r="F122" s="190">
        <v>0.27200000000000002</v>
      </c>
      <c r="G122" s="191"/>
      <c r="H122" s="103">
        <f>+H121*F122</f>
        <v>7959950.5321670417</v>
      </c>
    </row>
    <row r="123" spans="2:10" ht="15" customHeight="1" x14ac:dyDescent="0.25">
      <c r="B123" s="171" t="s">
        <v>30</v>
      </c>
      <c r="C123" s="172"/>
      <c r="D123" s="173" t="s">
        <v>31</v>
      </c>
      <c r="E123" s="174"/>
      <c r="F123" s="175">
        <v>0.01</v>
      </c>
      <c r="G123" s="176"/>
      <c r="H123" s="104">
        <f>+H121*F123</f>
        <v>292645.24015320005</v>
      </c>
    </row>
    <row r="124" spans="2:10" ht="15" customHeight="1" x14ac:dyDescent="0.25">
      <c r="B124" s="171" t="s">
        <v>32</v>
      </c>
      <c r="C124" s="172"/>
      <c r="D124" s="173" t="s">
        <v>33</v>
      </c>
      <c r="E124" s="174"/>
      <c r="F124" s="175">
        <v>0.04</v>
      </c>
      <c r="G124" s="176"/>
      <c r="H124" s="104">
        <f>+H121*F124</f>
        <v>1170580.9606128002</v>
      </c>
    </row>
    <row r="125" spans="2:10" ht="15.75" customHeight="1" thickBot="1" x14ac:dyDescent="0.3">
      <c r="B125" s="177" t="s">
        <v>34</v>
      </c>
      <c r="C125" s="178"/>
      <c r="D125" s="179" t="s">
        <v>35</v>
      </c>
      <c r="E125" s="180"/>
      <c r="F125" s="181">
        <v>0.19</v>
      </c>
      <c r="G125" s="182"/>
      <c r="H125" s="105">
        <f>+H124*F125</f>
        <v>222410.38251643203</v>
      </c>
    </row>
    <row r="126" spans="2:10" ht="15.75" customHeight="1" thickBot="1" x14ac:dyDescent="0.3">
      <c r="B126" s="161" t="s">
        <v>36</v>
      </c>
      <c r="C126" s="162"/>
      <c r="D126" s="162"/>
      <c r="E126" s="162"/>
      <c r="F126" s="162"/>
      <c r="G126" s="162"/>
      <c r="H126" s="106">
        <f>SUM(H122:H125)</f>
        <v>9645587.1154494751</v>
      </c>
    </row>
    <row r="127" spans="2:10" ht="15.75" customHeight="1" thickBot="1" x14ac:dyDescent="0.3">
      <c r="B127" s="161" t="s">
        <v>37</v>
      </c>
      <c r="C127" s="162"/>
      <c r="D127" s="162"/>
      <c r="E127" s="162"/>
      <c r="F127" s="162"/>
      <c r="G127" s="162"/>
      <c r="H127" s="106">
        <f>+H121+H126</f>
        <v>38910111.130769476</v>
      </c>
    </row>
    <row r="129" spans="2:9" s="246" customFormat="1" ht="15.75" thickBot="1" x14ac:dyDescent="0.3">
      <c r="B129" s="56"/>
      <c r="C129" s="57"/>
      <c r="D129" s="56"/>
      <c r="E129" s="56"/>
      <c r="F129" s="56"/>
      <c r="G129" s="57"/>
      <c r="H129" s="57"/>
      <c r="I129"/>
    </row>
    <row r="130" spans="2:9" s="246" customFormat="1" ht="60.75" customHeight="1" thickBot="1" x14ac:dyDescent="0.3">
      <c r="B130" s="56"/>
      <c r="C130" s="163" t="s">
        <v>68</v>
      </c>
      <c r="D130" s="164"/>
      <c r="E130" s="135" t="s">
        <v>89</v>
      </c>
      <c r="F130" s="136" t="s">
        <v>69</v>
      </c>
      <c r="G130" s="137"/>
      <c r="H130"/>
      <c r="I130"/>
    </row>
    <row r="131" spans="2:9" s="246" customFormat="1" ht="35.25" customHeight="1" x14ac:dyDescent="0.25">
      <c r="B131" s="56"/>
      <c r="C131" s="165" t="s">
        <v>70</v>
      </c>
      <c r="D131" s="166"/>
      <c r="E131" s="138">
        <v>30000000</v>
      </c>
      <c r="F131" s="139">
        <f>+H37</f>
        <v>29181038.565888334</v>
      </c>
      <c r="G131" s="140"/>
      <c r="H131"/>
      <c r="I131"/>
    </row>
    <row r="132" spans="2:9" s="246" customFormat="1" ht="51.75" customHeight="1" x14ac:dyDescent="0.25">
      <c r="B132" s="56"/>
      <c r="C132" s="167" t="s">
        <v>71</v>
      </c>
      <c r="D132" s="168"/>
      <c r="E132" s="141">
        <v>40000000</v>
      </c>
      <c r="F132" s="142">
        <f>+H113</f>
        <v>38907977.896959186</v>
      </c>
      <c r="G132" s="140"/>
      <c r="H132"/>
      <c r="I132"/>
    </row>
    <row r="133" spans="2:9" s="246" customFormat="1" ht="51.75" customHeight="1" thickBot="1" x14ac:dyDescent="0.3">
      <c r="B133" s="56"/>
      <c r="C133" s="169" t="s">
        <v>72</v>
      </c>
      <c r="D133" s="170"/>
      <c r="E133" s="143">
        <v>40000000</v>
      </c>
      <c r="F133" s="144">
        <f>+H127</f>
        <v>38910111.130769476</v>
      </c>
      <c r="G133" s="140"/>
      <c r="H133"/>
      <c r="I133"/>
    </row>
    <row r="134" spans="2:9" s="246" customFormat="1" x14ac:dyDescent="0.25">
      <c r="B134" s="56"/>
      <c r="C134" s="154"/>
      <c r="D134" s="154"/>
      <c r="E134" s="145"/>
      <c r="F134" s="140"/>
      <c r="G134" s="140"/>
      <c r="H134"/>
      <c r="I134"/>
    </row>
    <row r="135" spans="2:9" s="246" customFormat="1" ht="15.75" thickBot="1" x14ac:dyDescent="0.3">
      <c r="B135" s="56"/>
      <c r="C135"/>
      <c r="D135"/>
      <c r="E135"/>
      <c r="F135" s="146"/>
      <c r="G135"/>
      <c r="H135"/>
      <c r="I135"/>
    </row>
    <row r="136" spans="2:9" s="246" customFormat="1" ht="75.75" thickBot="1" x14ac:dyDescent="0.3">
      <c r="B136" s="56"/>
      <c r="C136" s="155" t="s">
        <v>73</v>
      </c>
      <c r="D136" s="156"/>
      <c r="E136" s="147" t="s">
        <v>90</v>
      </c>
      <c r="F136" s="148" t="s">
        <v>74</v>
      </c>
      <c r="G136"/>
      <c r="H136"/>
      <c r="I136"/>
    </row>
    <row r="137" spans="2:9" s="246" customFormat="1" ht="15.75" customHeight="1" thickBot="1" x14ac:dyDescent="0.3">
      <c r="B137" s="56"/>
      <c r="C137" s="157"/>
      <c r="D137" s="158"/>
      <c r="E137" s="149">
        <v>110000000</v>
      </c>
      <c r="F137" s="150">
        <f>+F131+F132+F133</f>
        <v>106999127.59361699</v>
      </c>
      <c r="G137"/>
      <c r="H137"/>
      <c r="I137"/>
    </row>
    <row r="138" spans="2:9" s="246" customFormat="1" ht="44.45" customHeight="1" x14ac:dyDescent="0.25">
      <c r="B138" s="56"/>
      <c r="C138"/>
      <c r="D138"/>
      <c r="E138"/>
      <c r="F138" s="146"/>
      <c r="G138"/>
      <c r="H138"/>
      <c r="I138"/>
    </row>
    <row r="139" spans="2:9" s="246" customFormat="1" x14ac:dyDescent="0.25">
      <c r="B139" s="56"/>
      <c r="C139" s="159"/>
      <c r="D139" s="159"/>
      <c r="E139" s="159"/>
      <c r="F139" s="159"/>
      <c r="G139" s="159"/>
      <c r="H139" s="159"/>
      <c r="I139" s="159"/>
    </row>
    <row r="140" spans="2:9" s="246" customFormat="1" ht="39" customHeight="1" x14ac:dyDescent="0.25">
      <c r="B140" s="56"/>
      <c r="C140" s="160" t="s">
        <v>91</v>
      </c>
      <c r="D140" s="160"/>
      <c r="E140" s="160"/>
      <c r="F140" s="160"/>
      <c r="G140" s="160"/>
      <c r="H140" s="160"/>
      <c r="I140" s="160"/>
    </row>
    <row r="141" spans="2:9" s="246" customFormat="1" x14ac:dyDescent="0.25">
      <c r="B141" s="56"/>
      <c r="C141"/>
      <c r="D141"/>
      <c r="E141"/>
      <c r="F141"/>
      <c r="G141"/>
      <c r="H141"/>
      <c r="I141"/>
    </row>
    <row r="142" spans="2:9" s="246" customFormat="1" ht="15" customHeight="1" x14ac:dyDescent="0.25">
      <c r="B142" s="56"/>
      <c r="C142" s="154" t="s">
        <v>92</v>
      </c>
      <c r="D142" s="154"/>
      <c r="E142" s="154"/>
      <c r="F142" s="154"/>
      <c r="G142" s="154"/>
      <c r="H142" s="154"/>
      <c r="I142"/>
    </row>
    <row r="143" spans="2:9" s="246" customFormat="1" x14ac:dyDescent="0.25">
      <c r="B143" s="56"/>
      <c r="C143" s="153"/>
      <c r="D143" s="153"/>
      <c r="E143" s="153"/>
      <c r="F143" s="153"/>
      <c r="G143" s="153"/>
      <c r="H143" s="153"/>
      <c r="I143"/>
    </row>
    <row r="144" spans="2:9" s="246" customFormat="1" x14ac:dyDescent="0.25">
      <c r="B144" s="56"/>
      <c r="C144" s="153"/>
      <c r="D144" s="153"/>
      <c r="E144" s="153"/>
      <c r="F144" s="153"/>
      <c r="G144" s="153"/>
      <c r="H144" s="153"/>
      <c r="I144"/>
    </row>
    <row r="145" spans="3:8" ht="48.75" customHeight="1" x14ac:dyDescent="0.25">
      <c r="C145" s="153" t="s">
        <v>97</v>
      </c>
      <c r="D145" s="153"/>
      <c r="E145" s="153"/>
      <c r="F145" s="153"/>
      <c r="G145" s="153"/>
      <c r="H145" s="153"/>
    </row>
    <row r="146" spans="3:8" x14ac:dyDescent="0.25">
      <c r="C146" s="153"/>
      <c r="D146" s="153"/>
      <c r="E146" s="153"/>
      <c r="F146" s="153"/>
      <c r="G146" s="153"/>
      <c r="H146" s="153"/>
    </row>
    <row r="147" spans="3:8" ht="39.75" customHeight="1" x14ac:dyDescent="0.25">
      <c r="C147" s="153"/>
      <c r="D147" s="153"/>
      <c r="E147" s="153"/>
      <c r="F147" s="153"/>
      <c r="G147" s="153"/>
      <c r="H147" s="153"/>
    </row>
  </sheetData>
  <pageMargins left="0.7" right="0.7" top="0.75" bottom="0.75" header="0.3" footer="0.3"/>
  <pageSetup paperSize="9" scale="48" orientation="portrait" r:id="rId1"/>
  <rowBreaks count="1" manualBreakCount="1">
    <brk id="59" min="1"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27077-2440-4D71-9B8C-5EB7FB5BA5E9}">
  <dimension ref="B1:I147"/>
  <sheetViews>
    <sheetView topLeftCell="A14" zoomScale="70" zoomScaleNormal="70" workbookViewId="0"/>
  </sheetViews>
  <sheetFormatPr baseColWidth="10" defaultColWidth="11.42578125" defaultRowHeight="15" x14ac:dyDescent="0.25"/>
  <cols>
    <col min="2" max="2" width="12" style="56" bestFit="1" customWidth="1"/>
    <col min="3" max="3" width="51.85546875" style="57" bestFit="1" customWidth="1"/>
    <col min="4" max="4" width="6.7109375" style="56" bestFit="1" customWidth="1"/>
    <col min="5" max="5" width="33.42578125" style="56" customWidth="1"/>
    <col min="6" max="6" width="27.42578125" style="56" customWidth="1"/>
    <col min="7" max="7" width="23.42578125" style="57" bestFit="1" customWidth="1"/>
    <col min="8" max="8" width="40.5703125" style="57" bestFit="1" customWidth="1"/>
  </cols>
  <sheetData>
    <row r="1" spans="2:8" ht="15.75" thickBot="1" x14ac:dyDescent="0.3"/>
    <row r="2" spans="2:8" x14ac:dyDescent="0.25">
      <c r="B2" s="218" t="s">
        <v>77</v>
      </c>
      <c r="C2" s="219"/>
      <c r="D2" s="219"/>
      <c r="E2" s="219"/>
      <c r="F2" s="219"/>
      <c r="G2" s="219"/>
      <c r="H2" s="220"/>
    </row>
    <row r="3" spans="2:8" x14ac:dyDescent="0.25">
      <c r="B3" s="221" t="s">
        <v>78</v>
      </c>
      <c r="C3" s="222"/>
      <c r="D3" s="222"/>
      <c r="E3" s="222"/>
      <c r="F3" s="222"/>
      <c r="G3" s="222"/>
      <c r="H3" s="223"/>
    </row>
    <row r="4" spans="2:8" ht="42.75" customHeight="1" thickBot="1" x14ac:dyDescent="0.3">
      <c r="B4" s="221" t="s">
        <v>79</v>
      </c>
      <c r="C4" s="222"/>
      <c r="D4" s="222"/>
      <c r="E4" s="222"/>
      <c r="F4" s="222"/>
      <c r="G4" s="222"/>
      <c r="H4" s="223"/>
    </row>
    <row r="5" spans="2:8" ht="15" customHeight="1" x14ac:dyDescent="0.25">
      <c r="B5" s="224" t="s">
        <v>0</v>
      </c>
      <c r="C5" s="226" t="s">
        <v>1</v>
      </c>
      <c r="D5" s="226"/>
      <c r="E5" s="226"/>
      <c r="F5" s="226"/>
      <c r="G5" s="226"/>
      <c r="H5" s="227"/>
    </row>
    <row r="6" spans="2:8" ht="84.75" customHeight="1" thickBot="1" x14ac:dyDescent="0.3">
      <c r="B6" s="225"/>
      <c r="C6" s="228"/>
      <c r="D6" s="228"/>
      <c r="E6" s="228"/>
      <c r="F6" s="228"/>
      <c r="G6" s="228"/>
      <c r="H6" s="229"/>
    </row>
    <row r="7" spans="2:8" x14ac:dyDescent="0.25">
      <c r="B7" s="58" t="s">
        <v>80</v>
      </c>
      <c r="C7" s="230"/>
      <c r="D7" s="230"/>
      <c r="E7" s="230"/>
      <c r="F7" s="230"/>
      <c r="G7" s="59"/>
      <c r="H7" s="60"/>
    </row>
    <row r="8" spans="2:8" x14ac:dyDescent="0.25">
      <c r="B8" s="206" t="s">
        <v>81</v>
      </c>
      <c r="C8" s="207"/>
      <c r="D8" s="207"/>
      <c r="E8" s="207"/>
      <c r="F8" s="207"/>
      <c r="G8" s="207"/>
      <c r="H8" s="208"/>
    </row>
    <row r="9" spans="2:8" x14ac:dyDescent="0.25">
      <c r="B9" s="206" t="s">
        <v>82</v>
      </c>
      <c r="C9" s="207"/>
      <c r="D9" s="207"/>
      <c r="E9" s="207"/>
      <c r="F9" s="207"/>
      <c r="G9" s="207"/>
      <c r="H9" s="208"/>
    </row>
    <row r="10" spans="2:8" x14ac:dyDescent="0.25">
      <c r="B10" s="206" t="s">
        <v>83</v>
      </c>
      <c r="C10" s="207"/>
      <c r="D10" s="207"/>
      <c r="E10" s="207"/>
      <c r="F10" s="207"/>
      <c r="G10" s="207"/>
      <c r="H10" s="208"/>
    </row>
    <row r="11" spans="2:8" ht="34.5" customHeight="1" thickBot="1" x14ac:dyDescent="0.3">
      <c r="B11" s="209" t="s">
        <v>84</v>
      </c>
      <c r="C11" s="210"/>
      <c r="D11" s="210"/>
      <c r="E11" s="210"/>
      <c r="F11" s="210"/>
      <c r="G11" s="210"/>
      <c r="H11" s="211"/>
    </row>
    <row r="12" spans="2:8" ht="19.5" customHeight="1" thickBot="1" x14ac:dyDescent="0.3">
      <c r="B12" s="212" t="s">
        <v>85</v>
      </c>
      <c r="C12" s="213"/>
      <c r="D12" s="213"/>
      <c r="E12" s="213"/>
      <c r="F12" s="213"/>
      <c r="G12" s="213"/>
      <c r="H12" s="214"/>
    </row>
    <row r="13" spans="2:8" ht="72.75" customHeight="1" thickBot="1" x14ac:dyDescent="0.3">
      <c r="B13" s="215" t="s">
        <v>86</v>
      </c>
      <c r="C13" s="216"/>
      <c r="D13" s="216"/>
      <c r="E13" s="216"/>
      <c r="F13" s="216"/>
      <c r="G13" s="216"/>
      <c r="H13" s="217"/>
    </row>
    <row r="14" spans="2:8" ht="15.75" thickBot="1" x14ac:dyDescent="0.3">
      <c r="D14" s="57"/>
      <c r="F14" s="57"/>
    </row>
    <row r="15" spans="2:8" ht="18.75" customHeight="1" thickBot="1" x14ac:dyDescent="0.3">
      <c r="B15" s="192" t="s">
        <v>87</v>
      </c>
      <c r="C15" s="193"/>
      <c r="D15" s="193"/>
      <c r="E15" s="193"/>
      <c r="F15" s="193"/>
      <c r="G15" s="193"/>
      <c r="H15" s="194"/>
    </row>
    <row r="16" spans="2:8" ht="18.75" customHeight="1" thickBot="1" x14ac:dyDescent="0.3">
      <c r="B16" s="192" t="s">
        <v>2</v>
      </c>
      <c r="C16" s="193"/>
      <c r="D16" s="193"/>
      <c r="E16" s="193"/>
      <c r="F16" s="193"/>
      <c r="G16" s="193"/>
      <c r="H16" s="194"/>
    </row>
    <row r="17" spans="2:8" ht="15.75" thickBot="1" x14ac:dyDescent="0.3">
      <c r="B17" s="61" t="s">
        <v>3</v>
      </c>
      <c r="C17" s="62" t="s">
        <v>4</v>
      </c>
      <c r="D17" s="63" t="s">
        <v>5</v>
      </c>
      <c r="E17" s="64" t="s">
        <v>6</v>
      </c>
      <c r="F17" s="65" t="s">
        <v>7</v>
      </c>
      <c r="G17" s="64" t="s">
        <v>8</v>
      </c>
      <c r="H17" s="66" t="s">
        <v>9</v>
      </c>
    </row>
    <row r="18" spans="2:8" s="69" customFormat="1" ht="15.75" customHeight="1" thickBot="1" x14ac:dyDescent="0.3">
      <c r="B18" s="67">
        <v>1</v>
      </c>
      <c r="C18" s="195" t="s">
        <v>10</v>
      </c>
      <c r="D18" s="196"/>
      <c r="E18" s="196"/>
      <c r="F18" s="196"/>
      <c r="G18" s="196"/>
      <c r="H18" s="68">
        <f>SUM(G19:G24)</f>
        <v>1836344</v>
      </c>
    </row>
    <row r="19" spans="2:8" s="56" customFormat="1" ht="48" customHeight="1" x14ac:dyDescent="0.25">
      <c r="B19" s="70">
        <v>1.1000000000000001</v>
      </c>
      <c r="C19" s="71" t="s">
        <v>11</v>
      </c>
      <c r="D19" s="72" t="s">
        <v>12</v>
      </c>
      <c r="E19" s="73">
        <v>13747</v>
      </c>
      <c r="F19" s="74">
        <v>84</v>
      </c>
      <c r="G19" s="73">
        <f>+E19*F19</f>
        <v>1154748</v>
      </c>
      <c r="H19" s="75"/>
    </row>
    <row r="20" spans="2:8" s="56" customFormat="1" ht="39.6" customHeight="1" x14ac:dyDescent="0.25">
      <c r="B20" s="76">
        <v>1.2</v>
      </c>
      <c r="C20" s="77" t="s">
        <v>13</v>
      </c>
      <c r="D20" s="78" t="s">
        <v>14</v>
      </c>
      <c r="E20" s="79">
        <v>11557</v>
      </c>
      <c r="F20" s="80">
        <v>14</v>
      </c>
      <c r="G20" s="79">
        <f t="shared" ref="G20:G24" si="0">+E20*F20</f>
        <v>161798</v>
      </c>
      <c r="H20" s="81"/>
    </row>
    <row r="21" spans="2:8" s="56" customFormat="1" ht="44.45" customHeight="1" x14ac:dyDescent="0.25">
      <c r="B21" s="76">
        <v>1.4</v>
      </c>
      <c r="C21" s="77" t="s">
        <v>15</v>
      </c>
      <c r="D21" s="78" t="s">
        <v>14</v>
      </c>
      <c r="E21" s="79">
        <v>15669</v>
      </c>
      <c r="F21" s="80">
        <v>14</v>
      </c>
      <c r="G21" s="79">
        <f t="shared" si="0"/>
        <v>219366</v>
      </c>
      <c r="H21" s="81"/>
    </row>
    <row r="22" spans="2:8" s="56" customFormat="1" ht="48" customHeight="1" x14ac:dyDescent="0.25">
      <c r="B22" s="76">
        <v>1.5</v>
      </c>
      <c r="C22" s="77" t="s">
        <v>16</v>
      </c>
      <c r="D22" s="78" t="s">
        <v>12</v>
      </c>
      <c r="E22" s="79">
        <v>10172</v>
      </c>
      <c r="F22" s="80">
        <v>26.25</v>
      </c>
      <c r="G22" s="79">
        <f t="shared" si="0"/>
        <v>267015</v>
      </c>
      <c r="H22" s="81"/>
    </row>
    <row r="23" spans="2:8" s="56" customFormat="1" ht="30" customHeight="1" x14ac:dyDescent="0.25">
      <c r="B23" s="76">
        <v>1.6</v>
      </c>
      <c r="C23" s="77" t="s">
        <v>17</v>
      </c>
      <c r="D23" s="78" t="s">
        <v>18</v>
      </c>
      <c r="E23" s="79">
        <v>3707</v>
      </c>
      <c r="F23" s="80">
        <v>7</v>
      </c>
      <c r="G23" s="79">
        <f t="shared" si="0"/>
        <v>25949</v>
      </c>
      <c r="H23" s="81"/>
    </row>
    <row r="24" spans="2:8" s="56" customFormat="1" ht="23.45" customHeight="1" thickBot="1" x14ac:dyDescent="0.3">
      <c r="B24" s="76">
        <v>1.7</v>
      </c>
      <c r="C24" s="77" t="s">
        <v>19</v>
      </c>
      <c r="D24" s="78" t="s">
        <v>12</v>
      </c>
      <c r="E24" s="79">
        <v>7468</v>
      </c>
      <c r="F24" s="80">
        <v>1</v>
      </c>
      <c r="G24" s="79">
        <f t="shared" si="0"/>
        <v>7468</v>
      </c>
      <c r="H24" s="81"/>
    </row>
    <row r="25" spans="2:8" s="69" customFormat="1" ht="15.75" customHeight="1" thickBot="1" x14ac:dyDescent="0.3">
      <c r="B25" s="82">
        <v>3</v>
      </c>
      <c r="C25" s="183" t="s">
        <v>20</v>
      </c>
      <c r="D25" s="184"/>
      <c r="E25" s="184"/>
      <c r="F25" s="184"/>
      <c r="G25" s="184"/>
      <c r="H25" s="83">
        <f>SUM(G26)</f>
        <v>11497675.800000001</v>
      </c>
    </row>
    <row r="26" spans="2:8" s="56" customFormat="1" ht="129" customHeight="1" thickBot="1" x14ac:dyDescent="0.3">
      <c r="B26" s="84">
        <v>3.3</v>
      </c>
      <c r="C26" s="85" t="s">
        <v>21</v>
      </c>
      <c r="D26" s="86" t="s">
        <v>12</v>
      </c>
      <c r="E26" s="118">
        <v>144807</v>
      </c>
      <c r="F26" s="88">
        <v>79.400000000000006</v>
      </c>
      <c r="G26" s="87">
        <f>+E26*F26</f>
        <v>11497675.800000001</v>
      </c>
      <c r="H26" s="89"/>
    </row>
    <row r="27" spans="2:8" s="69" customFormat="1" ht="15.75" customHeight="1" thickBot="1" x14ac:dyDescent="0.3">
      <c r="B27" s="67">
        <v>4</v>
      </c>
      <c r="C27" s="195" t="s">
        <v>22</v>
      </c>
      <c r="D27" s="196"/>
      <c r="E27" s="196"/>
      <c r="F27" s="196"/>
      <c r="G27" s="196"/>
      <c r="H27" s="68">
        <f>SUM(G28)</f>
        <v>8286040</v>
      </c>
    </row>
    <row r="28" spans="2:8" s="56" customFormat="1" ht="15.75" thickBot="1" x14ac:dyDescent="0.3">
      <c r="B28" s="90">
        <v>4.0999999999999996</v>
      </c>
      <c r="C28" s="91" t="s">
        <v>23</v>
      </c>
      <c r="D28" s="92" t="s">
        <v>24</v>
      </c>
      <c r="E28" s="93">
        <v>14140</v>
      </c>
      <c r="F28" s="94">
        <v>586</v>
      </c>
      <c r="G28" s="93">
        <f>+E28*F28</f>
        <v>8286040</v>
      </c>
      <c r="H28" s="95"/>
    </row>
    <row r="29" spans="2:8" s="69" customFormat="1" ht="15.75" customHeight="1" thickBot="1" x14ac:dyDescent="0.3">
      <c r="B29" s="82">
        <v>5</v>
      </c>
      <c r="C29" s="183" t="s">
        <v>25</v>
      </c>
      <c r="D29" s="184"/>
      <c r="E29" s="184"/>
      <c r="F29" s="184"/>
      <c r="G29" s="184"/>
      <c r="H29" s="83">
        <f>SUM(G30)</f>
        <v>300351</v>
      </c>
    </row>
    <row r="30" spans="2:8" s="56" customFormat="1" ht="54.6" customHeight="1" thickBot="1" x14ac:dyDescent="0.3">
      <c r="B30" s="96">
        <v>5.0999999999999996</v>
      </c>
      <c r="C30" s="97" t="s">
        <v>26</v>
      </c>
      <c r="D30" s="98" t="s">
        <v>12</v>
      </c>
      <c r="E30" s="99">
        <v>18890</v>
      </c>
      <c r="F30" s="100">
        <v>15.9</v>
      </c>
      <c r="G30" s="99">
        <f>+E30*F30</f>
        <v>300351</v>
      </c>
      <c r="H30" s="101"/>
    </row>
    <row r="31" spans="2:8" ht="15.75" customHeight="1" thickBot="1" x14ac:dyDescent="0.3">
      <c r="B31" s="161" t="s">
        <v>27</v>
      </c>
      <c r="C31" s="162"/>
      <c r="D31" s="162"/>
      <c r="E31" s="162"/>
      <c r="F31" s="162"/>
      <c r="G31" s="185"/>
      <c r="H31" s="102">
        <f>SUM(H18:H30)</f>
        <v>21920410.800000001</v>
      </c>
    </row>
    <row r="32" spans="2:8" ht="15" customHeight="1" x14ac:dyDescent="0.25">
      <c r="B32" s="186" t="s">
        <v>28</v>
      </c>
      <c r="C32" s="187"/>
      <c r="D32" s="188" t="s">
        <v>29</v>
      </c>
      <c r="E32" s="189"/>
      <c r="F32" s="190">
        <v>0.27200000000000002</v>
      </c>
      <c r="G32" s="191"/>
      <c r="H32" s="103">
        <f>+H31*F32</f>
        <v>5962351.7376000006</v>
      </c>
    </row>
    <row r="33" spans="2:8" ht="15" customHeight="1" x14ac:dyDescent="0.25">
      <c r="B33" s="171" t="s">
        <v>30</v>
      </c>
      <c r="C33" s="172"/>
      <c r="D33" s="173" t="s">
        <v>31</v>
      </c>
      <c r="E33" s="174"/>
      <c r="F33" s="175">
        <v>0.01</v>
      </c>
      <c r="G33" s="176"/>
      <c r="H33" s="104">
        <f>+H31*F33</f>
        <v>219204.10800000001</v>
      </c>
    </row>
    <row r="34" spans="2:8" ht="15" customHeight="1" x14ac:dyDescent="0.25">
      <c r="B34" s="171" t="s">
        <v>32</v>
      </c>
      <c r="C34" s="172"/>
      <c r="D34" s="173" t="s">
        <v>33</v>
      </c>
      <c r="E34" s="174"/>
      <c r="F34" s="175">
        <v>0.04</v>
      </c>
      <c r="G34" s="176"/>
      <c r="H34" s="104">
        <f>+H31*F34</f>
        <v>876816.43200000003</v>
      </c>
    </row>
    <row r="35" spans="2:8" ht="15.75" customHeight="1" thickBot="1" x14ac:dyDescent="0.3">
      <c r="B35" s="177" t="s">
        <v>34</v>
      </c>
      <c r="C35" s="178"/>
      <c r="D35" s="179" t="s">
        <v>35</v>
      </c>
      <c r="E35" s="180"/>
      <c r="F35" s="181">
        <v>0.19</v>
      </c>
      <c r="G35" s="182"/>
      <c r="H35" s="105">
        <f>+H34*F35</f>
        <v>166595.12208</v>
      </c>
    </row>
    <row r="36" spans="2:8" ht="15.75" customHeight="1" thickBot="1" x14ac:dyDescent="0.3">
      <c r="B36" s="161" t="s">
        <v>36</v>
      </c>
      <c r="C36" s="162"/>
      <c r="D36" s="162"/>
      <c r="E36" s="162"/>
      <c r="F36" s="162"/>
      <c r="G36" s="162"/>
      <c r="H36" s="106">
        <f>SUM(H32:H35)</f>
        <v>7224967.3996800007</v>
      </c>
    </row>
    <row r="37" spans="2:8" ht="15.75" customHeight="1" thickBot="1" x14ac:dyDescent="0.3">
      <c r="B37" s="161" t="s">
        <v>37</v>
      </c>
      <c r="C37" s="162"/>
      <c r="D37" s="162"/>
      <c r="E37" s="162"/>
      <c r="F37" s="162"/>
      <c r="G37" s="162"/>
      <c r="H37" s="106">
        <f>+H31+H36</f>
        <v>29145378.199680001</v>
      </c>
    </row>
    <row r="38" spans="2:8" x14ac:dyDescent="0.25">
      <c r="B38" s="107"/>
      <c r="C38" s="107"/>
      <c r="D38" s="107"/>
      <c r="E38" s="107"/>
      <c r="F38" s="107"/>
      <c r="G38" s="107"/>
      <c r="H38" s="108"/>
    </row>
    <row r="39" spans="2:8" x14ac:dyDescent="0.25">
      <c r="B39" s="107"/>
      <c r="C39" s="107"/>
      <c r="D39" s="107"/>
      <c r="E39" s="107"/>
      <c r="F39" s="107"/>
      <c r="G39" s="107"/>
      <c r="H39" s="108"/>
    </row>
    <row r="40" spans="2:8" ht="15.75" thickBot="1" x14ac:dyDescent="0.3">
      <c r="D40" s="57"/>
      <c r="F40" s="57"/>
    </row>
    <row r="41" spans="2:8" ht="38.25" customHeight="1" thickBot="1" x14ac:dyDescent="0.3">
      <c r="B41" s="203" t="s">
        <v>38</v>
      </c>
      <c r="C41" s="204"/>
      <c r="D41" s="204"/>
      <c r="E41" s="204"/>
      <c r="F41" s="204"/>
      <c r="G41" s="204"/>
      <c r="H41" s="205"/>
    </row>
    <row r="42" spans="2:8" ht="18.75" customHeight="1" thickBot="1" x14ac:dyDescent="0.3">
      <c r="B42" s="199" t="s">
        <v>88</v>
      </c>
      <c r="C42" s="200"/>
      <c r="D42" s="200"/>
      <c r="E42" s="200"/>
      <c r="F42" s="200"/>
      <c r="G42" s="200"/>
      <c r="H42" s="201"/>
    </row>
    <row r="43" spans="2:8" ht="15.75" thickBot="1" x14ac:dyDescent="0.3">
      <c r="B43" s="109" t="s">
        <v>3</v>
      </c>
      <c r="C43" s="110" t="s">
        <v>4</v>
      </c>
      <c r="D43" s="111" t="s">
        <v>5</v>
      </c>
      <c r="E43" s="112" t="s">
        <v>6</v>
      </c>
      <c r="F43" s="113" t="s">
        <v>7</v>
      </c>
      <c r="G43" s="112" t="s">
        <v>8</v>
      </c>
      <c r="H43" s="114" t="s">
        <v>9</v>
      </c>
    </row>
    <row r="44" spans="2:8" s="69" customFormat="1" ht="15.75" customHeight="1" thickBot="1" x14ac:dyDescent="0.3">
      <c r="B44" s="82">
        <v>1</v>
      </c>
      <c r="C44" s="183" t="s">
        <v>10</v>
      </c>
      <c r="D44" s="184"/>
      <c r="E44" s="184"/>
      <c r="F44" s="184"/>
      <c r="G44" s="184"/>
      <c r="H44" s="83">
        <f>SUM(G45:G46)</f>
        <v>384620</v>
      </c>
    </row>
    <row r="45" spans="2:8" s="56" customFormat="1" ht="31.15" customHeight="1" x14ac:dyDescent="0.25">
      <c r="B45" s="115">
        <v>1.3</v>
      </c>
      <c r="C45" s="116" t="s">
        <v>39</v>
      </c>
      <c r="D45" s="117" t="s">
        <v>12</v>
      </c>
      <c r="E45" s="87">
        <v>4760</v>
      </c>
      <c r="F45" s="88">
        <v>70</v>
      </c>
      <c r="G45" s="87">
        <f>+E45*F45</f>
        <v>333200</v>
      </c>
      <c r="H45" s="89"/>
    </row>
    <row r="46" spans="2:8" s="56" customFormat="1" ht="36.6" customHeight="1" thickBot="1" x14ac:dyDescent="0.3">
      <c r="B46" s="84">
        <v>1.8</v>
      </c>
      <c r="C46" s="85" t="s">
        <v>40</v>
      </c>
      <c r="D46" s="86" t="s">
        <v>41</v>
      </c>
      <c r="E46" s="240">
        <v>1714</v>
      </c>
      <c r="F46" s="119">
        <v>30</v>
      </c>
      <c r="G46" s="118">
        <f>+E46*F46</f>
        <v>51420</v>
      </c>
      <c r="H46" s="120"/>
    </row>
    <row r="47" spans="2:8" s="69" customFormat="1" ht="15.75" customHeight="1" thickBot="1" x14ac:dyDescent="0.3">
      <c r="B47" s="121">
        <v>2</v>
      </c>
      <c r="C47" s="197" t="s">
        <v>42</v>
      </c>
      <c r="D47" s="198"/>
      <c r="E47" s="198"/>
      <c r="F47" s="198"/>
      <c r="G47" s="198"/>
      <c r="H47" s="122">
        <f>SUM(G48)</f>
        <v>272970</v>
      </c>
    </row>
    <row r="48" spans="2:8" s="56" customFormat="1" ht="62.45" customHeight="1" thickBot="1" x14ac:dyDescent="0.3">
      <c r="B48" s="115">
        <v>2.1</v>
      </c>
      <c r="C48" s="116" t="s">
        <v>43</v>
      </c>
      <c r="D48" s="117" t="s">
        <v>44</v>
      </c>
      <c r="E48" s="87">
        <v>75825</v>
      </c>
      <c r="F48" s="88">
        <v>3.5999999999999996</v>
      </c>
      <c r="G48" s="87">
        <f>+E48*F48</f>
        <v>272970</v>
      </c>
      <c r="H48" s="89"/>
    </row>
    <row r="49" spans="2:8" s="69" customFormat="1" ht="15.75" customHeight="1" thickBot="1" x14ac:dyDescent="0.3">
      <c r="B49" s="82">
        <v>3</v>
      </c>
      <c r="C49" s="202" t="s">
        <v>20</v>
      </c>
      <c r="D49" s="184"/>
      <c r="E49" s="184"/>
      <c r="F49" s="184"/>
      <c r="G49" s="184"/>
      <c r="H49" s="83">
        <f>SUM(G50)</f>
        <v>254005</v>
      </c>
    </row>
    <row r="50" spans="2:8" s="56" customFormat="1" ht="145.15" customHeight="1" thickBot="1" x14ac:dyDescent="0.3">
      <c r="B50" s="70">
        <v>3.1</v>
      </c>
      <c r="C50" s="71" t="s">
        <v>45</v>
      </c>
      <c r="D50" s="72" t="s">
        <v>41</v>
      </c>
      <c r="E50" s="73">
        <v>50801</v>
      </c>
      <c r="F50" s="88">
        <v>5</v>
      </c>
      <c r="G50" s="87">
        <f>+E50*F50</f>
        <v>254005</v>
      </c>
      <c r="H50" s="89"/>
    </row>
    <row r="51" spans="2:8" s="69" customFormat="1" ht="15.75" customHeight="1" thickBot="1" x14ac:dyDescent="0.3">
      <c r="B51" s="82">
        <v>4</v>
      </c>
      <c r="C51" s="183" t="s">
        <v>22</v>
      </c>
      <c r="D51" s="184"/>
      <c r="E51" s="184"/>
      <c r="F51" s="184"/>
      <c r="G51" s="184"/>
      <c r="H51" s="83">
        <f>SUM(G52:G55)</f>
        <v>4297241.88</v>
      </c>
    </row>
    <row r="52" spans="2:8" s="56" customFormat="1" ht="44.45" customHeight="1" x14ac:dyDescent="0.25">
      <c r="B52" s="76">
        <v>4.2</v>
      </c>
      <c r="C52" s="77" t="s">
        <v>46</v>
      </c>
      <c r="D52" s="78" t="s">
        <v>12</v>
      </c>
      <c r="E52" s="79">
        <v>12263</v>
      </c>
      <c r="F52" s="88">
        <v>85</v>
      </c>
      <c r="G52" s="87">
        <f>+E52*F52</f>
        <v>1042355</v>
      </c>
      <c r="H52" s="89"/>
    </row>
    <row r="53" spans="2:8" s="56" customFormat="1" ht="61.9" customHeight="1" x14ac:dyDescent="0.25">
      <c r="B53" s="76">
        <v>4.3</v>
      </c>
      <c r="C53" s="77" t="s">
        <v>47</v>
      </c>
      <c r="D53" s="78" t="s">
        <v>12</v>
      </c>
      <c r="E53" s="79">
        <v>23108</v>
      </c>
      <c r="F53" s="80">
        <v>70</v>
      </c>
      <c r="G53" s="79">
        <f>+E53*F53</f>
        <v>1617560</v>
      </c>
      <c r="H53" s="81"/>
    </row>
    <row r="54" spans="2:8" s="56" customFormat="1" ht="72" customHeight="1" x14ac:dyDescent="0.25">
      <c r="B54" s="76">
        <v>4.4000000000000004</v>
      </c>
      <c r="C54" s="77" t="s">
        <v>48</v>
      </c>
      <c r="D54" s="80" t="s">
        <v>24</v>
      </c>
      <c r="E54" s="79">
        <v>20345</v>
      </c>
      <c r="F54" s="80">
        <v>70</v>
      </c>
      <c r="G54" s="79">
        <f>+E54*F54</f>
        <v>1424150</v>
      </c>
      <c r="H54" s="81"/>
    </row>
    <row r="55" spans="2:8" s="56" customFormat="1" ht="41.45" customHeight="1" thickBot="1" x14ac:dyDescent="0.3">
      <c r="B55" s="84">
        <v>4.5</v>
      </c>
      <c r="C55" s="85" t="s">
        <v>49</v>
      </c>
      <c r="D55" s="119" t="s">
        <v>24</v>
      </c>
      <c r="E55" s="118">
        <v>56396</v>
      </c>
      <c r="F55" s="119">
        <v>3.7800000000000002</v>
      </c>
      <c r="G55" s="118">
        <f>+E55*F55</f>
        <v>213176.88</v>
      </c>
      <c r="H55" s="120"/>
    </row>
    <row r="56" spans="2:8" s="69" customFormat="1" ht="15.75" customHeight="1" thickBot="1" x14ac:dyDescent="0.3">
      <c r="B56" s="121">
        <v>5</v>
      </c>
      <c r="C56" s="197" t="s">
        <v>25</v>
      </c>
      <c r="D56" s="198"/>
      <c r="E56" s="198"/>
      <c r="F56" s="198"/>
      <c r="G56" s="198"/>
      <c r="H56" s="122">
        <f>SUM(G57)</f>
        <v>32415.240000000005</v>
      </c>
    </row>
    <row r="57" spans="2:8" s="56" customFormat="1" ht="55.9" customHeight="1" thickBot="1" x14ac:dyDescent="0.3">
      <c r="B57" s="96">
        <v>5.0999999999999996</v>
      </c>
      <c r="C57" s="97" t="s">
        <v>26</v>
      </c>
      <c r="D57" s="98" t="s">
        <v>12</v>
      </c>
      <c r="E57" s="99">
        <v>18890</v>
      </c>
      <c r="F57" s="100">
        <v>1.7160000000000002</v>
      </c>
      <c r="G57" s="99">
        <f>+E57*F57</f>
        <v>32415.240000000005</v>
      </c>
      <c r="H57" s="101"/>
    </row>
    <row r="58" spans="2:8" s="69" customFormat="1" ht="15.75" customHeight="1" thickBot="1" x14ac:dyDescent="0.3">
      <c r="B58" s="82">
        <v>8</v>
      </c>
      <c r="C58" s="183" t="s">
        <v>50</v>
      </c>
      <c r="D58" s="184"/>
      <c r="E58" s="184"/>
      <c r="F58" s="184"/>
      <c r="G58" s="184"/>
      <c r="H58" s="83">
        <f>SUM(G59:G59)</f>
        <v>437795</v>
      </c>
    </row>
    <row r="59" spans="2:8" s="56" customFormat="1" ht="51" customHeight="1" thickBot="1" x14ac:dyDescent="0.3">
      <c r="B59" s="115">
        <v>8.9</v>
      </c>
      <c r="C59" s="123" t="s">
        <v>51</v>
      </c>
      <c r="D59" s="117" t="s">
        <v>14</v>
      </c>
      <c r="E59" s="87">
        <v>437795</v>
      </c>
      <c r="F59" s="88">
        <v>1</v>
      </c>
      <c r="G59" s="87">
        <f t="shared" ref="G59" si="1">+E59*F59</f>
        <v>437795</v>
      </c>
      <c r="H59" s="89"/>
    </row>
    <row r="60" spans="2:8" s="69" customFormat="1" ht="15.75" customHeight="1" thickBot="1" x14ac:dyDescent="0.3">
      <c r="B60" s="82">
        <v>10</v>
      </c>
      <c r="C60" s="183" t="s">
        <v>52</v>
      </c>
      <c r="D60" s="184"/>
      <c r="E60" s="184"/>
      <c r="F60" s="184"/>
      <c r="G60" s="184"/>
      <c r="H60" s="83">
        <f>SUM(G61:G62)</f>
        <v>2409759</v>
      </c>
    </row>
    <row r="61" spans="2:8" s="56" customFormat="1" ht="204" customHeight="1" x14ac:dyDescent="0.25">
      <c r="B61" s="76">
        <v>10.4</v>
      </c>
      <c r="C61" s="77" t="s">
        <v>53</v>
      </c>
      <c r="D61" s="80" t="s">
        <v>41</v>
      </c>
      <c r="E61" s="79">
        <v>883519</v>
      </c>
      <c r="F61" s="80">
        <v>1.8</v>
      </c>
      <c r="G61" s="79">
        <f>+E61*F61</f>
        <v>1590334.2</v>
      </c>
      <c r="H61" s="81"/>
    </row>
    <row r="62" spans="2:8" s="56" customFormat="1" ht="174" customHeight="1" thickBot="1" x14ac:dyDescent="0.3">
      <c r="B62" s="76">
        <v>10.5</v>
      </c>
      <c r="C62" s="77" t="s">
        <v>54</v>
      </c>
      <c r="D62" s="80" t="s">
        <v>41</v>
      </c>
      <c r="E62" s="79">
        <v>455236</v>
      </c>
      <c r="F62" s="80">
        <v>1.8</v>
      </c>
      <c r="G62" s="79">
        <f>+E62*F62</f>
        <v>819424.8</v>
      </c>
      <c r="H62" s="81"/>
    </row>
    <row r="63" spans="2:8" s="69" customFormat="1" ht="15.75" customHeight="1" thickBot="1" x14ac:dyDescent="0.3">
      <c r="B63" s="82">
        <v>12</v>
      </c>
      <c r="C63" s="183" t="s">
        <v>55</v>
      </c>
      <c r="D63" s="184"/>
      <c r="E63" s="184"/>
      <c r="F63" s="184"/>
      <c r="G63" s="184"/>
      <c r="H63" s="83">
        <f>SUM(G64:G64)</f>
        <v>236476</v>
      </c>
    </row>
    <row r="64" spans="2:8" s="56" customFormat="1" ht="43.9" customHeight="1" thickBot="1" x14ac:dyDescent="0.3">
      <c r="B64" s="76">
        <v>12.1</v>
      </c>
      <c r="C64" s="124" t="s">
        <v>56</v>
      </c>
      <c r="D64" s="78" t="s">
        <v>12</v>
      </c>
      <c r="E64" s="79">
        <v>236476</v>
      </c>
      <c r="F64" s="80">
        <v>1</v>
      </c>
      <c r="G64" s="79">
        <f>+E64*F64</f>
        <v>236476</v>
      </c>
      <c r="H64" s="81"/>
    </row>
    <row r="65" spans="2:8" s="69" customFormat="1" ht="15.75" customHeight="1" thickBot="1" x14ac:dyDescent="0.3">
      <c r="B65" s="67">
        <v>13</v>
      </c>
      <c r="C65" s="195" t="s">
        <v>57</v>
      </c>
      <c r="D65" s="196"/>
      <c r="E65" s="196"/>
      <c r="F65" s="196"/>
      <c r="G65" s="196"/>
      <c r="H65" s="68">
        <f>SUM(G66:G67)</f>
        <v>2269567</v>
      </c>
    </row>
    <row r="66" spans="2:8" s="56" customFormat="1" ht="49.9" customHeight="1" x14ac:dyDescent="0.25">
      <c r="B66" s="70">
        <v>13.1</v>
      </c>
      <c r="C66" s="125" t="s">
        <v>58</v>
      </c>
      <c r="D66" s="72">
        <v>0</v>
      </c>
      <c r="E66" s="73">
        <v>45763</v>
      </c>
      <c r="F66" s="74">
        <v>1</v>
      </c>
      <c r="G66" s="73">
        <f t="shared" ref="G66:G67" si="2">+E66*F66</f>
        <v>45763</v>
      </c>
      <c r="H66" s="75"/>
    </row>
    <row r="67" spans="2:8" s="56" customFormat="1" ht="66" customHeight="1" thickBot="1" x14ac:dyDescent="0.3">
      <c r="B67" s="84">
        <v>13.6</v>
      </c>
      <c r="C67" s="126" t="s">
        <v>59</v>
      </c>
      <c r="D67" s="86">
        <v>0</v>
      </c>
      <c r="E67" s="118">
        <v>130812</v>
      </c>
      <c r="F67" s="119">
        <v>17</v>
      </c>
      <c r="G67" s="118">
        <f t="shared" si="2"/>
        <v>2223804</v>
      </c>
      <c r="H67" s="120"/>
    </row>
    <row r="68" spans="2:8" ht="18.75" customHeight="1" thickBot="1" x14ac:dyDescent="0.3">
      <c r="B68" s="199" t="s">
        <v>60</v>
      </c>
      <c r="C68" s="200"/>
      <c r="D68" s="200"/>
      <c r="E68" s="200"/>
      <c r="F68" s="200"/>
      <c r="G68" s="200"/>
      <c r="H68" s="201"/>
    </row>
    <row r="69" spans="2:8" ht="15.75" thickBot="1" x14ac:dyDescent="0.3">
      <c r="B69" s="109" t="s">
        <v>3</v>
      </c>
      <c r="C69" s="110" t="s">
        <v>4</v>
      </c>
      <c r="D69" s="111" t="s">
        <v>5</v>
      </c>
      <c r="E69" s="112" t="s">
        <v>6</v>
      </c>
      <c r="F69" s="113" t="s">
        <v>7</v>
      </c>
      <c r="G69" s="112" t="s">
        <v>8</v>
      </c>
      <c r="H69" s="114" t="s">
        <v>9</v>
      </c>
    </row>
    <row r="70" spans="2:8" s="69" customFormat="1" ht="15.75" customHeight="1" thickBot="1" x14ac:dyDescent="0.3">
      <c r="B70" s="82">
        <v>1</v>
      </c>
      <c r="C70" s="183" t="s">
        <v>10</v>
      </c>
      <c r="D70" s="184"/>
      <c r="E70" s="184"/>
      <c r="F70" s="184"/>
      <c r="G70" s="184"/>
      <c r="H70" s="83">
        <f>SUM(G71:G72)</f>
        <v>714620</v>
      </c>
    </row>
    <row r="71" spans="2:8" s="56" customFormat="1" x14ac:dyDescent="0.25">
      <c r="B71" s="115">
        <v>1.3</v>
      </c>
      <c r="C71" s="116" t="s">
        <v>39</v>
      </c>
      <c r="D71" s="117" t="s">
        <v>12</v>
      </c>
      <c r="E71" s="87">
        <v>4760</v>
      </c>
      <c r="F71" s="88">
        <v>70</v>
      </c>
      <c r="G71" s="87">
        <f>+E71*F71</f>
        <v>333200</v>
      </c>
      <c r="H71" s="89"/>
    </row>
    <row r="72" spans="2:8" s="56" customFormat="1" ht="15.75" thickBot="1" x14ac:dyDescent="0.3">
      <c r="B72" s="84">
        <v>1.8</v>
      </c>
      <c r="C72" s="85" t="s">
        <v>40</v>
      </c>
      <c r="D72" s="86" t="s">
        <v>41</v>
      </c>
      <c r="E72" s="240">
        <v>12714</v>
      </c>
      <c r="F72" s="119">
        <v>30</v>
      </c>
      <c r="G72" s="118">
        <f>+E72*F72</f>
        <v>381420</v>
      </c>
      <c r="H72" s="120"/>
    </row>
    <row r="73" spans="2:8" s="69" customFormat="1" ht="15.75" customHeight="1" thickBot="1" x14ac:dyDescent="0.3">
      <c r="B73" s="82">
        <v>3</v>
      </c>
      <c r="C73" s="183" t="s">
        <v>20</v>
      </c>
      <c r="D73" s="184"/>
      <c r="E73" s="184"/>
      <c r="F73" s="184"/>
      <c r="G73" s="184"/>
      <c r="H73" s="83">
        <f>SUM(G74)</f>
        <v>965219</v>
      </c>
    </row>
    <row r="74" spans="2:8" s="56" customFormat="1" ht="154.9" customHeight="1" thickBot="1" x14ac:dyDescent="0.3">
      <c r="B74" s="70">
        <v>3.1</v>
      </c>
      <c r="C74" s="71" t="s">
        <v>45</v>
      </c>
      <c r="D74" s="72" t="s">
        <v>41</v>
      </c>
      <c r="E74" s="73">
        <v>50801</v>
      </c>
      <c r="F74" s="88">
        <v>19</v>
      </c>
      <c r="G74" s="87">
        <f>+E74*F74</f>
        <v>965219</v>
      </c>
      <c r="H74" s="89"/>
    </row>
    <row r="75" spans="2:8" s="69" customFormat="1" ht="15.75" customHeight="1" thickBot="1" x14ac:dyDescent="0.3">
      <c r="B75" s="82">
        <v>4</v>
      </c>
      <c r="C75" s="183" t="s">
        <v>22</v>
      </c>
      <c r="D75" s="184"/>
      <c r="E75" s="184"/>
      <c r="F75" s="184"/>
      <c r="G75" s="184"/>
      <c r="H75" s="83">
        <f>SUM(G76:G79)</f>
        <v>4297241.88</v>
      </c>
    </row>
    <row r="76" spans="2:8" s="56" customFormat="1" ht="52.9" customHeight="1" x14ac:dyDescent="0.25">
      <c r="B76" s="76">
        <v>4.2</v>
      </c>
      <c r="C76" s="77" t="s">
        <v>46</v>
      </c>
      <c r="D76" s="78" t="s">
        <v>12</v>
      </c>
      <c r="E76" s="79">
        <v>12263</v>
      </c>
      <c r="F76" s="88">
        <v>85</v>
      </c>
      <c r="G76" s="87">
        <f>+E76*F76</f>
        <v>1042355</v>
      </c>
      <c r="H76" s="89"/>
    </row>
    <row r="77" spans="2:8" s="56" customFormat="1" ht="71.45" customHeight="1" x14ac:dyDescent="0.25">
      <c r="B77" s="76">
        <v>4.3</v>
      </c>
      <c r="C77" s="77" t="s">
        <v>47</v>
      </c>
      <c r="D77" s="78" t="s">
        <v>12</v>
      </c>
      <c r="E77" s="79">
        <v>23108</v>
      </c>
      <c r="F77" s="80">
        <v>70</v>
      </c>
      <c r="G77" s="79">
        <f>+E77*F77</f>
        <v>1617560</v>
      </c>
      <c r="H77" s="81"/>
    </row>
    <row r="78" spans="2:8" s="56" customFormat="1" ht="75.599999999999994" customHeight="1" x14ac:dyDescent="0.25">
      <c r="B78" s="76">
        <v>4.4000000000000004</v>
      </c>
      <c r="C78" s="77" t="s">
        <v>48</v>
      </c>
      <c r="D78" s="80" t="s">
        <v>24</v>
      </c>
      <c r="E78" s="79">
        <v>20345</v>
      </c>
      <c r="F78" s="80">
        <v>70</v>
      </c>
      <c r="G78" s="79">
        <f>+E78*F78</f>
        <v>1424150</v>
      </c>
      <c r="H78" s="81"/>
    </row>
    <row r="79" spans="2:8" s="56" customFormat="1" ht="37.9" customHeight="1" thickBot="1" x14ac:dyDescent="0.3">
      <c r="B79" s="84">
        <v>4.5</v>
      </c>
      <c r="C79" s="85" t="s">
        <v>49</v>
      </c>
      <c r="D79" s="119" t="s">
        <v>24</v>
      </c>
      <c r="E79" s="118">
        <v>56396</v>
      </c>
      <c r="F79" s="119">
        <v>3.7800000000000002</v>
      </c>
      <c r="G79" s="118">
        <f>+E79*F79</f>
        <v>213176.88</v>
      </c>
      <c r="H79" s="120"/>
    </row>
    <row r="80" spans="2:8" s="69" customFormat="1" ht="15.75" customHeight="1" thickBot="1" x14ac:dyDescent="0.3">
      <c r="B80" s="121">
        <v>5</v>
      </c>
      <c r="C80" s="197" t="s">
        <v>25</v>
      </c>
      <c r="D80" s="198"/>
      <c r="E80" s="198"/>
      <c r="F80" s="198"/>
      <c r="G80" s="198"/>
      <c r="H80" s="122">
        <f>SUM(G81)</f>
        <v>32415.240000000005</v>
      </c>
    </row>
    <row r="81" spans="2:8" s="56" customFormat="1" ht="63" customHeight="1" thickBot="1" x14ac:dyDescent="0.3">
      <c r="B81" s="96">
        <v>5.0999999999999996</v>
      </c>
      <c r="C81" s="97" t="s">
        <v>26</v>
      </c>
      <c r="D81" s="98" t="s">
        <v>12</v>
      </c>
      <c r="E81" s="99">
        <v>18890</v>
      </c>
      <c r="F81" s="100">
        <v>1.7160000000000002</v>
      </c>
      <c r="G81" s="99">
        <f>+E81*F81</f>
        <v>32415.240000000005</v>
      </c>
      <c r="H81" s="101"/>
    </row>
    <row r="82" spans="2:8" s="69" customFormat="1" ht="15.75" customHeight="1" thickBot="1" x14ac:dyDescent="0.3">
      <c r="B82" s="67">
        <v>8</v>
      </c>
      <c r="C82" s="195" t="s">
        <v>50</v>
      </c>
      <c r="D82" s="196"/>
      <c r="E82" s="196"/>
      <c r="F82" s="196"/>
      <c r="G82" s="196"/>
      <c r="H82" s="68">
        <f>SUM(G83:G84)</f>
        <v>654696</v>
      </c>
    </row>
    <row r="83" spans="2:8" s="56" customFormat="1" ht="34.9" customHeight="1" x14ac:dyDescent="0.25">
      <c r="B83" s="70">
        <v>8.8000000000000007</v>
      </c>
      <c r="C83" s="125" t="s">
        <v>61</v>
      </c>
      <c r="D83" s="72" t="s">
        <v>14</v>
      </c>
      <c r="E83" s="73">
        <v>216931</v>
      </c>
      <c r="F83" s="74">
        <v>1</v>
      </c>
      <c r="G83" s="73">
        <f t="shared" ref="G83:G84" si="3">+E83*F83</f>
        <v>216931</v>
      </c>
      <c r="H83" s="75"/>
    </row>
    <row r="84" spans="2:8" s="56" customFormat="1" ht="43.9" customHeight="1" thickBot="1" x14ac:dyDescent="0.3">
      <c r="B84" s="84">
        <v>8.9</v>
      </c>
      <c r="C84" s="126" t="s">
        <v>51</v>
      </c>
      <c r="D84" s="86" t="s">
        <v>14</v>
      </c>
      <c r="E84" s="118">
        <v>437765</v>
      </c>
      <c r="F84" s="119">
        <v>1</v>
      </c>
      <c r="G84" s="118">
        <f t="shared" si="3"/>
        <v>437765</v>
      </c>
      <c r="H84" s="120"/>
    </row>
    <row r="85" spans="2:8" s="69" customFormat="1" ht="15.75" customHeight="1" thickBot="1" x14ac:dyDescent="0.3">
      <c r="B85" s="121">
        <v>10</v>
      </c>
      <c r="C85" s="197" t="s">
        <v>52</v>
      </c>
      <c r="D85" s="198"/>
      <c r="E85" s="198"/>
      <c r="F85" s="198"/>
      <c r="G85" s="198"/>
      <c r="H85" s="122">
        <f>SUM(G86:G88)</f>
        <v>4410070.2</v>
      </c>
    </row>
    <row r="86" spans="2:8" s="56" customFormat="1" ht="49.15" customHeight="1" x14ac:dyDescent="0.25">
      <c r="B86" s="96">
        <v>10.3</v>
      </c>
      <c r="C86" s="77" t="s">
        <v>62</v>
      </c>
      <c r="D86" s="78" t="s">
        <v>12</v>
      </c>
      <c r="E86" s="79">
        <v>555642</v>
      </c>
      <c r="F86" s="100">
        <v>3.6</v>
      </c>
      <c r="G86" s="99">
        <f>+E86*F86</f>
        <v>2000311.2</v>
      </c>
      <c r="H86" s="101"/>
    </row>
    <row r="87" spans="2:8" s="56" customFormat="1" ht="207" customHeight="1" x14ac:dyDescent="0.25">
      <c r="B87" s="76">
        <v>10.4</v>
      </c>
      <c r="C87" s="77" t="s">
        <v>53</v>
      </c>
      <c r="D87" s="80" t="s">
        <v>41</v>
      </c>
      <c r="E87" s="79">
        <v>883519</v>
      </c>
      <c r="F87" s="80">
        <v>1.8</v>
      </c>
      <c r="G87" s="79">
        <f>+E87*F87</f>
        <v>1590334.2</v>
      </c>
      <c r="H87" s="81"/>
    </row>
    <row r="88" spans="2:8" s="56" customFormat="1" ht="183.6" customHeight="1" thickBot="1" x14ac:dyDescent="0.3">
      <c r="B88" s="76">
        <v>10.5</v>
      </c>
      <c r="C88" s="77" t="s">
        <v>54</v>
      </c>
      <c r="D88" s="80" t="s">
        <v>41</v>
      </c>
      <c r="E88" s="79">
        <v>455236</v>
      </c>
      <c r="F88" s="80">
        <v>1.8</v>
      </c>
      <c r="G88" s="79">
        <f>+E88*F88</f>
        <v>819424.8</v>
      </c>
      <c r="H88" s="81"/>
    </row>
    <row r="89" spans="2:8" s="69" customFormat="1" ht="15.75" customHeight="1" thickBot="1" x14ac:dyDescent="0.3">
      <c r="B89" s="67">
        <v>13</v>
      </c>
      <c r="C89" s="195" t="s">
        <v>57</v>
      </c>
      <c r="D89" s="196"/>
      <c r="E89" s="196"/>
      <c r="F89" s="196"/>
      <c r="G89" s="196"/>
      <c r="H89" s="68">
        <f>SUM(G90:G90)</f>
        <v>45763</v>
      </c>
    </row>
    <row r="90" spans="2:8" s="56" customFormat="1" ht="66" customHeight="1" thickBot="1" x14ac:dyDescent="0.3">
      <c r="B90" s="90">
        <v>13.1</v>
      </c>
      <c r="C90" s="127" t="s">
        <v>58</v>
      </c>
      <c r="D90" s="92" t="s">
        <v>14</v>
      </c>
      <c r="E90" s="93">
        <v>45763</v>
      </c>
      <c r="F90" s="94">
        <v>1</v>
      </c>
      <c r="G90" s="93">
        <f>+E90*F90</f>
        <v>45763</v>
      </c>
      <c r="H90" s="95"/>
    </row>
    <row r="91" spans="2:8" s="128" customFormat="1" ht="19.5" customHeight="1" thickBot="1" x14ac:dyDescent="0.35">
      <c r="B91" s="199" t="s">
        <v>63</v>
      </c>
      <c r="C91" s="200"/>
      <c r="D91" s="200"/>
      <c r="E91" s="200"/>
      <c r="F91" s="200"/>
      <c r="G91" s="200"/>
      <c r="H91" s="201"/>
    </row>
    <row r="92" spans="2:8" ht="15.75" thickBot="1" x14ac:dyDescent="0.3">
      <c r="B92" s="109" t="s">
        <v>3</v>
      </c>
      <c r="C92" s="110" t="s">
        <v>4</v>
      </c>
      <c r="D92" s="111" t="s">
        <v>5</v>
      </c>
      <c r="E92" s="112" t="s">
        <v>6</v>
      </c>
      <c r="F92" s="113" t="s">
        <v>7</v>
      </c>
      <c r="G92" s="112" t="s">
        <v>8</v>
      </c>
      <c r="H92" s="114" t="s">
        <v>9</v>
      </c>
    </row>
    <row r="93" spans="2:8" s="69" customFormat="1" ht="15.75" customHeight="1" thickBot="1" x14ac:dyDescent="0.3">
      <c r="B93" s="82">
        <v>1</v>
      </c>
      <c r="C93" s="183" t="s">
        <v>10</v>
      </c>
      <c r="D93" s="184"/>
      <c r="E93" s="184"/>
      <c r="F93" s="184"/>
      <c r="G93" s="184"/>
      <c r="H93" s="83">
        <f>SUM(G94:G94)</f>
        <v>333200</v>
      </c>
    </row>
    <row r="94" spans="2:8" s="56" customFormat="1" ht="39" customHeight="1" thickBot="1" x14ac:dyDescent="0.3">
      <c r="B94" s="115">
        <v>1.3</v>
      </c>
      <c r="C94" s="116" t="s">
        <v>39</v>
      </c>
      <c r="D94" s="117" t="s">
        <v>12</v>
      </c>
      <c r="E94" s="87">
        <v>4760</v>
      </c>
      <c r="F94" s="88">
        <v>70</v>
      </c>
      <c r="G94" s="87">
        <f>+E94*F94</f>
        <v>333200</v>
      </c>
      <c r="H94" s="89"/>
    </row>
    <row r="95" spans="2:8" s="69" customFormat="1" ht="15.75" customHeight="1" thickBot="1" x14ac:dyDescent="0.3">
      <c r="B95" s="82">
        <v>3</v>
      </c>
      <c r="C95" s="183" t="s">
        <v>20</v>
      </c>
      <c r="D95" s="184"/>
      <c r="E95" s="184"/>
      <c r="F95" s="184"/>
      <c r="G95" s="184"/>
      <c r="H95" s="83">
        <f>SUM(G96)</f>
        <v>406408</v>
      </c>
    </row>
    <row r="96" spans="2:8" s="56" customFormat="1" ht="129" thickBot="1" x14ac:dyDescent="0.3">
      <c r="B96" s="70">
        <v>3.1</v>
      </c>
      <c r="C96" s="71" t="s">
        <v>45</v>
      </c>
      <c r="D96" s="72" t="s">
        <v>41</v>
      </c>
      <c r="E96" s="73">
        <v>50801</v>
      </c>
      <c r="F96" s="88">
        <v>8</v>
      </c>
      <c r="G96" s="87">
        <f>+E96*F96</f>
        <v>406408</v>
      </c>
      <c r="H96" s="89"/>
    </row>
    <row r="97" spans="2:8" s="69" customFormat="1" ht="15.75" customHeight="1" thickBot="1" x14ac:dyDescent="0.3">
      <c r="B97" s="82">
        <v>4</v>
      </c>
      <c r="C97" s="183" t="s">
        <v>22</v>
      </c>
      <c r="D97" s="184"/>
      <c r="E97" s="184"/>
      <c r="F97" s="184"/>
      <c r="G97" s="184"/>
      <c r="H97" s="83">
        <f>SUM(G98:G100)</f>
        <v>4255607</v>
      </c>
    </row>
    <row r="98" spans="2:8" s="56" customFormat="1" ht="28.5" x14ac:dyDescent="0.25">
      <c r="B98" s="76">
        <v>4.2</v>
      </c>
      <c r="C98" s="77" t="s">
        <v>46</v>
      </c>
      <c r="D98" s="78" t="s">
        <v>12</v>
      </c>
      <c r="E98" s="79">
        <v>12263</v>
      </c>
      <c r="F98" s="88">
        <v>99</v>
      </c>
      <c r="G98" s="87">
        <f>+E98*F98</f>
        <v>1214037</v>
      </c>
      <c r="H98" s="89"/>
    </row>
    <row r="99" spans="2:8" s="56" customFormat="1" ht="42.75" x14ac:dyDescent="0.25">
      <c r="B99" s="76">
        <v>4.3</v>
      </c>
      <c r="C99" s="77" t="s">
        <v>47</v>
      </c>
      <c r="D99" s="78" t="s">
        <v>12</v>
      </c>
      <c r="E99" s="79">
        <v>23106</v>
      </c>
      <c r="F99" s="80">
        <v>70</v>
      </c>
      <c r="G99" s="79">
        <f>+E99*F99</f>
        <v>1617420</v>
      </c>
      <c r="H99" s="81"/>
    </row>
    <row r="100" spans="2:8" s="56" customFormat="1" ht="72" thickBot="1" x14ac:dyDescent="0.3">
      <c r="B100" s="96">
        <v>4.4000000000000004</v>
      </c>
      <c r="C100" s="97" t="s">
        <v>48</v>
      </c>
      <c r="D100" s="100" t="s">
        <v>24</v>
      </c>
      <c r="E100" s="99">
        <v>20345</v>
      </c>
      <c r="F100" s="100">
        <v>70</v>
      </c>
      <c r="G100" s="99">
        <f>+E100*F100</f>
        <v>1424150</v>
      </c>
      <c r="H100" s="101"/>
    </row>
    <row r="101" spans="2:8" s="69" customFormat="1" ht="15.75" customHeight="1" thickBot="1" x14ac:dyDescent="0.3">
      <c r="B101" s="82">
        <v>5</v>
      </c>
      <c r="C101" s="183" t="s">
        <v>25</v>
      </c>
      <c r="D101" s="184"/>
      <c r="E101" s="184"/>
      <c r="F101" s="184"/>
      <c r="G101" s="184"/>
      <c r="H101" s="83">
        <f>SUM(G102)</f>
        <v>41558</v>
      </c>
    </row>
    <row r="102" spans="2:8" s="56" customFormat="1" ht="43.5" thickBot="1" x14ac:dyDescent="0.3">
      <c r="B102" s="96">
        <v>5.0999999999999996</v>
      </c>
      <c r="C102" s="97" t="s">
        <v>26</v>
      </c>
      <c r="D102" s="98" t="s">
        <v>12</v>
      </c>
      <c r="E102" s="99">
        <v>18890</v>
      </c>
      <c r="F102" s="100">
        <v>2.2000000000000002</v>
      </c>
      <c r="G102" s="99">
        <f>+E102*F102</f>
        <v>41558</v>
      </c>
      <c r="H102" s="101"/>
    </row>
    <row r="103" spans="2:8" s="69" customFormat="1" ht="15.75" customHeight="1" thickBot="1" x14ac:dyDescent="0.3">
      <c r="B103" s="67">
        <v>6</v>
      </c>
      <c r="C103" s="195" t="s">
        <v>64</v>
      </c>
      <c r="D103" s="196"/>
      <c r="E103" s="196"/>
      <c r="F103" s="196"/>
      <c r="G103" s="196"/>
      <c r="H103" s="68">
        <f>SUM(G104:G104)</f>
        <v>121482</v>
      </c>
    </row>
    <row r="104" spans="2:8" s="56" customFormat="1" ht="15.75" thickBot="1" x14ac:dyDescent="0.3">
      <c r="B104" s="70">
        <v>6.4</v>
      </c>
      <c r="C104" s="125" t="s">
        <v>65</v>
      </c>
      <c r="D104" s="72" t="s">
        <v>12</v>
      </c>
      <c r="E104" s="73">
        <v>40494</v>
      </c>
      <c r="F104" s="74">
        <v>3</v>
      </c>
      <c r="G104" s="73">
        <f>+E104*F104</f>
        <v>121482</v>
      </c>
      <c r="H104" s="75"/>
    </row>
    <row r="105" spans="2:8" s="69" customFormat="1" ht="15.75" customHeight="1" thickBot="1" x14ac:dyDescent="0.3">
      <c r="B105" s="82">
        <v>10</v>
      </c>
      <c r="C105" s="183" t="s">
        <v>52</v>
      </c>
      <c r="D105" s="184"/>
      <c r="E105" s="184"/>
      <c r="F105" s="184"/>
      <c r="G105" s="184"/>
      <c r="H105" s="83">
        <f>SUM(G106)</f>
        <v>2000311.2</v>
      </c>
    </row>
    <row r="106" spans="2:8" s="56" customFormat="1" ht="29.25" thickBot="1" x14ac:dyDescent="0.3">
      <c r="B106" s="96">
        <v>10.3</v>
      </c>
      <c r="C106" s="77" t="s">
        <v>62</v>
      </c>
      <c r="D106" s="78" t="s">
        <v>12</v>
      </c>
      <c r="E106" s="79">
        <v>555642</v>
      </c>
      <c r="F106" s="100">
        <v>3.6</v>
      </c>
      <c r="G106" s="99">
        <f>+E106*F106</f>
        <v>2000311.2</v>
      </c>
      <c r="H106" s="101"/>
    </row>
    <row r="107" spans="2:8" ht="15.75" customHeight="1" thickBot="1" x14ac:dyDescent="0.3">
      <c r="B107" s="161" t="s">
        <v>27</v>
      </c>
      <c r="C107" s="162"/>
      <c r="D107" s="162"/>
      <c r="E107" s="162"/>
      <c r="F107" s="162"/>
      <c r="G107" s="185"/>
      <c r="H107" s="102">
        <f>SUM(H44:H106)</f>
        <v>28873440.640000001</v>
      </c>
    </row>
    <row r="108" spans="2:8" ht="15" customHeight="1" x14ac:dyDescent="0.25">
      <c r="B108" s="186" t="s">
        <v>28</v>
      </c>
      <c r="C108" s="187"/>
      <c r="D108" s="188" t="s">
        <v>29</v>
      </c>
      <c r="E108" s="189"/>
      <c r="F108" s="190">
        <v>0.27200000000000002</v>
      </c>
      <c r="G108" s="191"/>
      <c r="H108" s="103">
        <f>+H107*F108</f>
        <v>7853575.8540800009</v>
      </c>
    </row>
    <row r="109" spans="2:8" ht="15" customHeight="1" x14ac:dyDescent="0.25">
      <c r="B109" s="171" t="s">
        <v>30</v>
      </c>
      <c r="C109" s="172"/>
      <c r="D109" s="173" t="s">
        <v>31</v>
      </c>
      <c r="E109" s="174"/>
      <c r="F109" s="175">
        <v>0.01</v>
      </c>
      <c r="G109" s="176"/>
      <c r="H109" s="104">
        <f>+H107*F109</f>
        <v>288734.40640000004</v>
      </c>
    </row>
    <row r="110" spans="2:8" ht="15" customHeight="1" x14ac:dyDescent="0.25">
      <c r="B110" s="171" t="s">
        <v>32</v>
      </c>
      <c r="C110" s="172"/>
      <c r="D110" s="173" t="s">
        <v>33</v>
      </c>
      <c r="E110" s="174"/>
      <c r="F110" s="175">
        <v>0.04</v>
      </c>
      <c r="G110" s="176"/>
      <c r="H110" s="104">
        <f>+H107*F110</f>
        <v>1154937.6256000001</v>
      </c>
    </row>
    <row r="111" spans="2:8" ht="15.75" customHeight="1" thickBot="1" x14ac:dyDescent="0.3">
      <c r="B111" s="177" t="s">
        <v>34</v>
      </c>
      <c r="C111" s="178"/>
      <c r="D111" s="179" t="s">
        <v>35</v>
      </c>
      <c r="E111" s="180"/>
      <c r="F111" s="181">
        <v>0.19</v>
      </c>
      <c r="G111" s="182"/>
      <c r="H111" s="105">
        <f>+H110*F111</f>
        <v>219438.14886400002</v>
      </c>
    </row>
    <row r="112" spans="2:8" ht="15.75" customHeight="1" thickBot="1" x14ac:dyDescent="0.3">
      <c r="B112" s="161" t="s">
        <v>36</v>
      </c>
      <c r="C112" s="162"/>
      <c r="D112" s="162"/>
      <c r="E112" s="162"/>
      <c r="F112" s="162"/>
      <c r="G112" s="162"/>
      <c r="H112" s="106">
        <f>SUM(H108:H111)</f>
        <v>9516686.0349439997</v>
      </c>
    </row>
    <row r="113" spans="2:8" ht="15.75" customHeight="1" thickBot="1" x14ac:dyDescent="0.3">
      <c r="B113" s="161" t="s">
        <v>37</v>
      </c>
      <c r="C113" s="162"/>
      <c r="D113" s="162"/>
      <c r="E113" s="162"/>
      <c r="F113" s="162"/>
      <c r="G113" s="162"/>
      <c r="H113" s="106">
        <f>+H107+H112</f>
        <v>38390126.674943998</v>
      </c>
    </row>
    <row r="114" spans="2:8" ht="15.75" thickBot="1" x14ac:dyDescent="0.3"/>
    <row r="115" spans="2:8" ht="38.25" customHeight="1" thickBot="1" x14ac:dyDescent="0.3">
      <c r="B115" s="192" t="s">
        <v>66</v>
      </c>
      <c r="C115" s="193"/>
      <c r="D115" s="193"/>
      <c r="E115" s="193"/>
      <c r="F115" s="193"/>
      <c r="G115" s="193"/>
      <c r="H115" s="194"/>
    </row>
    <row r="116" spans="2:8" ht="15.75" thickBot="1" x14ac:dyDescent="0.3">
      <c r="B116" s="61" t="s">
        <v>3</v>
      </c>
      <c r="C116" s="62" t="s">
        <v>4</v>
      </c>
      <c r="D116" s="63" t="s">
        <v>5</v>
      </c>
      <c r="E116" s="64" t="s">
        <v>6</v>
      </c>
      <c r="F116" s="65" t="s">
        <v>7</v>
      </c>
      <c r="G116" s="64" t="s">
        <v>8</v>
      </c>
      <c r="H116" s="66" t="s">
        <v>9</v>
      </c>
    </row>
    <row r="117" spans="2:8" s="69" customFormat="1" ht="15.75" customHeight="1" thickBot="1" x14ac:dyDescent="0.3">
      <c r="B117" s="82">
        <v>3</v>
      </c>
      <c r="C117" s="183" t="s">
        <v>20</v>
      </c>
      <c r="D117" s="184"/>
      <c r="E117" s="184"/>
      <c r="F117" s="184"/>
      <c r="G117" s="184"/>
      <c r="H117" s="83">
        <f>SUM(G118:G120)</f>
        <v>29631998</v>
      </c>
    </row>
    <row r="118" spans="2:8" s="56" customFormat="1" ht="167.45" customHeight="1" x14ac:dyDescent="0.25">
      <c r="B118" s="115">
        <v>3.1</v>
      </c>
      <c r="C118" s="116" t="s">
        <v>45</v>
      </c>
      <c r="D118" s="117" t="s">
        <v>41</v>
      </c>
      <c r="E118" s="87">
        <v>50801</v>
      </c>
      <c r="F118" s="88">
        <v>384</v>
      </c>
      <c r="G118" s="87">
        <f>+E118*F118</f>
        <v>19507584</v>
      </c>
      <c r="H118" s="89"/>
    </row>
    <row r="119" spans="2:8" s="56" customFormat="1" ht="130.9" customHeight="1" x14ac:dyDescent="0.25">
      <c r="B119" s="115">
        <v>3.2</v>
      </c>
      <c r="C119" s="116" t="s">
        <v>67</v>
      </c>
      <c r="D119" s="117" t="s">
        <v>41</v>
      </c>
      <c r="E119" s="87">
        <v>68275</v>
      </c>
      <c r="F119" s="88">
        <v>38</v>
      </c>
      <c r="G119" s="87">
        <f>+E119*F119</f>
        <v>2594450</v>
      </c>
      <c r="H119" s="89"/>
    </row>
    <row r="120" spans="2:8" s="56" customFormat="1" ht="129" customHeight="1" thickBot="1" x14ac:dyDescent="0.3">
      <c r="B120" s="129">
        <v>3.3</v>
      </c>
      <c r="C120" s="130" t="s">
        <v>21</v>
      </c>
      <c r="D120" s="131" t="s">
        <v>12</v>
      </c>
      <c r="E120" s="132">
        <v>144807</v>
      </c>
      <c r="F120" s="133">
        <v>52</v>
      </c>
      <c r="G120" s="132">
        <f>+E120*F120</f>
        <v>7529964</v>
      </c>
      <c r="H120" s="134"/>
    </row>
    <row r="121" spans="2:8" ht="15.75" customHeight="1" thickBot="1" x14ac:dyDescent="0.3">
      <c r="B121" s="161" t="s">
        <v>27</v>
      </c>
      <c r="C121" s="162"/>
      <c r="D121" s="162"/>
      <c r="E121" s="162"/>
      <c r="F121" s="162"/>
      <c r="G121" s="185"/>
      <c r="H121" s="102">
        <f>SUM(H117:H120)</f>
        <v>29631998</v>
      </c>
    </row>
    <row r="122" spans="2:8" ht="15" customHeight="1" x14ac:dyDescent="0.25">
      <c r="B122" s="186" t="s">
        <v>28</v>
      </c>
      <c r="C122" s="187"/>
      <c r="D122" s="188" t="s">
        <v>29</v>
      </c>
      <c r="E122" s="189"/>
      <c r="F122" s="190">
        <v>0.27200000000000002</v>
      </c>
      <c r="G122" s="191"/>
      <c r="H122" s="103">
        <f>+H121*F122</f>
        <v>8059903.4560000002</v>
      </c>
    </row>
    <row r="123" spans="2:8" ht="15" customHeight="1" x14ac:dyDescent="0.25">
      <c r="B123" s="171" t="s">
        <v>30</v>
      </c>
      <c r="C123" s="172"/>
      <c r="D123" s="173" t="s">
        <v>31</v>
      </c>
      <c r="E123" s="174"/>
      <c r="F123" s="175">
        <v>0.01</v>
      </c>
      <c r="G123" s="176"/>
      <c r="H123" s="104">
        <f>+H121*F123</f>
        <v>296319.98</v>
      </c>
    </row>
    <row r="124" spans="2:8" ht="15" customHeight="1" x14ac:dyDescent="0.25">
      <c r="B124" s="171" t="s">
        <v>32</v>
      </c>
      <c r="C124" s="172"/>
      <c r="D124" s="173" t="s">
        <v>33</v>
      </c>
      <c r="E124" s="174"/>
      <c r="F124" s="175">
        <v>0.04</v>
      </c>
      <c r="G124" s="176"/>
      <c r="H124" s="104">
        <f>+H121*F124</f>
        <v>1185279.92</v>
      </c>
    </row>
    <row r="125" spans="2:8" ht="15.75" customHeight="1" thickBot="1" x14ac:dyDescent="0.3">
      <c r="B125" s="177" t="s">
        <v>34</v>
      </c>
      <c r="C125" s="178"/>
      <c r="D125" s="179" t="s">
        <v>35</v>
      </c>
      <c r="E125" s="180"/>
      <c r="F125" s="181">
        <v>0.19</v>
      </c>
      <c r="G125" s="182"/>
      <c r="H125" s="105">
        <f>+H124*F125</f>
        <v>225203.18479999999</v>
      </c>
    </row>
    <row r="126" spans="2:8" ht="15.75" customHeight="1" thickBot="1" x14ac:dyDescent="0.3">
      <c r="B126" s="161" t="s">
        <v>36</v>
      </c>
      <c r="C126" s="162"/>
      <c r="D126" s="162"/>
      <c r="E126" s="162"/>
      <c r="F126" s="162"/>
      <c r="G126" s="162"/>
      <c r="H126" s="106">
        <f>SUM(H122:H125)</f>
        <v>9766706.5408000015</v>
      </c>
    </row>
    <row r="127" spans="2:8" ht="15.75" customHeight="1" thickBot="1" x14ac:dyDescent="0.3">
      <c r="B127" s="161" t="s">
        <v>37</v>
      </c>
      <c r="C127" s="162"/>
      <c r="D127" s="162"/>
      <c r="E127" s="162"/>
      <c r="F127" s="162"/>
      <c r="G127" s="162"/>
      <c r="H127" s="106">
        <f>+H121+H126</f>
        <v>39398704.540800005</v>
      </c>
    </row>
    <row r="129" spans="3:9" ht="15.75" thickBot="1" x14ac:dyDescent="0.3"/>
    <row r="130" spans="3:9" ht="99" customHeight="1" thickBot="1" x14ac:dyDescent="0.3">
      <c r="C130" s="163" t="s">
        <v>68</v>
      </c>
      <c r="D130" s="164"/>
      <c r="E130" s="135" t="s">
        <v>89</v>
      </c>
      <c r="F130" s="136" t="s">
        <v>69</v>
      </c>
      <c r="G130" s="137"/>
      <c r="H130"/>
    </row>
    <row r="131" spans="3:9" ht="35.25" customHeight="1" x14ac:dyDescent="0.25">
      <c r="C131" s="165" t="s">
        <v>70</v>
      </c>
      <c r="D131" s="166"/>
      <c r="E131" s="138">
        <v>30000000</v>
      </c>
      <c r="F131" s="139">
        <f>+H37</f>
        <v>29145378.199680001</v>
      </c>
      <c r="G131" s="140"/>
      <c r="H131"/>
    </row>
    <row r="132" spans="3:9" ht="51.75" customHeight="1" x14ac:dyDescent="0.25">
      <c r="C132" s="167" t="s">
        <v>71</v>
      </c>
      <c r="D132" s="168"/>
      <c r="E132" s="141">
        <v>40000000</v>
      </c>
      <c r="F132" s="142">
        <f>+H113</f>
        <v>38390126.674943998</v>
      </c>
      <c r="G132" s="140"/>
      <c r="H132"/>
    </row>
    <row r="133" spans="3:9" ht="51.75" customHeight="1" thickBot="1" x14ac:dyDescent="0.3">
      <c r="C133" s="169" t="s">
        <v>72</v>
      </c>
      <c r="D133" s="170"/>
      <c r="E133" s="143">
        <v>40000000</v>
      </c>
      <c r="F133" s="144">
        <f>+H127</f>
        <v>39398704.540800005</v>
      </c>
      <c r="G133" s="140"/>
      <c r="H133"/>
    </row>
    <row r="134" spans="3:9" x14ac:dyDescent="0.25">
      <c r="C134" s="154"/>
      <c r="D134" s="154"/>
      <c r="E134" s="145"/>
      <c r="F134" s="140"/>
      <c r="G134" s="140"/>
      <c r="H134"/>
    </row>
    <row r="135" spans="3:9" ht="15.75" thickBot="1" x14ac:dyDescent="0.3">
      <c r="C135"/>
      <c r="D135"/>
      <c r="E135"/>
      <c r="F135" s="146"/>
      <c r="G135"/>
      <c r="H135"/>
    </row>
    <row r="136" spans="3:9" ht="116.25" customHeight="1" thickBot="1" x14ac:dyDescent="0.3">
      <c r="C136" s="155" t="s">
        <v>73</v>
      </c>
      <c r="D136" s="156"/>
      <c r="E136" s="147" t="s">
        <v>90</v>
      </c>
      <c r="F136" s="148" t="s">
        <v>74</v>
      </c>
      <c r="G136"/>
      <c r="H136"/>
    </row>
    <row r="137" spans="3:9" ht="15.75" customHeight="1" thickBot="1" x14ac:dyDescent="0.3">
      <c r="C137" s="157"/>
      <c r="D137" s="158"/>
      <c r="E137" s="149">
        <v>110000000</v>
      </c>
      <c r="F137" s="150">
        <f>+F131+F132+F133</f>
        <v>106934209.415424</v>
      </c>
      <c r="G137"/>
      <c r="H137"/>
    </row>
    <row r="138" spans="3:9" ht="44.45" customHeight="1" x14ac:dyDescent="0.25">
      <c r="C138"/>
      <c r="D138"/>
      <c r="E138"/>
      <c r="F138" s="146"/>
      <c r="G138"/>
      <c r="H138"/>
    </row>
    <row r="139" spans="3:9" x14ac:dyDescent="0.25">
      <c r="C139" s="159"/>
      <c r="D139" s="159"/>
      <c r="E139" s="159"/>
      <c r="F139" s="159"/>
      <c r="G139" s="159"/>
      <c r="H139" s="159"/>
      <c r="I139" s="159"/>
    </row>
    <row r="140" spans="3:9" ht="39" customHeight="1" x14ac:dyDescent="0.25">
      <c r="C140" s="160" t="s">
        <v>91</v>
      </c>
      <c r="D140" s="160"/>
      <c r="E140" s="160"/>
      <c r="F140" s="160"/>
      <c r="G140" s="160"/>
      <c r="H140" s="160"/>
      <c r="I140" s="160"/>
    </row>
    <row r="141" spans="3:9" x14ac:dyDescent="0.25">
      <c r="C141"/>
      <c r="D141"/>
      <c r="E141"/>
      <c r="F141"/>
      <c r="G141"/>
      <c r="H141"/>
    </row>
    <row r="142" spans="3:9" ht="62.25" customHeight="1" x14ac:dyDescent="0.25">
      <c r="C142" s="154" t="s">
        <v>92</v>
      </c>
      <c r="D142" s="154"/>
      <c r="E142" s="154"/>
      <c r="F142" s="154"/>
      <c r="G142" s="154"/>
      <c r="H142" s="154"/>
    </row>
    <row r="143" spans="3:9" x14ac:dyDescent="0.25">
      <c r="C143" s="153"/>
      <c r="D143" s="153"/>
      <c r="E143" s="153"/>
      <c r="F143" s="153"/>
      <c r="G143" s="153"/>
      <c r="H143" s="153"/>
    </row>
    <row r="144" spans="3:9" x14ac:dyDescent="0.25">
      <c r="C144" s="153"/>
      <c r="D144" s="153"/>
      <c r="E144" s="153"/>
      <c r="F144" s="153"/>
      <c r="G144" s="153"/>
      <c r="H144" s="153"/>
    </row>
    <row r="145" spans="3:8" ht="100.5" customHeight="1" x14ac:dyDescent="0.25">
      <c r="C145" s="153" t="s">
        <v>99</v>
      </c>
      <c r="D145" s="153"/>
      <c r="E145" s="153"/>
      <c r="F145" s="153"/>
      <c r="G145" s="153"/>
      <c r="H145" s="153"/>
    </row>
    <row r="146" spans="3:8" x14ac:dyDescent="0.25">
      <c r="C146" s="153"/>
      <c r="D146" s="153"/>
      <c r="E146" s="153"/>
      <c r="F146" s="153"/>
      <c r="G146" s="153"/>
      <c r="H146" s="153"/>
    </row>
    <row r="147" spans="3:8" ht="39.75" customHeight="1" x14ac:dyDescent="0.25">
      <c r="C147" s="153"/>
      <c r="D147" s="153"/>
      <c r="E147" s="153"/>
      <c r="F147" s="153"/>
      <c r="G147" s="153"/>
      <c r="H147" s="153"/>
    </row>
  </sheetData>
  <pageMargins left="0.7" right="0.7" top="0.75" bottom="0.75" header="0.3" footer="0.3"/>
  <pageSetup paperSize="9" scale="48" orientation="portrait" r:id="rId1"/>
  <rowBreaks count="1" manualBreakCount="1">
    <brk id="59" min="1"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770E5-6604-4C9D-BE75-D296F5BA62B8}">
  <dimension ref="B1:I147"/>
  <sheetViews>
    <sheetView topLeftCell="A20" zoomScale="70" zoomScaleNormal="70" workbookViewId="0"/>
  </sheetViews>
  <sheetFormatPr baseColWidth="10" defaultColWidth="11.42578125" defaultRowHeight="15" x14ac:dyDescent="0.25"/>
  <cols>
    <col min="2" max="2" width="12" style="56" bestFit="1" customWidth="1"/>
    <col min="3" max="3" width="51.85546875" style="57" bestFit="1" customWidth="1"/>
    <col min="4" max="4" width="6.7109375" style="56" bestFit="1" customWidth="1"/>
    <col min="5" max="5" width="33.42578125" style="56" customWidth="1"/>
    <col min="6" max="6" width="27.42578125" style="56" customWidth="1"/>
    <col min="7" max="7" width="23.42578125" style="57" bestFit="1" customWidth="1"/>
    <col min="8" max="8" width="40.5703125" style="57" bestFit="1" customWidth="1"/>
  </cols>
  <sheetData>
    <row r="1" spans="2:8" ht="15.75" thickBot="1" x14ac:dyDescent="0.3"/>
    <row r="2" spans="2:8" x14ac:dyDescent="0.25">
      <c r="B2" s="218" t="s">
        <v>77</v>
      </c>
      <c r="C2" s="219"/>
      <c r="D2" s="219"/>
      <c r="E2" s="219"/>
      <c r="F2" s="219"/>
      <c r="G2" s="219"/>
      <c r="H2" s="220"/>
    </row>
    <row r="3" spans="2:8" x14ac:dyDescent="0.25">
      <c r="B3" s="221" t="s">
        <v>78</v>
      </c>
      <c r="C3" s="222"/>
      <c r="D3" s="222"/>
      <c r="E3" s="222"/>
      <c r="F3" s="222"/>
      <c r="G3" s="222"/>
      <c r="H3" s="223"/>
    </row>
    <row r="4" spans="2:8" ht="42.75" customHeight="1" thickBot="1" x14ac:dyDescent="0.3">
      <c r="B4" s="221" t="s">
        <v>79</v>
      </c>
      <c r="C4" s="222"/>
      <c r="D4" s="222"/>
      <c r="E4" s="222"/>
      <c r="F4" s="222"/>
      <c r="G4" s="222"/>
      <c r="H4" s="223"/>
    </row>
    <row r="5" spans="2:8" ht="15" customHeight="1" x14ac:dyDescent="0.25">
      <c r="B5" s="224" t="s">
        <v>0</v>
      </c>
      <c r="C5" s="226" t="s">
        <v>1</v>
      </c>
      <c r="D5" s="226"/>
      <c r="E5" s="226"/>
      <c r="F5" s="226"/>
      <c r="G5" s="226"/>
      <c r="H5" s="227"/>
    </row>
    <row r="6" spans="2:8" ht="84.75" customHeight="1" thickBot="1" x14ac:dyDescent="0.3">
      <c r="B6" s="225"/>
      <c r="C6" s="228"/>
      <c r="D6" s="228"/>
      <c r="E6" s="228"/>
      <c r="F6" s="228"/>
      <c r="G6" s="228"/>
      <c r="H6" s="229"/>
    </row>
    <row r="7" spans="2:8" x14ac:dyDescent="0.25">
      <c r="B7" s="58" t="s">
        <v>80</v>
      </c>
      <c r="C7" s="230"/>
      <c r="D7" s="230"/>
      <c r="E7" s="230"/>
      <c r="F7" s="230"/>
      <c r="G7" s="59"/>
      <c r="H7" s="60"/>
    </row>
    <row r="8" spans="2:8" x14ac:dyDescent="0.25">
      <c r="B8" s="206" t="s">
        <v>81</v>
      </c>
      <c r="C8" s="207"/>
      <c r="D8" s="207"/>
      <c r="E8" s="207"/>
      <c r="F8" s="207"/>
      <c r="G8" s="207"/>
      <c r="H8" s="208"/>
    </row>
    <row r="9" spans="2:8" x14ac:dyDescent="0.25">
      <c r="B9" s="206" t="s">
        <v>82</v>
      </c>
      <c r="C9" s="207"/>
      <c r="D9" s="207"/>
      <c r="E9" s="207"/>
      <c r="F9" s="207"/>
      <c r="G9" s="207"/>
      <c r="H9" s="208"/>
    </row>
    <row r="10" spans="2:8" x14ac:dyDescent="0.25">
      <c r="B10" s="206" t="s">
        <v>83</v>
      </c>
      <c r="C10" s="207"/>
      <c r="D10" s="207"/>
      <c r="E10" s="207"/>
      <c r="F10" s="207"/>
      <c r="G10" s="207"/>
      <c r="H10" s="208"/>
    </row>
    <row r="11" spans="2:8" ht="34.5" customHeight="1" thickBot="1" x14ac:dyDescent="0.3">
      <c r="B11" s="209" t="s">
        <v>84</v>
      </c>
      <c r="C11" s="210"/>
      <c r="D11" s="210"/>
      <c r="E11" s="210"/>
      <c r="F11" s="210"/>
      <c r="G11" s="210"/>
      <c r="H11" s="211"/>
    </row>
    <row r="12" spans="2:8" ht="19.5" customHeight="1" thickBot="1" x14ac:dyDescent="0.3">
      <c r="B12" s="212" t="s">
        <v>85</v>
      </c>
      <c r="C12" s="213"/>
      <c r="D12" s="213"/>
      <c r="E12" s="213"/>
      <c r="F12" s="213"/>
      <c r="G12" s="213"/>
      <c r="H12" s="214"/>
    </row>
    <row r="13" spans="2:8" ht="72.75" customHeight="1" thickBot="1" x14ac:dyDescent="0.3">
      <c r="B13" s="215" t="s">
        <v>86</v>
      </c>
      <c r="C13" s="216"/>
      <c r="D13" s="216"/>
      <c r="E13" s="216"/>
      <c r="F13" s="216"/>
      <c r="G13" s="216"/>
      <c r="H13" s="217"/>
    </row>
    <row r="14" spans="2:8" ht="15.75" thickBot="1" x14ac:dyDescent="0.3">
      <c r="D14" s="57"/>
      <c r="F14" s="57"/>
    </row>
    <row r="15" spans="2:8" ht="18.75" customHeight="1" thickBot="1" x14ac:dyDescent="0.3">
      <c r="B15" s="192" t="s">
        <v>87</v>
      </c>
      <c r="C15" s="193"/>
      <c r="D15" s="193"/>
      <c r="E15" s="193"/>
      <c r="F15" s="193"/>
      <c r="G15" s="193"/>
      <c r="H15" s="194"/>
    </row>
    <row r="16" spans="2:8" ht="18.75" customHeight="1" thickBot="1" x14ac:dyDescent="0.3">
      <c r="B16" s="192" t="s">
        <v>2</v>
      </c>
      <c r="C16" s="193"/>
      <c r="D16" s="193"/>
      <c r="E16" s="193"/>
      <c r="F16" s="193"/>
      <c r="G16" s="193"/>
      <c r="H16" s="194"/>
    </row>
    <row r="17" spans="2:8" ht="15.75" thickBot="1" x14ac:dyDescent="0.3">
      <c r="B17" s="61" t="s">
        <v>3</v>
      </c>
      <c r="C17" s="62" t="s">
        <v>4</v>
      </c>
      <c r="D17" s="63" t="s">
        <v>5</v>
      </c>
      <c r="E17" s="64" t="s">
        <v>6</v>
      </c>
      <c r="F17" s="65" t="s">
        <v>7</v>
      </c>
      <c r="G17" s="64" t="s">
        <v>8</v>
      </c>
      <c r="H17" s="66" t="s">
        <v>9</v>
      </c>
    </row>
    <row r="18" spans="2:8" s="69" customFormat="1" ht="15.75" customHeight="1" thickBot="1" x14ac:dyDescent="0.3">
      <c r="B18" s="67">
        <v>1</v>
      </c>
      <c r="C18" s="195" t="s">
        <v>10</v>
      </c>
      <c r="D18" s="196"/>
      <c r="E18" s="196"/>
      <c r="F18" s="196"/>
      <c r="G18" s="196"/>
      <c r="H18" s="68">
        <f>SUM(G19:G24)</f>
        <v>1836344</v>
      </c>
    </row>
    <row r="19" spans="2:8" s="56" customFormat="1" ht="48" customHeight="1" x14ac:dyDescent="0.25">
      <c r="B19" s="70">
        <v>1.1000000000000001</v>
      </c>
      <c r="C19" s="71" t="s">
        <v>11</v>
      </c>
      <c r="D19" s="72" t="s">
        <v>12</v>
      </c>
      <c r="E19" s="73">
        <v>13747</v>
      </c>
      <c r="F19" s="74">
        <v>84</v>
      </c>
      <c r="G19" s="73">
        <f>+E19*F19</f>
        <v>1154748</v>
      </c>
      <c r="H19" s="75"/>
    </row>
    <row r="20" spans="2:8" s="56" customFormat="1" ht="39.6" customHeight="1" x14ac:dyDescent="0.25">
      <c r="B20" s="76">
        <v>1.2</v>
      </c>
      <c r="C20" s="77" t="s">
        <v>13</v>
      </c>
      <c r="D20" s="78" t="s">
        <v>14</v>
      </c>
      <c r="E20" s="79">
        <v>11557</v>
      </c>
      <c r="F20" s="80">
        <v>14</v>
      </c>
      <c r="G20" s="79">
        <f t="shared" ref="G20:G24" si="0">+E20*F20</f>
        <v>161798</v>
      </c>
      <c r="H20" s="81"/>
    </row>
    <row r="21" spans="2:8" s="56" customFormat="1" ht="44.45" customHeight="1" x14ac:dyDescent="0.25">
      <c r="B21" s="76">
        <v>1.4</v>
      </c>
      <c r="C21" s="77" t="s">
        <v>15</v>
      </c>
      <c r="D21" s="78" t="s">
        <v>14</v>
      </c>
      <c r="E21" s="79">
        <v>15669</v>
      </c>
      <c r="F21" s="80">
        <v>14</v>
      </c>
      <c r="G21" s="79">
        <f t="shared" si="0"/>
        <v>219366</v>
      </c>
      <c r="H21" s="81"/>
    </row>
    <row r="22" spans="2:8" s="56" customFormat="1" ht="48" customHeight="1" x14ac:dyDescent="0.25">
      <c r="B22" s="76">
        <v>1.5</v>
      </c>
      <c r="C22" s="77" t="s">
        <v>16</v>
      </c>
      <c r="D22" s="78" t="s">
        <v>12</v>
      </c>
      <c r="E22" s="79">
        <v>10172</v>
      </c>
      <c r="F22" s="80">
        <v>26.25</v>
      </c>
      <c r="G22" s="79">
        <f t="shared" si="0"/>
        <v>267015</v>
      </c>
      <c r="H22" s="81"/>
    </row>
    <row r="23" spans="2:8" s="56" customFormat="1" ht="30" customHeight="1" x14ac:dyDescent="0.25">
      <c r="B23" s="76">
        <v>1.6</v>
      </c>
      <c r="C23" s="77" t="s">
        <v>17</v>
      </c>
      <c r="D23" s="78" t="s">
        <v>18</v>
      </c>
      <c r="E23" s="79">
        <v>3707</v>
      </c>
      <c r="F23" s="80">
        <v>7</v>
      </c>
      <c r="G23" s="79">
        <f t="shared" si="0"/>
        <v>25949</v>
      </c>
      <c r="H23" s="81"/>
    </row>
    <row r="24" spans="2:8" s="56" customFormat="1" ht="23.45" customHeight="1" thickBot="1" x14ac:dyDescent="0.3">
      <c r="B24" s="76">
        <v>1.7</v>
      </c>
      <c r="C24" s="77" t="s">
        <v>19</v>
      </c>
      <c r="D24" s="78" t="s">
        <v>12</v>
      </c>
      <c r="E24" s="79">
        <v>7468</v>
      </c>
      <c r="F24" s="80">
        <v>1</v>
      </c>
      <c r="G24" s="79">
        <f t="shared" si="0"/>
        <v>7468</v>
      </c>
      <c r="H24" s="81"/>
    </row>
    <row r="25" spans="2:8" s="69" customFormat="1" ht="15.75" customHeight="1" thickBot="1" x14ac:dyDescent="0.3">
      <c r="B25" s="82">
        <v>3</v>
      </c>
      <c r="C25" s="183" t="s">
        <v>20</v>
      </c>
      <c r="D25" s="184"/>
      <c r="E25" s="184"/>
      <c r="F25" s="184"/>
      <c r="G25" s="184"/>
      <c r="H25" s="83">
        <f>SUM(G26)</f>
        <v>11497675.800000001</v>
      </c>
    </row>
    <row r="26" spans="2:8" s="56" customFormat="1" ht="129" customHeight="1" thickBot="1" x14ac:dyDescent="0.3">
      <c r="B26" s="84">
        <v>3.3</v>
      </c>
      <c r="C26" s="85" t="s">
        <v>21</v>
      </c>
      <c r="D26" s="86" t="s">
        <v>12</v>
      </c>
      <c r="E26" s="118">
        <v>144807</v>
      </c>
      <c r="F26" s="88">
        <v>79.400000000000006</v>
      </c>
      <c r="G26" s="87">
        <f>+E26*F26</f>
        <v>11497675.800000001</v>
      </c>
      <c r="H26" s="89"/>
    </row>
    <row r="27" spans="2:8" s="69" customFormat="1" ht="15.75" customHeight="1" thickBot="1" x14ac:dyDescent="0.3">
      <c r="B27" s="67">
        <v>4</v>
      </c>
      <c r="C27" s="195" t="s">
        <v>22</v>
      </c>
      <c r="D27" s="196"/>
      <c r="E27" s="196"/>
      <c r="F27" s="196"/>
      <c r="G27" s="196"/>
      <c r="H27" s="68">
        <f>SUM(G28)</f>
        <v>8286040</v>
      </c>
    </row>
    <row r="28" spans="2:8" s="56" customFormat="1" ht="15.75" thickBot="1" x14ac:dyDescent="0.3">
      <c r="B28" s="90">
        <v>4.0999999999999996</v>
      </c>
      <c r="C28" s="91" t="s">
        <v>23</v>
      </c>
      <c r="D28" s="92" t="s">
        <v>24</v>
      </c>
      <c r="E28" s="93">
        <v>14140</v>
      </c>
      <c r="F28" s="94">
        <v>586</v>
      </c>
      <c r="G28" s="93">
        <f>+E28*F28</f>
        <v>8286040</v>
      </c>
      <c r="H28" s="95"/>
    </row>
    <row r="29" spans="2:8" s="69" customFormat="1" ht="15.75" customHeight="1" thickBot="1" x14ac:dyDescent="0.3">
      <c r="B29" s="82">
        <v>5</v>
      </c>
      <c r="C29" s="183" t="s">
        <v>25</v>
      </c>
      <c r="D29" s="184"/>
      <c r="E29" s="184"/>
      <c r="F29" s="184"/>
      <c r="G29" s="184"/>
      <c r="H29" s="83">
        <f>SUM(G30)</f>
        <v>300351</v>
      </c>
    </row>
    <row r="30" spans="2:8" s="56" customFormat="1" ht="54.6" customHeight="1" thickBot="1" x14ac:dyDescent="0.3">
      <c r="B30" s="96">
        <v>5.0999999999999996</v>
      </c>
      <c r="C30" s="97" t="s">
        <v>26</v>
      </c>
      <c r="D30" s="98" t="s">
        <v>12</v>
      </c>
      <c r="E30" s="99">
        <v>18890</v>
      </c>
      <c r="F30" s="100">
        <v>15.9</v>
      </c>
      <c r="G30" s="99">
        <f>+E30*F30</f>
        <v>300351</v>
      </c>
      <c r="H30" s="101"/>
    </row>
    <row r="31" spans="2:8" ht="15.75" customHeight="1" thickBot="1" x14ac:dyDescent="0.3">
      <c r="B31" s="161" t="s">
        <v>27</v>
      </c>
      <c r="C31" s="162"/>
      <c r="D31" s="162"/>
      <c r="E31" s="162"/>
      <c r="F31" s="162"/>
      <c r="G31" s="185"/>
      <c r="H31" s="102">
        <f>SUM(H18:H30)</f>
        <v>21920410.800000001</v>
      </c>
    </row>
    <row r="32" spans="2:8" ht="15" customHeight="1" x14ac:dyDescent="0.25">
      <c r="B32" s="186" t="s">
        <v>28</v>
      </c>
      <c r="C32" s="187"/>
      <c r="D32" s="188" t="s">
        <v>29</v>
      </c>
      <c r="E32" s="189"/>
      <c r="F32" s="190">
        <v>0.27200000000000002</v>
      </c>
      <c r="G32" s="191"/>
      <c r="H32" s="103">
        <f>+H31*F32</f>
        <v>5962351.7376000006</v>
      </c>
    </row>
    <row r="33" spans="2:8" ht="15" customHeight="1" x14ac:dyDescent="0.25">
      <c r="B33" s="171" t="s">
        <v>30</v>
      </c>
      <c r="C33" s="172"/>
      <c r="D33" s="173" t="s">
        <v>31</v>
      </c>
      <c r="E33" s="174"/>
      <c r="F33" s="175">
        <v>0.01</v>
      </c>
      <c r="G33" s="176"/>
      <c r="H33" s="104">
        <f>+H31*F33</f>
        <v>219204.10800000001</v>
      </c>
    </row>
    <row r="34" spans="2:8" ht="15" customHeight="1" x14ac:dyDescent="0.25">
      <c r="B34" s="171" t="s">
        <v>32</v>
      </c>
      <c r="C34" s="172"/>
      <c r="D34" s="173" t="s">
        <v>33</v>
      </c>
      <c r="E34" s="174"/>
      <c r="F34" s="175">
        <v>0.04</v>
      </c>
      <c r="G34" s="176"/>
      <c r="H34" s="104">
        <f>+H31*F34</f>
        <v>876816.43200000003</v>
      </c>
    </row>
    <row r="35" spans="2:8" ht="15.75" customHeight="1" thickBot="1" x14ac:dyDescent="0.3">
      <c r="B35" s="177" t="s">
        <v>34</v>
      </c>
      <c r="C35" s="178"/>
      <c r="D35" s="179" t="s">
        <v>35</v>
      </c>
      <c r="E35" s="180"/>
      <c r="F35" s="181">
        <v>0.19</v>
      </c>
      <c r="G35" s="182"/>
      <c r="H35" s="105">
        <f>+H34*F35</f>
        <v>166595.12208</v>
      </c>
    </row>
    <row r="36" spans="2:8" ht="15.75" customHeight="1" thickBot="1" x14ac:dyDescent="0.3">
      <c r="B36" s="161" t="s">
        <v>36</v>
      </c>
      <c r="C36" s="162"/>
      <c r="D36" s="162"/>
      <c r="E36" s="162"/>
      <c r="F36" s="162"/>
      <c r="G36" s="162"/>
      <c r="H36" s="106">
        <f>SUM(H32:H35)</f>
        <v>7224967.3996800007</v>
      </c>
    </row>
    <row r="37" spans="2:8" ht="15.75" customHeight="1" thickBot="1" x14ac:dyDescent="0.3">
      <c r="B37" s="161" t="s">
        <v>37</v>
      </c>
      <c r="C37" s="162"/>
      <c r="D37" s="162"/>
      <c r="E37" s="162"/>
      <c r="F37" s="162"/>
      <c r="G37" s="162"/>
      <c r="H37" s="106">
        <f>+H31+H36</f>
        <v>29145378.199680001</v>
      </c>
    </row>
    <row r="38" spans="2:8" x14ac:dyDescent="0.25">
      <c r="B38" s="107"/>
      <c r="C38" s="107"/>
      <c r="D38" s="107"/>
      <c r="E38" s="107"/>
      <c r="F38" s="107"/>
      <c r="G38" s="107"/>
      <c r="H38" s="108"/>
    </row>
    <row r="39" spans="2:8" x14ac:dyDescent="0.25">
      <c r="B39" s="107"/>
      <c r="C39" s="107"/>
      <c r="D39" s="107"/>
      <c r="E39" s="107"/>
      <c r="F39" s="107"/>
      <c r="G39" s="107"/>
      <c r="H39" s="108"/>
    </row>
    <row r="40" spans="2:8" ht="15.75" thickBot="1" x14ac:dyDescent="0.3">
      <c r="D40" s="57"/>
      <c r="F40" s="57"/>
    </row>
    <row r="41" spans="2:8" ht="38.25" customHeight="1" thickBot="1" x14ac:dyDescent="0.3">
      <c r="B41" s="203" t="s">
        <v>38</v>
      </c>
      <c r="C41" s="204"/>
      <c r="D41" s="204"/>
      <c r="E41" s="204"/>
      <c r="F41" s="204"/>
      <c r="G41" s="204"/>
      <c r="H41" s="205"/>
    </row>
    <row r="42" spans="2:8" ht="18.75" customHeight="1" thickBot="1" x14ac:dyDescent="0.3">
      <c r="B42" s="199" t="s">
        <v>88</v>
      </c>
      <c r="C42" s="200"/>
      <c r="D42" s="200"/>
      <c r="E42" s="200"/>
      <c r="F42" s="200"/>
      <c r="G42" s="200"/>
      <c r="H42" s="201"/>
    </row>
    <row r="43" spans="2:8" ht="15.75" thickBot="1" x14ac:dyDescent="0.3">
      <c r="B43" s="109" t="s">
        <v>3</v>
      </c>
      <c r="C43" s="110" t="s">
        <v>4</v>
      </c>
      <c r="D43" s="111" t="s">
        <v>5</v>
      </c>
      <c r="E43" s="112" t="s">
        <v>6</v>
      </c>
      <c r="F43" s="113" t="s">
        <v>7</v>
      </c>
      <c r="G43" s="112" t="s">
        <v>8</v>
      </c>
      <c r="H43" s="114" t="s">
        <v>9</v>
      </c>
    </row>
    <row r="44" spans="2:8" s="69" customFormat="1" ht="15.75" customHeight="1" thickBot="1" x14ac:dyDescent="0.3">
      <c r="B44" s="82">
        <v>1</v>
      </c>
      <c r="C44" s="183" t="s">
        <v>10</v>
      </c>
      <c r="D44" s="184"/>
      <c r="E44" s="184"/>
      <c r="F44" s="184"/>
      <c r="G44" s="184"/>
      <c r="H44" s="83">
        <f>SUM(G45:G46)</f>
        <v>384620</v>
      </c>
    </row>
    <row r="45" spans="2:8" s="56" customFormat="1" ht="31.15" customHeight="1" x14ac:dyDescent="0.25">
      <c r="B45" s="115">
        <v>1.3</v>
      </c>
      <c r="C45" s="116" t="s">
        <v>39</v>
      </c>
      <c r="D45" s="117" t="s">
        <v>12</v>
      </c>
      <c r="E45" s="87">
        <v>4760</v>
      </c>
      <c r="F45" s="88">
        <v>70</v>
      </c>
      <c r="G45" s="87">
        <f>+E45*F45</f>
        <v>333200</v>
      </c>
      <c r="H45" s="89"/>
    </row>
    <row r="46" spans="2:8" s="56" customFormat="1" ht="36.6" customHeight="1" thickBot="1" x14ac:dyDescent="0.3">
      <c r="B46" s="84">
        <v>1.8</v>
      </c>
      <c r="C46" s="85" t="s">
        <v>40</v>
      </c>
      <c r="D46" s="86" t="s">
        <v>41</v>
      </c>
      <c r="E46" s="240">
        <v>1714</v>
      </c>
      <c r="F46" s="119">
        <v>30</v>
      </c>
      <c r="G46" s="118">
        <f>+E46*F46</f>
        <v>51420</v>
      </c>
      <c r="H46" s="120"/>
    </row>
    <row r="47" spans="2:8" s="69" customFormat="1" ht="15.75" customHeight="1" thickBot="1" x14ac:dyDescent="0.3">
      <c r="B47" s="121">
        <v>2</v>
      </c>
      <c r="C47" s="197" t="s">
        <v>42</v>
      </c>
      <c r="D47" s="198"/>
      <c r="E47" s="198"/>
      <c r="F47" s="198"/>
      <c r="G47" s="198"/>
      <c r="H47" s="122">
        <f>SUM(G48)</f>
        <v>272970</v>
      </c>
    </row>
    <row r="48" spans="2:8" s="56" customFormat="1" ht="62.45" customHeight="1" thickBot="1" x14ac:dyDescent="0.3">
      <c r="B48" s="115">
        <v>2.1</v>
      </c>
      <c r="C48" s="116" t="s">
        <v>43</v>
      </c>
      <c r="D48" s="117" t="s">
        <v>44</v>
      </c>
      <c r="E48" s="87">
        <v>75825</v>
      </c>
      <c r="F48" s="88">
        <v>3.5999999999999996</v>
      </c>
      <c r="G48" s="87">
        <f>+E48*F48</f>
        <v>272970</v>
      </c>
      <c r="H48" s="89"/>
    </row>
    <row r="49" spans="2:8" s="69" customFormat="1" ht="15.75" customHeight="1" thickBot="1" x14ac:dyDescent="0.3">
      <c r="B49" s="82">
        <v>3</v>
      </c>
      <c r="C49" s="202" t="s">
        <v>20</v>
      </c>
      <c r="D49" s="184"/>
      <c r="E49" s="184"/>
      <c r="F49" s="184"/>
      <c r="G49" s="184"/>
      <c r="H49" s="83">
        <f>SUM(G50)</f>
        <v>254005</v>
      </c>
    </row>
    <row r="50" spans="2:8" s="56" customFormat="1" ht="145.15" customHeight="1" thickBot="1" x14ac:dyDescent="0.3">
      <c r="B50" s="70">
        <v>3.1</v>
      </c>
      <c r="C50" s="71" t="s">
        <v>45</v>
      </c>
      <c r="D50" s="72" t="s">
        <v>41</v>
      </c>
      <c r="E50" s="73">
        <v>50801</v>
      </c>
      <c r="F50" s="88">
        <v>5</v>
      </c>
      <c r="G50" s="87">
        <f>+E50*F50</f>
        <v>254005</v>
      </c>
      <c r="H50" s="89"/>
    </row>
    <row r="51" spans="2:8" s="69" customFormat="1" ht="15.75" customHeight="1" thickBot="1" x14ac:dyDescent="0.3">
      <c r="B51" s="82">
        <v>4</v>
      </c>
      <c r="C51" s="183" t="s">
        <v>22</v>
      </c>
      <c r="D51" s="184"/>
      <c r="E51" s="184"/>
      <c r="F51" s="184"/>
      <c r="G51" s="184"/>
      <c r="H51" s="83">
        <f>SUM(G52:G55)</f>
        <v>4297241.88</v>
      </c>
    </row>
    <row r="52" spans="2:8" s="56" customFormat="1" ht="44.45" customHeight="1" x14ac:dyDescent="0.25">
      <c r="B52" s="76">
        <v>4.2</v>
      </c>
      <c r="C52" s="77" t="s">
        <v>46</v>
      </c>
      <c r="D52" s="78" t="s">
        <v>12</v>
      </c>
      <c r="E52" s="79">
        <v>12263</v>
      </c>
      <c r="F52" s="88">
        <v>85</v>
      </c>
      <c r="G52" s="87">
        <f>+E52*F52</f>
        <v>1042355</v>
      </c>
      <c r="H52" s="89"/>
    </row>
    <row r="53" spans="2:8" s="56" customFormat="1" ht="61.9" customHeight="1" x14ac:dyDescent="0.25">
      <c r="B53" s="76">
        <v>4.3</v>
      </c>
      <c r="C53" s="77" t="s">
        <v>47</v>
      </c>
      <c r="D53" s="78" t="s">
        <v>12</v>
      </c>
      <c r="E53" s="79">
        <v>23108</v>
      </c>
      <c r="F53" s="80">
        <v>70</v>
      </c>
      <c r="G53" s="79">
        <f>+E53*F53</f>
        <v>1617560</v>
      </c>
      <c r="H53" s="81"/>
    </row>
    <row r="54" spans="2:8" s="56" customFormat="1" ht="72" customHeight="1" x14ac:dyDescent="0.25">
      <c r="B54" s="76">
        <v>4.4000000000000004</v>
      </c>
      <c r="C54" s="77" t="s">
        <v>48</v>
      </c>
      <c r="D54" s="80" t="s">
        <v>24</v>
      </c>
      <c r="E54" s="79">
        <v>20345</v>
      </c>
      <c r="F54" s="80">
        <v>70</v>
      </c>
      <c r="G54" s="79">
        <f>+E54*F54</f>
        <v>1424150</v>
      </c>
      <c r="H54" s="81"/>
    </row>
    <row r="55" spans="2:8" s="56" customFormat="1" ht="41.45" customHeight="1" thickBot="1" x14ac:dyDescent="0.3">
      <c r="B55" s="84">
        <v>4.5</v>
      </c>
      <c r="C55" s="85" t="s">
        <v>49</v>
      </c>
      <c r="D55" s="119" t="s">
        <v>24</v>
      </c>
      <c r="E55" s="118">
        <v>56396</v>
      </c>
      <c r="F55" s="119">
        <v>3.7800000000000002</v>
      </c>
      <c r="G55" s="118">
        <f>+E55*F55</f>
        <v>213176.88</v>
      </c>
      <c r="H55" s="120"/>
    </row>
    <row r="56" spans="2:8" s="69" customFormat="1" ht="15.75" customHeight="1" thickBot="1" x14ac:dyDescent="0.3">
      <c r="B56" s="121">
        <v>5</v>
      </c>
      <c r="C56" s="197" t="s">
        <v>25</v>
      </c>
      <c r="D56" s="198"/>
      <c r="E56" s="198"/>
      <c r="F56" s="198"/>
      <c r="G56" s="198"/>
      <c r="H56" s="122">
        <f>SUM(G57)</f>
        <v>32415.240000000005</v>
      </c>
    </row>
    <row r="57" spans="2:8" s="56" customFormat="1" ht="55.9" customHeight="1" thickBot="1" x14ac:dyDescent="0.3">
      <c r="B57" s="96">
        <v>5.0999999999999996</v>
      </c>
      <c r="C57" s="97" t="s">
        <v>26</v>
      </c>
      <c r="D57" s="98" t="s">
        <v>12</v>
      </c>
      <c r="E57" s="99">
        <v>18890</v>
      </c>
      <c r="F57" s="100">
        <v>1.7160000000000002</v>
      </c>
      <c r="G57" s="99">
        <f>+E57*F57</f>
        <v>32415.240000000005</v>
      </c>
      <c r="H57" s="101"/>
    </row>
    <row r="58" spans="2:8" s="69" customFormat="1" ht="15.75" customHeight="1" thickBot="1" x14ac:dyDescent="0.3">
      <c r="B58" s="82">
        <v>8</v>
      </c>
      <c r="C58" s="183" t="s">
        <v>50</v>
      </c>
      <c r="D58" s="184"/>
      <c r="E58" s="184"/>
      <c r="F58" s="184"/>
      <c r="G58" s="184"/>
      <c r="H58" s="83">
        <f>SUM(G59:G59)</f>
        <v>437795</v>
      </c>
    </row>
    <row r="59" spans="2:8" s="56" customFormat="1" ht="51" customHeight="1" thickBot="1" x14ac:dyDescent="0.3">
      <c r="B59" s="115">
        <v>8.9</v>
      </c>
      <c r="C59" s="123" t="s">
        <v>51</v>
      </c>
      <c r="D59" s="117" t="s">
        <v>14</v>
      </c>
      <c r="E59" s="87">
        <v>437795</v>
      </c>
      <c r="F59" s="88">
        <v>1</v>
      </c>
      <c r="G59" s="87">
        <f t="shared" ref="G59" si="1">+E59*F59</f>
        <v>437795</v>
      </c>
      <c r="H59" s="89"/>
    </row>
    <row r="60" spans="2:8" s="69" customFormat="1" ht="15.75" customHeight="1" thickBot="1" x14ac:dyDescent="0.3">
      <c r="B60" s="82">
        <v>10</v>
      </c>
      <c r="C60" s="183" t="s">
        <v>52</v>
      </c>
      <c r="D60" s="184"/>
      <c r="E60" s="184"/>
      <c r="F60" s="184"/>
      <c r="G60" s="184"/>
      <c r="H60" s="83">
        <f>SUM(G61:G62)</f>
        <v>2409759</v>
      </c>
    </row>
    <row r="61" spans="2:8" s="56" customFormat="1" ht="204" customHeight="1" x14ac:dyDescent="0.25">
      <c r="B61" s="76">
        <v>10.4</v>
      </c>
      <c r="C61" s="77" t="s">
        <v>53</v>
      </c>
      <c r="D61" s="80" t="s">
        <v>41</v>
      </c>
      <c r="E61" s="79">
        <v>883519</v>
      </c>
      <c r="F61" s="80">
        <v>1.8</v>
      </c>
      <c r="G61" s="79">
        <f>+E61*F61</f>
        <v>1590334.2</v>
      </c>
      <c r="H61" s="81"/>
    </row>
    <row r="62" spans="2:8" s="56" customFormat="1" ht="174" customHeight="1" thickBot="1" x14ac:dyDescent="0.3">
      <c r="B62" s="76">
        <v>10.5</v>
      </c>
      <c r="C62" s="77" t="s">
        <v>54</v>
      </c>
      <c r="D62" s="80" t="s">
        <v>41</v>
      </c>
      <c r="E62" s="79">
        <v>455236</v>
      </c>
      <c r="F62" s="80">
        <v>1.8</v>
      </c>
      <c r="G62" s="79">
        <f>+E62*F62</f>
        <v>819424.8</v>
      </c>
      <c r="H62" s="81"/>
    </row>
    <row r="63" spans="2:8" s="69" customFormat="1" ht="15.75" customHeight="1" thickBot="1" x14ac:dyDescent="0.3">
      <c r="B63" s="82">
        <v>12</v>
      </c>
      <c r="C63" s="183" t="s">
        <v>55</v>
      </c>
      <c r="D63" s="184"/>
      <c r="E63" s="184"/>
      <c r="F63" s="184"/>
      <c r="G63" s="184"/>
      <c r="H63" s="83">
        <f>SUM(G64:G64)</f>
        <v>236476</v>
      </c>
    </row>
    <row r="64" spans="2:8" s="56" customFormat="1" ht="43.9" customHeight="1" thickBot="1" x14ac:dyDescent="0.3">
      <c r="B64" s="76">
        <v>12.1</v>
      </c>
      <c r="C64" s="124" t="s">
        <v>56</v>
      </c>
      <c r="D64" s="78" t="s">
        <v>12</v>
      </c>
      <c r="E64" s="79">
        <v>236476</v>
      </c>
      <c r="F64" s="80">
        <v>1</v>
      </c>
      <c r="G64" s="79">
        <f>+E64*F64</f>
        <v>236476</v>
      </c>
      <c r="H64" s="81"/>
    </row>
    <row r="65" spans="2:8" s="69" customFormat="1" ht="15.75" customHeight="1" thickBot="1" x14ac:dyDescent="0.3">
      <c r="B65" s="67">
        <v>13</v>
      </c>
      <c r="C65" s="195" t="s">
        <v>57</v>
      </c>
      <c r="D65" s="196"/>
      <c r="E65" s="196"/>
      <c r="F65" s="196"/>
      <c r="G65" s="196"/>
      <c r="H65" s="68">
        <f>SUM(G66:G67)</f>
        <v>2269567</v>
      </c>
    </row>
    <row r="66" spans="2:8" s="56" customFormat="1" ht="49.9" customHeight="1" x14ac:dyDescent="0.25">
      <c r="B66" s="70">
        <v>13.1</v>
      </c>
      <c r="C66" s="125" t="s">
        <v>58</v>
      </c>
      <c r="D66" s="72">
        <v>0</v>
      </c>
      <c r="E66" s="73">
        <v>45763</v>
      </c>
      <c r="F66" s="74">
        <v>1</v>
      </c>
      <c r="G66" s="73">
        <f t="shared" ref="G66:G67" si="2">+E66*F66</f>
        <v>45763</v>
      </c>
      <c r="H66" s="75"/>
    </row>
    <row r="67" spans="2:8" s="56" customFormat="1" ht="66" customHeight="1" thickBot="1" x14ac:dyDescent="0.3">
      <c r="B67" s="84">
        <v>13.6</v>
      </c>
      <c r="C67" s="126" t="s">
        <v>59</v>
      </c>
      <c r="D67" s="86">
        <v>0</v>
      </c>
      <c r="E67" s="118">
        <v>130812</v>
      </c>
      <c r="F67" s="119">
        <v>17</v>
      </c>
      <c r="G67" s="118">
        <f t="shared" si="2"/>
        <v>2223804</v>
      </c>
      <c r="H67" s="120"/>
    </row>
    <row r="68" spans="2:8" ht="18.75" customHeight="1" thickBot="1" x14ac:dyDescent="0.3">
      <c r="B68" s="199" t="s">
        <v>60</v>
      </c>
      <c r="C68" s="200"/>
      <c r="D68" s="200"/>
      <c r="E68" s="200"/>
      <c r="F68" s="200"/>
      <c r="G68" s="200"/>
      <c r="H68" s="201"/>
    </row>
    <row r="69" spans="2:8" ht="15.75" thickBot="1" x14ac:dyDescent="0.3">
      <c r="B69" s="109" t="s">
        <v>3</v>
      </c>
      <c r="C69" s="110" t="s">
        <v>4</v>
      </c>
      <c r="D69" s="111" t="s">
        <v>5</v>
      </c>
      <c r="E69" s="112" t="s">
        <v>6</v>
      </c>
      <c r="F69" s="113" t="s">
        <v>7</v>
      </c>
      <c r="G69" s="112" t="s">
        <v>8</v>
      </c>
      <c r="H69" s="114" t="s">
        <v>9</v>
      </c>
    </row>
    <row r="70" spans="2:8" s="69" customFormat="1" ht="15.75" customHeight="1" thickBot="1" x14ac:dyDescent="0.3">
      <c r="B70" s="82">
        <v>1</v>
      </c>
      <c r="C70" s="183" t="s">
        <v>10</v>
      </c>
      <c r="D70" s="184"/>
      <c r="E70" s="184"/>
      <c r="F70" s="184"/>
      <c r="G70" s="184"/>
      <c r="H70" s="83">
        <f>SUM(G71:G72)</f>
        <v>714620</v>
      </c>
    </row>
    <row r="71" spans="2:8" s="56" customFormat="1" x14ac:dyDescent="0.25">
      <c r="B71" s="115">
        <v>1.3</v>
      </c>
      <c r="C71" s="116" t="s">
        <v>39</v>
      </c>
      <c r="D71" s="117" t="s">
        <v>12</v>
      </c>
      <c r="E71" s="87">
        <v>4760</v>
      </c>
      <c r="F71" s="88">
        <v>70</v>
      </c>
      <c r="G71" s="87">
        <f>+E71*F71</f>
        <v>333200</v>
      </c>
      <c r="H71" s="89"/>
    </row>
    <row r="72" spans="2:8" s="56" customFormat="1" ht="15.75" thickBot="1" x14ac:dyDescent="0.3">
      <c r="B72" s="84">
        <v>1.8</v>
      </c>
      <c r="C72" s="85" t="s">
        <v>40</v>
      </c>
      <c r="D72" s="86" t="s">
        <v>41</v>
      </c>
      <c r="E72" s="240">
        <v>12714</v>
      </c>
      <c r="F72" s="119">
        <v>30</v>
      </c>
      <c r="G72" s="118">
        <f>+E72*F72</f>
        <v>381420</v>
      </c>
      <c r="H72" s="120"/>
    </row>
    <row r="73" spans="2:8" s="69" customFormat="1" ht="15.75" customHeight="1" thickBot="1" x14ac:dyDescent="0.3">
      <c r="B73" s="82">
        <v>3</v>
      </c>
      <c r="C73" s="183" t="s">
        <v>20</v>
      </c>
      <c r="D73" s="184"/>
      <c r="E73" s="184"/>
      <c r="F73" s="184"/>
      <c r="G73" s="184"/>
      <c r="H73" s="83">
        <f>SUM(G74)</f>
        <v>965219</v>
      </c>
    </row>
    <row r="74" spans="2:8" s="56" customFormat="1" ht="154.9" customHeight="1" thickBot="1" x14ac:dyDescent="0.3">
      <c r="B74" s="70">
        <v>3.1</v>
      </c>
      <c r="C74" s="71" t="s">
        <v>45</v>
      </c>
      <c r="D74" s="72" t="s">
        <v>41</v>
      </c>
      <c r="E74" s="73">
        <v>50801</v>
      </c>
      <c r="F74" s="88">
        <v>19</v>
      </c>
      <c r="G74" s="87">
        <f>+E74*F74</f>
        <v>965219</v>
      </c>
      <c r="H74" s="89"/>
    </row>
    <row r="75" spans="2:8" s="69" customFormat="1" ht="15.75" customHeight="1" thickBot="1" x14ac:dyDescent="0.3">
      <c r="B75" s="82">
        <v>4</v>
      </c>
      <c r="C75" s="183" t="s">
        <v>22</v>
      </c>
      <c r="D75" s="184"/>
      <c r="E75" s="184"/>
      <c r="F75" s="184"/>
      <c r="G75" s="184"/>
      <c r="H75" s="83">
        <f>SUM(G76:G79)</f>
        <v>4297241.88</v>
      </c>
    </row>
    <row r="76" spans="2:8" s="56" customFormat="1" ht="52.9" customHeight="1" x14ac:dyDescent="0.25">
      <c r="B76" s="76">
        <v>4.2</v>
      </c>
      <c r="C76" s="77" t="s">
        <v>46</v>
      </c>
      <c r="D76" s="78" t="s">
        <v>12</v>
      </c>
      <c r="E76" s="79">
        <v>12263</v>
      </c>
      <c r="F76" s="88">
        <v>85</v>
      </c>
      <c r="G76" s="87">
        <f>+E76*F76</f>
        <v>1042355</v>
      </c>
      <c r="H76" s="89"/>
    </row>
    <row r="77" spans="2:8" s="56" customFormat="1" ht="71.45" customHeight="1" x14ac:dyDescent="0.25">
      <c r="B77" s="76">
        <v>4.3</v>
      </c>
      <c r="C77" s="77" t="s">
        <v>47</v>
      </c>
      <c r="D77" s="78" t="s">
        <v>12</v>
      </c>
      <c r="E77" s="79">
        <v>23108</v>
      </c>
      <c r="F77" s="80">
        <v>70</v>
      </c>
      <c r="G77" s="79">
        <f>+E77*F77</f>
        <v>1617560</v>
      </c>
      <c r="H77" s="81"/>
    </row>
    <row r="78" spans="2:8" s="56" customFormat="1" ht="75.599999999999994" customHeight="1" x14ac:dyDescent="0.25">
      <c r="B78" s="76">
        <v>4.4000000000000004</v>
      </c>
      <c r="C78" s="77" t="s">
        <v>48</v>
      </c>
      <c r="D78" s="80" t="s">
        <v>24</v>
      </c>
      <c r="E78" s="79">
        <v>20345</v>
      </c>
      <c r="F78" s="80">
        <v>70</v>
      </c>
      <c r="G78" s="79">
        <f>+E78*F78</f>
        <v>1424150</v>
      </c>
      <c r="H78" s="81"/>
    </row>
    <row r="79" spans="2:8" s="56" customFormat="1" ht="37.9" customHeight="1" thickBot="1" x14ac:dyDescent="0.3">
      <c r="B79" s="84">
        <v>4.5</v>
      </c>
      <c r="C79" s="85" t="s">
        <v>49</v>
      </c>
      <c r="D79" s="119" t="s">
        <v>24</v>
      </c>
      <c r="E79" s="118">
        <v>56396</v>
      </c>
      <c r="F79" s="119">
        <v>3.7800000000000002</v>
      </c>
      <c r="G79" s="118">
        <f>+E79*F79</f>
        <v>213176.88</v>
      </c>
      <c r="H79" s="120"/>
    </row>
    <row r="80" spans="2:8" s="69" customFormat="1" ht="15.75" customHeight="1" thickBot="1" x14ac:dyDescent="0.3">
      <c r="B80" s="121">
        <v>5</v>
      </c>
      <c r="C80" s="197" t="s">
        <v>25</v>
      </c>
      <c r="D80" s="198"/>
      <c r="E80" s="198"/>
      <c r="F80" s="198"/>
      <c r="G80" s="198"/>
      <c r="H80" s="122">
        <f>SUM(G81)</f>
        <v>32415.240000000005</v>
      </c>
    </row>
    <row r="81" spans="2:8" s="56" customFormat="1" ht="63" customHeight="1" thickBot="1" x14ac:dyDescent="0.3">
      <c r="B81" s="96">
        <v>5.0999999999999996</v>
      </c>
      <c r="C81" s="97" t="s">
        <v>26</v>
      </c>
      <c r="D81" s="98" t="s">
        <v>12</v>
      </c>
      <c r="E81" s="99">
        <v>18890</v>
      </c>
      <c r="F81" s="100">
        <v>1.7160000000000002</v>
      </c>
      <c r="G81" s="99">
        <f>+E81*F81</f>
        <v>32415.240000000005</v>
      </c>
      <c r="H81" s="101"/>
    </row>
    <row r="82" spans="2:8" s="69" customFormat="1" ht="15.75" customHeight="1" thickBot="1" x14ac:dyDescent="0.3">
      <c r="B82" s="67">
        <v>8</v>
      </c>
      <c r="C82" s="195" t="s">
        <v>50</v>
      </c>
      <c r="D82" s="196"/>
      <c r="E82" s="196"/>
      <c r="F82" s="196"/>
      <c r="G82" s="196"/>
      <c r="H82" s="68">
        <f>SUM(G83:G84)</f>
        <v>654696</v>
      </c>
    </row>
    <row r="83" spans="2:8" s="56" customFormat="1" ht="34.9" customHeight="1" x14ac:dyDescent="0.25">
      <c r="B83" s="70">
        <v>8.8000000000000007</v>
      </c>
      <c r="C83" s="125" t="s">
        <v>61</v>
      </c>
      <c r="D83" s="72" t="s">
        <v>14</v>
      </c>
      <c r="E83" s="73">
        <v>216931</v>
      </c>
      <c r="F83" s="74">
        <v>1</v>
      </c>
      <c r="G83" s="73">
        <f t="shared" ref="G83:G84" si="3">+E83*F83</f>
        <v>216931</v>
      </c>
      <c r="H83" s="75"/>
    </row>
    <row r="84" spans="2:8" s="56" customFormat="1" ht="43.9" customHeight="1" thickBot="1" x14ac:dyDescent="0.3">
      <c r="B84" s="84">
        <v>8.9</v>
      </c>
      <c r="C84" s="126" t="s">
        <v>51</v>
      </c>
      <c r="D84" s="86" t="s">
        <v>14</v>
      </c>
      <c r="E84" s="118">
        <v>437765</v>
      </c>
      <c r="F84" s="119">
        <v>1</v>
      </c>
      <c r="G84" s="118">
        <f t="shared" si="3"/>
        <v>437765</v>
      </c>
      <c r="H84" s="120"/>
    </row>
    <row r="85" spans="2:8" s="69" customFormat="1" ht="15.75" customHeight="1" thickBot="1" x14ac:dyDescent="0.3">
      <c r="B85" s="121">
        <v>10</v>
      </c>
      <c r="C85" s="197" t="s">
        <v>52</v>
      </c>
      <c r="D85" s="198"/>
      <c r="E85" s="198"/>
      <c r="F85" s="198"/>
      <c r="G85" s="198"/>
      <c r="H85" s="122">
        <f>SUM(G86:G88)</f>
        <v>4410070.2</v>
      </c>
    </row>
    <row r="86" spans="2:8" s="56" customFormat="1" ht="49.15" customHeight="1" x14ac:dyDescent="0.25">
      <c r="B86" s="96">
        <v>10.3</v>
      </c>
      <c r="C86" s="77" t="s">
        <v>62</v>
      </c>
      <c r="D86" s="78" t="s">
        <v>12</v>
      </c>
      <c r="E86" s="79">
        <v>555642</v>
      </c>
      <c r="F86" s="100">
        <v>3.6</v>
      </c>
      <c r="G86" s="99">
        <f>+E86*F86</f>
        <v>2000311.2</v>
      </c>
      <c r="H86" s="101"/>
    </row>
    <row r="87" spans="2:8" s="56" customFormat="1" ht="207" customHeight="1" x14ac:dyDescent="0.25">
      <c r="B87" s="76">
        <v>10.4</v>
      </c>
      <c r="C87" s="77" t="s">
        <v>53</v>
      </c>
      <c r="D87" s="80" t="s">
        <v>41</v>
      </c>
      <c r="E87" s="79">
        <v>883519</v>
      </c>
      <c r="F87" s="80">
        <v>1.8</v>
      </c>
      <c r="G87" s="79">
        <f>+E87*F87</f>
        <v>1590334.2</v>
      </c>
      <c r="H87" s="81"/>
    </row>
    <row r="88" spans="2:8" s="56" customFormat="1" ht="183.6" customHeight="1" thickBot="1" x14ac:dyDescent="0.3">
      <c r="B88" s="76">
        <v>10.5</v>
      </c>
      <c r="C88" s="77" t="s">
        <v>54</v>
      </c>
      <c r="D88" s="80" t="s">
        <v>41</v>
      </c>
      <c r="E88" s="79">
        <v>455236</v>
      </c>
      <c r="F88" s="80">
        <v>1.8</v>
      </c>
      <c r="G88" s="79">
        <f>+E88*F88</f>
        <v>819424.8</v>
      </c>
      <c r="H88" s="81"/>
    </row>
    <row r="89" spans="2:8" s="69" customFormat="1" ht="15.75" customHeight="1" thickBot="1" x14ac:dyDescent="0.3">
      <c r="B89" s="67">
        <v>13</v>
      </c>
      <c r="C89" s="195" t="s">
        <v>57</v>
      </c>
      <c r="D89" s="196"/>
      <c r="E89" s="196"/>
      <c r="F89" s="196"/>
      <c r="G89" s="196"/>
      <c r="H89" s="68">
        <f>SUM(G90:G90)</f>
        <v>45763</v>
      </c>
    </row>
    <row r="90" spans="2:8" s="56" customFormat="1" ht="66" customHeight="1" thickBot="1" x14ac:dyDescent="0.3">
      <c r="B90" s="90">
        <v>13.1</v>
      </c>
      <c r="C90" s="127" t="s">
        <v>58</v>
      </c>
      <c r="D90" s="92" t="s">
        <v>14</v>
      </c>
      <c r="E90" s="93">
        <v>45763</v>
      </c>
      <c r="F90" s="94">
        <v>1</v>
      </c>
      <c r="G90" s="93">
        <f>+E90*F90</f>
        <v>45763</v>
      </c>
      <c r="H90" s="95"/>
    </row>
    <row r="91" spans="2:8" s="128" customFormat="1" ht="19.5" customHeight="1" thickBot="1" x14ac:dyDescent="0.35">
      <c r="B91" s="199" t="s">
        <v>63</v>
      </c>
      <c r="C91" s="200"/>
      <c r="D91" s="200"/>
      <c r="E91" s="200"/>
      <c r="F91" s="200"/>
      <c r="G91" s="200"/>
      <c r="H91" s="201"/>
    </row>
    <row r="92" spans="2:8" ht="15.75" thickBot="1" x14ac:dyDescent="0.3">
      <c r="B92" s="109" t="s">
        <v>3</v>
      </c>
      <c r="C92" s="110" t="s">
        <v>4</v>
      </c>
      <c r="D92" s="111" t="s">
        <v>5</v>
      </c>
      <c r="E92" s="112" t="s">
        <v>6</v>
      </c>
      <c r="F92" s="113" t="s">
        <v>7</v>
      </c>
      <c r="G92" s="112" t="s">
        <v>8</v>
      </c>
      <c r="H92" s="114" t="s">
        <v>9</v>
      </c>
    </row>
    <row r="93" spans="2:8" s="69" customFormat="1" ht="15.75" customHeight="1" thickBot="1" x14ac:dyDescent="0.3">
      <c r="B93" s="82">
        <v>1</v>
      </c>
      <c r="C93" s="183" t="s">
        <v>10</v>
      </c>
      <c r="D93" s="184"/>
      <c r="E93" s="184"/>
      <c r="F93" s="184"/>
      <c r="G93" s="184"/>
      <c r="H93" s="83">
        <f>SUM(G94:G94)</f>
        <v>333200</v>
      </c>
    </row>
    <row r="94" spans="2:8" s="56" customFormat="1" ht="39" customHeight="1" thickBot="1" x14ac:dyDescent="0.3">
      <c r="B94" s="115">
        <v>1.3</v>
      </c>
      <c r="C94" s="116" t="s">
        <v>39</v>
      </c>
      <c r="D94" s="117" t="s">
        <v>12</v>
      </c>
      <c r="E94" s="87">
        <v>4760</v>
      </c>
      <c r="F94" s="88">
        <v>70</v>
      </c>
      <c r="G94" s="87">
        <f>+E94*F94</f>
        <v>333200</v>
      </c>
      <c r="H94" s="89"/>
    </row>
    <row r="95" spans="2:8" s="69" customFormat="1" ht="15.75" customHeight="1" thickBot="1" x14ac:dyDescent="0.3">
      <c r="B95" s="82">
        <v>3</v>
      </c>
      <c r="C95" s="183" t="s">
        <v>20</v>
      </c>
      <c r="D95" s="184"/>
      <c r="E95" s="184"/>
      <c r="F95" s="184"/>
      <c r="G95" s="184"/>
      <c r="H95" s="83">
        <f>SUM(G96)</f>
        <v>406408</v>
      </c>
    </row>
    <row r="96" spans="2:8" s="56" customFormat="1" ht="129" thickBot="1" x14ac:dyDescent="0.3">
      <c r="B96" s="70">
        <v>3.1</v>
      </c>
      <c r="C96" s="71" t="s">
        <v>45</v>
      </c>
      <c r="D96" s="72" t="s">
        <v>41</v>
      </c>
      <c r="E96" s="73">
        <v>50801</v>
      </c>
      <c r="F96" s="88">
        <v>8</v>
      </c>
      <c r="G96" s="87">
        <f>+E96*F96</f>
        <v>406408</v>
      </c>
      <c r="H96" s="89"/>
    </row>
    <row r="97" spans="2:8" s="69" customFormat="1" ht="15.75" customHeight="1" thickBot="1" x14ac:dyDescent="0.3">
      <c r="B97" s="82">
        <v>4</v>
      </c>
      <c r="C97" s="183" t="s">
        <v>22</v>
      </c>
      <c r="D97" s="184"/>
      <c r="E97" s="184"/>
      <c r="F97" s="184"/>
      <c r="G97" s="184"/>
      <c r="H97" s="83">
        <f>SUM(G98:G100)</f>
        <v>4255607</v>
      </c>
    </row>
    <row r="98" spans="2:8" s="56" customFormat="1" ht="28.5" x14ac:dyDescent="0.25">
      <c r="B98" s="76">
        <v>4.2</v>
      </c>
      <c r="C98" s="77" t="s">
        <v>46</v>
      </c>
      <c r="D98" s="78" t="s">
        <v>12</v>
      </c>
      <c r="E98" s="79">
        <v>12263</v>
      </c>
      <c r="F98" s="88">
        <v>99</v>
      </c>
      <c r="G98" s="87">
        <f>+E98*F98</f>
        <v>1214037</v>
      </c>
      <c r="H98" s="89"/>
    </row>
    <row r="99" spans="2:8" s="56" customFormat="1" ht="42.75" x14ac:dyDescent="0.25">
      <c r="B99" s="76">
        <v>4.3</v>
      </c>
      <c r="C99" s="77" t="s">
        <v>47</v>
      </c>
      <c r="D99" s="78" t="s">
        <v>12</v>
      </c>
      <c r="E99" s="79">
        <v>23106</v>
      </c>
      <c r="F99" s="80">
        <v>70</v>
      </c>
      <c r="G99" s="79">
        <f>+E99*F99</f>
        <v>1617420</v>
      </c>
      <c r="H99" s="81"/>
    </row>
    <row r="100" spans="2:8" s="56" customFormat="1" ht="72" thickBot="1" x14ac:dyDescent="0.3">
      <c r="B100" s="96">
        <v>4.4000000000000004</v>
      </c>
      <c r="C100" s="97" t="s">
        <v>48</v>
      </c>
      <c r="D100" s="100" t="s">
        <v>24</v>
      </c>
      <c r="E100" s="99">
        <v>20345</v>
      </c>
      <c r="F100" s="100">
        <v>70</v>
      </c>
      <c r="G100" s="99">
        <f>+E100*F100</f>
        <v>1424150</v>
      </c>
      <c r="H100" s="101"/>
    </row>
    <row r="101" spans="2:8" s="69" customFormat="1" ht="15.75" customHeight="1" thickBot="1" x14ac:dyDescent="0.3">
      <c r="B101" s="82">
        <v>5</v>
      </c>
      <c r="C101" s="183" t="s">
        <v>25</v>
      </c>
      <c r="D101" s="184"/>
      <c r="E101" s="184"/>
      <c r="F101" s="184"/>
      <c r="G101" s="184"/>
      <c r="H101" s="83">
        <f>SUM(G102)</f>
        <v>41558</v>
      </c>
    </row>
    <row r="102" spans="2:8" s="56" customFormat="1" ht="43.5" thickBot="1" x14ac:dyDescent="0.3">
      <c r="B102" s="96">
        <v>5.0999999999999996</v>
      </c>
      <c r="C102" s="97" t="s">
        <v>26</v>
      </c>
      <c r="D102" s="98" t="s">
        <v>12</v>
      </c>
      <c r="E102" s="99">
        <v>18890</v>
      </c>
      <c r="F102" s="100">
        <v>2.2000000000000002</v>
      </c>
      <c r="G102" s="99">
        <f>+E102*F102</f>
        <v>41558</v>
      </c>
      <c r="H102" s="101"/>
    </row>
    <row r="103" spans="2:8" s="69" customFormat="1" ht="15.75" customHeight="1" thickBot="1" x14ac:dyDescent="0.3">
      <c r="B103" s="67">
        <v>6</v>
      </c>
      <c r="C103" s="195" t="s">
        <v>64</v>
      </c>
      <c r="D103" s="196"/>
      <c r="E103" s="196"/>
      <c r="F103" s="196"/>
      <c r="G103" s="196"/>
      <c r="H103" s="68">
        <f>SUM(G104:G104)</f>
        <v>121482</v>
      </c>
    </row>
    <row r="104" spans="2:8" s="56" customFormat="1" ht="15.75" thickBot="1" x14ac:dyDescent="0.3">
      <c r="B104" s="70">
        <v>6.4</v>
      </c>
      <c r="C104" s="125" t="s">
        <v>65</v>
      </c>
      <c r="D104" s="72" t="s">
        <v>12</v>
      </c>
      <c r="E104" s="73">
        <v>40494</v>
      </c>
      <c r="F104" s="74">
        <v>3</v>
      </c>
      <c r="G104" s="73">
        <f>+E104*F104</f>
        <v>121482</v>
      </c>
      <c r="H104" s="75"/>
    </row>
    <row r="105" spans="2:8" s="69" customFormat="1" ht="15.75" customHeight="1" thickBot="1" x14ac:dyDescent="0.3">
      <c r="B105" s="82">
        <v>10</v>
      </c>
      <c r="C105" s="183" t="s">
        <v>52</v>
      </c>
      <c r="D105" s="184"/>
      <c r="E105" s="184"/>
      <c r="F105" s="184"/>
      <c r="G105" s="184"/>
      <c r="H105" s="83">
        <f>SUM(G106)</f>
        <v>2000311.2</v>
      </c>
    </row>
    <row r="106" spans="2:8" s="56" customFormat="1" ht="29.25" thickBot="1" x14ac:dyDescent="0.3">
      <c r="B106" s="96">
        <v>10.3</v>
      </c>
      <c r="C106" s="77" t="s">
        <v>62</v>
      </c>
      <c r="D106" s="78" t="s">
        <v>12</v>
      </c>
      <c r="E106" s="79">
        <v>555642</v>
      </c>
      <c r="F106" s="100">
        <v>3.6</v>
      </c>
      <c r="G106" s="99">
        <f>+E106*F106</f>
        <v>2000311.2</v>
      </c>
      <c r="H106" s="101"/>
    </row>
    <row r="107" spans="2:8" ht="15.75" customHeight="1" thickBot="1" x14ac:dyDescent="0.3">
      <c r="B107" s="161" t="s">
        <v>27</v>
      </c>
      <c r="C107" s="162"/>
      <c r="D107" s="162"/>
      <c r="E107" s="162"/>
      <c r="F107" s="162"/>
      <c r="G107" s="185"/>
      <c r="H107" s="102">
        <f>SUM(H44:H106)</f>
        <v>28873440.640000001</v>
      </c>
    </row>
    <row r="108" spans="2:8" ht="15" customHeight="1" x14ac:dyDescent="0.25">
      <c r="B108" s="186" t="s">
        <v>28</v>
      </c>
      <c r="C108" s="187"/>
      <c r="D108" s="188" t="s">
        <v>29</v>
      </c>
      <c r="E108" s="189"/>
      <c r="F108" s="190">
        <v>0.27200000000000002</v>
      </c>
      <c r="G108" s="191"/>
      <c r="H108" s="103">
        <f>+H107*F108</f>
        <v>7853575.8540800009</v>
      </c>
    </row>
    <row r="109" spans="2:8" ht="15" customHeight="1" x14ac:dyDescent="0.25">
      <c r="B109" s="171" t="s">
        <v>30</v>
      </c>
      <c r="C109" s="172"/>
      <c r="D109" s="173" t="s">
        <v>31</v>
      </c>
      <c r="E109" s="174"/>
      <c r="F109" s="175">
        <v>0.01</v>
      </c>
      <c r="G109" s="176"/>
      <c r="H109" s="104">
        <f>+H107*F109</f>
        <v>288734.40640000004</v>
      </c>
    </row>
    <row r="110" spans="2:8" ht="15" customHeight="1" x14ac:dyDescent="0.25">
      <c r="B110" s="171" t="s">
        <v>32</v>
      </c>
      <c r="C110" s="172"/>
      <c r="D110" s="173" t="s">
        <v>33</v>
      </c>
      <c r="E110" s="174"/>
      <c r="F110" s="175">
        <v>0.04</v>
      </c>
      <c r="G110" s="176"/>
      <c r="H110" s="104">
        <f>+H107*F110</f>
        <v>1154937.6256000001</v>
      </c>
    </row>
    <row r="111" spans="2:8" ht="15.75" customHeight="1" thickBot="1" x14ac:dyDescent="0.3">
      <c r="B111" s="177" t="s">
        <v>34</v>
      </c>
      <c r="C111" s="178"/>
      <c r="D111" s="179" t="s">
        <v>35</v>
      </c>
      <c r="E111" s="180"/>
      <c r="F111" s="181">
        <v>0.19</v>
      </c>
      <c r="G111" s="182"/>
      <c r="H111" s="105">
        <f>+H110*F111</f>
        <v>219438.14886400002</v>
      </c>
    </row>
    <row r="112" spans="2:8" ht="15.75" customHeight="1" thickBot="1" x14ac:dyDescent="0.3">
      <c r="B112" s="161" t="s">
        <v>36</v>
      </c>
      <c r="C112" s="162"/>
      <c r="D112" s="162"/>
      <c r="E112" s="162"/>
      <c r="F112" s="162"/>
      <c r="G112" s="162"/>
      <c r="H112" s="106">
        <f>SUM(H108:H111)</f>
        <v>9516686.0349439997</v>
      </c>
    </row>
    <row r="113" spans="2:8" ht="15.75" customHeight="1" thickBot="1" x14ac:dyDescent="0.3">
      <c r="B113" s="161" t="s">
        <v>37</v>
      </c>
      <c r="C113" s="162"/>
      <c r="D113" s="162"/>
      <c r="E113" s="162"/>
      <c r="F113" s="162"/>
      <c r="G113" s="162"/>
      <c r="H113" s="106">
        <f>+H107+H112</f>
        <v>38390126.674943998</v>
      </c>
    </row>
    <row r="114" spans="2:8" ht="15.75" thickBot="1" x14ac:dyDescent="0.3"/>
    <row r="115" spans="2:8" ht="38.25" customHeight="1" thickBot="1" x14ac:dyDescent="0.3">
      <c r="B115" s="192" t="s">
        <v>66</v>
      </c>
      <c r="C115" s="193"/>
      <c r="D115" s="193"/>
      <c r="E115" s="193"/>
      <c r="F115" s="193"/>
      <c r="G115" s="193"/>
      <c r="H115" s="194"/>
    </row>
    <row r="116" spans="2:8" ht="15.75" thickBot="1" x14ac:dyDescent="0.3">
      <c r="B116" s="61" t="s">
        <v>3</v>
      </c>
      <c r="C116" s="62" t="s">
        <v>4</v>
      </c>
      <c r="D116" s="63" t="s">
        <v>5</v>
      </c>
      <c r="E116" s="64" t="s">
        <v>6</v>
      </c>
      <c r="F116" s="65" t="s">
        <v>7</v>
      </c>
      <c r="G116" s="64" t="s">
        <v>8</v>
      </c>
      <c r="H116" s="66" t="s">
        <v>9</v>
      </c>
    </row>
    <row r="117" spans="2:8" s="69" customFormat="1" ht="15.75" customHeight="1" thickBot="1" x14ac:dyDescent="0.3">
      <c r="B117" s="82">
        <v>3</v>
      </c>
      <c r="C117" s="183" t="s">
        <v>20</v>
      </c>
      <c r="D117" s="184"/>
      <c r="E117" s="184"/>
      <c r="F117" s="184"/>
      <c r="G117" s="184"/>
      <c r="H117" s="83">
        <f>SUM(G118:G120)</f>
        <v>29631998</v>
      </c>
    </row>
    <row r="118" spans="2:8" s="56" customFormat="1" ht="167.45" customHeight="1" x14ac:dyDescent="0.25">
      <c r="B118" s="115">
        <v>3.1</v>
      </c>
      <c r="C118" s="116" t="s">
        <v>45</v>
      </c>
      <c r="D118" s="117" t="s">
        <v>41</v>
      </c>
      <c r="E118" s="87">
        <v>50801</v>
      </c>
      <c r="F118" s="88">
        <v>384</v>
      </c>
      <c r="G118" s="87">
        <f>+E118*F118</f>
        <v>19507584</v>
      </c>
      <c r="H118" s="89"/>
    </row>
    <row r="119" spans="2:8" s="56" customFormat="1" ht="130.9" customHeight="1" x14ac:dyDescent="0.25">
      <c r="B119" s="115">
        <v>3.2</v>
      </c>
      <c r="C119" s="116" t="s">
        <v>67</v>
      </c>
      <c r="D119" s="117" t="s">
        <v>41</v>
      </c>
      <c r="E119" s="87">
        <v>68275</v>
      </c>
      <c r="F119" s="88">
        <v>38</v>
      </c>
      <c r="G119" s="87">
        <f>+E119*F119</f>
        <v>2594450</v>
      </c>
      <c r="H119" s="89"/>
    </row>
    <row r="120" spans="2:8" s="56" customFormat="1" ht="129" customHeight="1" thickBot="1" x14ac:dyDescent="0.3">
      <c r="B120" s="129">
        <v>3.3</v>
      </c>
      <c r="C120" s="130" t="s">
        <v>21</v>
      </c>
      <c r="D120" s="131" t="s">
        <v>12</v>
      </c>
      <c r="E120" s="132">
        <v>144807</v>
      </c>
      <c r="F120" s="133">
        <v>52</v>
      </c>
      <c r="G120" s="132">
        <f>+E120*F120</f>
        <v>7529964</v>
      </c>
      <c r="H120" s="134"/>
    </row>
    <row r="121" spans="2:8" ht="15.75" customHeight="1" thickBot="1" x14ac:dyDescent="0.3">
      <c r="B121" s="161" t="s">
        <v>27</v>
      </c>
      <c r="C121" s="162"/>
      <c r="D121" s="162"/>
      <c r="E121" s="162"/>
      <c r="F121" s="162"/>
      <c r="G121" s="185"/>
      <c r="H121" s="102">
        <f>SUM(H117:H120)</f>
        <v>29631998</v>
      </c>
    </row>
    <row r="122" spans="2:8" ht="15" customHeight="1" x14ac:dyDescent="0.25">
      <c r="B122" s="186" t="s">
        <v>28</v>
      </c>
      <c r="C122" s="187"/>
      <c r="D122" s="188" t="s">
        <v>29</v>
      </c>
      <c r="E122" s="189"/>
      <c r="F122" s="190">
        <v>0.27200000000000002</v>
      </c>
      <c r="G122" s="191"/>
      <c r="H122" s="103">
        <f>+H121*F122</f>
        <v>8059903.4560000002</v>
      </c>
    </row>
    <row r="123" spans="2:8" ht="15" customHeight="1" x14ac:dyDescent="0.25">
      <c r="B123" s="171" t="s">
        <v>30</v>
      </c>
      <c r="C123" s="172"/>
      <c r="D123" s="173" t="s">
        <v>31</v>
      </c>
      <c r="E123" s="174"/>
      <c r="F123" s="175">
        <v>0.01</v>
      </c>
      <c r="G123" s="176"/>
      <c r="H123" s="104">
        <f>+H121*F123</f>
        <v>296319.98</v>
      </c>
    </row>
    <row r="124" spans="2:8" ht="15" customHeight="1" x14ac:dyDescent="0.25">
      <c r="B124" s="171" t="s">
        <v>32</v>
      </c>
      <c r="C124" s="172"/>
      <c r="D124" s="173" t="s">
        <v>33</v>
      </c>
      <c r="E124" s="174"/>
      <c r="F124" s="175">
        <v>0.04</v>
      </c>
      <c r="G124" s="176"/>
      <c r="H124" s="104">
        <f>+H121*F124</f>
        <v>1185279.92</v>
      </c>
    </row>
    <row r="125" spans="2:8" ht="15.75" customHeight="1" thickBot="1" x14ac:dyDescent="0.3">
      <c r="B125" s="177" t="s">
        <v>34</v>
      </c>
      <c r="C125" s="178"/>
      <c r="D125" s="179" t="s">
        <v>35</v>
      </c>
      <c r="E125" s="180"/>
      <c r="F125" s="181">
        <v>0.19</v>
      </c>
      <c r="G125" s="182"/>
      <c r="H125" s="105">
        <f>+H124*F125</f>
        <v>225203.18479999999</v>
      </c>
    </row>
    <row r="126" spans="2:8" ht="15.75" customHeight="1" thickBot="1" x14ac:dyDescent="0.3">
      <c r="B126" s="161" t="s">
        <v>36</v>
      </c>
      <c r="C126" s="162"/>
      <c r="D126" s="162"/>
      <c r="E126" s="162"/>
      <c r="F126" s="162"/>
      <c r="G126" s="162"/>
      <c r="H126" s="106">
        <f>SUM(H122:H125)</f>
        <v>9766706.5408000015</v>
      </c>
    </row>
    <row r="127" spans="2:8" ht="15.75" customHeight="1" thickBot="1" x14ac:dyDescent="0.3">
      <c r="B127" s="161" t="s">
        <v>37</v>
      </c>
      <c r="C127" s="162"/>
      <c r="D127" s="162"/>
      <c r="E127" s="162"/>
      <c r="F127" s="162"/>
      <c r="G127" s="162"/>
      <c r="H127" s="106">
        <f>+H121+H126</f>
        <v>39398704.540800005</v>
      </c>
    </row>
    <row r="129" spans="3:9" ht="15.75" thickBot="1" x14ac:dyDescent="0.3"/>
    <row r="130" spans="3:9" ht="99" customHeight="1" thickBot="1" x14ac:dyDescent="0.3">
      <c r="C130" s="163" t="s">
        <v>68</v>
      </c>
      <c r="D130" s="164"/>
      <c r="E130" s="135" t="s">
        <v>89</v>
      </c>
      <c r="F130" s="136" t="s">
        <v>69</v>
      </c>
      <c r="G130" s="137"/>
      <c r="H130"/>
    </row>
    <row r="131" spans="3:9" ht="35.25" customHeight="1" x14ac:dyDescent="0.25">
      <c r="C131" s="165" t="s">
        <v>70</v>
      </c>
      <c r="D131" s="166"/>
      <c r="E131" s="138">
        <v>30000000</v>
      </c>
      <c r="F131" s="139">
        <f>+H37</f>
        <v>29145378.199680001</v>
      </c>
      <c r="G131" s="140"/>
      <c r="H131"/>
    </row>
    <row r="132" spans="3:9" ht="51.75" customHeight="1" x14ac:dyDescent="0.25">
      <c r="C132" s="167" t="s">
        <v>71</v>
      </c>
      <c r="D132" s="168"/>
      <c r="E132" s="141">
        <v>40000000</v>
      </c>
      <c r="F132" s="142">
        <f>+H113</f>
        <v>38390126.674943998</v>
      </c>
      <c r="G132" s="140"/>
      <c r="H132"/>
    </row>
    <row r="133" spans="3:9" ht="51.75" customHeight="1" thickBot="1" x14ac:dyDescent="0.3">
      <c r="C133" s="169" t="s">
        <v>72</v>
      </c>
      <c r="D133" s="170"/>
      <c r="E133" s="143">
        <v>40000000</v>
      </c>
      <c r="F133" s="144">
        <f>+H127</f>
        <v>39398704.540800005</v>
      </c>
      <c r="G133" s="140"/>
      <c r="H133"/>
    </row>
    <row r="134" spans="3:9" x14ac:dyDescent="0.25">
      <c r="C134" s="154"/>
      <c r="D134" s="154"/>
      <c r="E134" s="145"/>
      <c r="F134" s="140"/>
      <c r="G134" s="140"/>
      <c r="H134"/>
    </row>
    <row r="135" spans="3:9" ht="15.75" thickBot="1" x14ac:dyDescent="0.3">
      <c r="C135"/>
      <c r="D135"/>
      <c r="E135"/>
      <c r="F135" s="146"/>
      <c r="G135"/>
      <c r="H135"/>
    </row>
    <row r="136" spans="3:9" ht="116.25" customHeight="1" thickBot="1" x14ac:dyDescent="0.3">
      <c r="C136" s="155" t="s">
        <v>73</v>
      </c>
      <c r="D136" s="156"/>
      <c r="E136" s="147" t="s">
        <v>90</v>
      </c>
      <c r="F136" s="148" t="s">
        <v>74</v>
      </c>
      <c r="G136"/>
      <c r="H136"/>
    </row>
    <row r="137" spans="3:9" ht="15.75" customHeight="1" thickBot="1" x14ac:dyDescent="0.3">
      <c r="C137" s="157"/>
      <c r="D137" s="158"/>
      <c r="E137" s="149">
        <v>110000000</v>
      </c>
      <c r="F137" s="150">
        <f>+F131+F132+F133</f>
        <v>106934209.415424</v>
      </c>
      <c r="G137"/>
      <c r="H137"/>
    </row>
    <row r="138" spans="3:9" ht="44.45" customHeight="1" x14ac:dyDescent="0.25">
      <c r="C138"/>
      <c r="D138"/>
      <c r="E138"/>
      <c r="F138" s="146"/>
      <c r="G138"/>
      <c r="H138"/>
    </row>
    <row r="139" spans="3:9" x14ac:dyDescent="0.25">
      <c r="C139" s="159"/>
      <c r="D139" s="159"/>
      <c r="E139" s="159"/>
      <c r="F139" s="159"/>
      <c r="G139" s="159"/>
      <c r="H139" s="159"/>
      <c r="I139" s="159"/>
    </row>
    <row r="140" spans="3:9" ht="39" customHeight="1" x14ac:dyDescent="0.25">
      <c r="C140" s="160" t="s">
        <v>91</v>
      </c>
      <c r="D140" s="160"/>
      <c r="E140" s="160"/>
      <c r="F140" s="160"/>
      <c r="G140" s="160"/>
      <c r="H140" s="160"/>
      <c r="I140" s="160"/>
    </row>
    <row r="141" spans="3:9" x14ac:dyDescent="0.25">
      <c r="C141"/>
      <c r="D141"/>
      <c r="E141"/>
      <c r="F141"/>
      <c r="G141"/>
      <c r="H141"/>
    </row>
    <row r="142" spans="3:9" ht="62.25" customHeight="1" x14ac:dyDescent="0.25">
      <c r="C142" s="154" t="s">
        <v>92</v>
      </c>
      <c r="D142" s="154"/>
      <c r="E142" s="154"/>
      <c r="F142" s="154"/>
      <c r="G142" s="154"/>
      <c r="H142" s="154"/>
    </row>
    <row r="143" spans="3:9" x14ac:dyDescent="0.25">
      <c r="C143" s="153"/>
      <c r="D143" s="153"/>
      <c r="E143" s="153"/>
      <c r="F143" s="153"/>
      <c r="G143" s="153"/>
      <c r="H143" s="153"/>
    </row>
    <row r="144" spans="3:9" x14ac:dyDescent="0.25">
      <c r="C144" s="153"/>
      <c r="D144" s="153"/>
      <c r="E144" s="153"/>
      <c r="F144" s="153"/>
      <c r="G144" s="153"/>
      <c r="H144" s="153"/>
    </row>
    <row r="145" spans="3:8" ht="100.5" customHeight="1" x14ac:dyDescent="0.25">
      <c r="C145" s="153"/>
      <c r="D145" s="153"/>
      <c r="E145" s="153"/>
      <c r="F145" s="153"/>
      <c r="G145" s="153"/>
      <c r="H145" s="153"/>
    </row>
    <row r="146" spans="3:8" x14ac:dyDescent="0.25">
      <c r="C146" s="153"/>
      <c r="D146" s="153"/>
      <c r="E146" s="153"/>
      <c r="F146" s="153"/>
      <c r="G146" s="153"/>
      <c r="H146" s="153"/>
    </row>
    <row r="147" spans="3:8" ht="39.75" customHeight="1" x14ac:dyDescent="0.25">
      <c r="C147" s="153"/>
      <c r="D147" s="153"/>
      <c r="E147" s="153"/>
      <c r="F147" s="153"/>
      <c r="G147" s="153"/>
      <c r="H147" s="153"/>
    </row>
  </sheetData>
  <pageMargins left="0.7" right="0.7" top="0.75" bottom="0.75" header="0.3" footer="0.3"/>
  <pageSetup paperSize="9" scale="48" orientation="portrait" r:id="rId1"/>
  <rowBreaks count="1" manualBreakCount="1">
    <brk id="59" min="1"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VERIFICACIÓN ECONÓMICA</vt:lpstr>
      <vt:lpstr>ECONTAINERS S.A.S.</vt:lpstr>
      <vt:lpstr>PROYECTOS Y SOLUCIONES EN INGEN</vt:lpstr>
      <vt:lpstr>CONSORCIO VENTURA</vt:lpstr>
      <vt:lpstr>FABIO GARZON DAZA</vt:lpstr>
      <vt:lpstr>SKYTECH S.A.S</vt:lpstr>
      <vt:lpstr>'CONSORCIO VENTURA'!Área_de_impresión</vt:lpstr>
      <vt:lpstr>'ECONTAINERS S.A.S.'!Área_de_impresión</vt:lpstr>
      <vt:lpstr>'FABIO GARZON DAZA'!Área_de_impresión</vt:lpstr>
      <vt:lpstr>'PROYECTOS Y SOLUCIONES EN INGEN'!Área_de_impresión</vt:lpstr>
      <vt:lpstr>'SKYTECH S.A.S'!Área_de_impresión</vt:lpstr>
      <vt:lpstr>'VERIFICACIÓN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ASD2. JORGE HERNAN CARMONA GALVIS</dc:creator>
  <cp:lastModifiedBy>PD4. YOLY MARIET MURCIA ORTIZ</cp:lastModifiedBy>
  <dcterms:created xsi:type="dcterms:W3CDTF">2023-07-21T19:03:21Z</dcterms:created>
  <dcterms:modified xsi:type="dcterms:W3CDTF">2023-08-10T23:50:53Z</dcterms:modified>
</cp:coreProperties>
</file>