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9"/>
  <workbookPr codeName="ThisWorkbook"/>
  <mc:AlternateContent xmlns:mc="http://schemas.openxmlformats.org/markup-compatibility/2006">
    <mc:Choice Requires="x15">
      <x15ac:absPath xmlns:x15ac="http://schemas.microsoft.com/office/spreadsheetml/2010/11/ac" url="/Users/linotorregroza/Desktop/ESE/proceso 2/"/>
    </mc:Choice>
  </mc:AlternateContent>
  <xr:revisionPtr revIDLastSave="0" documentId="13_ncr:1_{A141E272-0526-BF48-B807-3523ADDCF0AC}" xr6:coauthVersionLast="47" xr6:coauthVersionMax="47" xr10:uidLastSave="{00000000-0000-0000-0000-000000000000}"/>
  <bookViews>
    <workbookView xWindow="0" yWindow="500" windowWidth="28800" windowHeight="15840" tabRatio="879" firstSheet="1" activeTab="8" xr2:uid="{00000000-000D-0000-FFFF-FFFF00000000}"/>
  </bookViews>
  <sheets>
    <sheet name="PRESUPUESTO OBRA" sheetId="14" r:id="rId1"/>
    <sheet name="PRESUPUESTO ADMON" sheetId="49" r:id="rId2"/>
    <sheet name="FM ADMON" sheetId="50" r:id="rId3"/>
    <sheet name="PRES INTERVENTORIA" sheetId="44" r:id="rId4"/>
    <sheet name="FM INTERVENTORIA" sheetId="45" r:id="rId5"/>
    <sheet name="CRONOGRAMA DE FLUJOS" sheetId="47" r:id="rId6"/>
    <sheet name="CANT. DE OBRA " sheetId="54" r:id="rId7"/>
    <sheet name="APU -BASICOS" sheetId="33" r:id="rId8"/>
    <sheet name="APUS" sheetId="37" r:id="rId9"/>
    <sheet name="MANO DE OBRA" sheetId="25" r:id="rId10"/>
    <sheet name="MATERIALES" sheetId="23" r:id="rId11"/>
    <sheet name="HERRAMIENTAS Y EQUIPOS" sheetId="24" r:id="rId12"/>
    <sheet name="TRANSPORTE" sheetId="26" r:id="rId13"/>
  </sheets>
  <externalReferences>
    <externalReference r:id="rId14"/>
    <externalReference r:id="rId15"/>
    <externalReference r:id="rId16"/>
  </externalReferences>
  <definedNames>
    <definedName name="a" localSheetId="7">#REF!</definedName>
    <definedName name="a" localSheetId="8">#REF!</definedName>
    <definedName name="a" localSheetId="6">#REF!</definedName>
    <definedName name="a">#REF!</definedName>
    <definedName name="A_impresión_IM" localSheetId="7">#REF!</definedName>
    <definedName name="A_impresión_IM" localSheetId="8">#REF!</definedName>
    <definedName name="A_impresión_IM" localSheetId="6">#REF!</definedName>
    <definedName name="A_impresión_IM">#REF!</definedName>
    <definedName name="_xlnm.Print_Area" localSheetId="7">'APU -BASICOS'!$A$1:$H$279</definedName>
    <definedName name="_xlnm.Print_Area" localSheetId="8">APUS!$B$1:$I$5060</definedName>
    <definedName name="_xlnm.Print_Area" localSheetId="6">'CANT. DE OBRA '!$A$1:$Q$709</definedName>
    <definedName name="_xlnm.Print_Area" localSheetId="2">'FM ADMON'!$A$1:$D$38</definedName>
    <definedName name="_xlnm.Print_Area" localSheetId="9">'MANO DE OBRA'!$A$1:$E$29</definedName>
    <definedName name="_xlnm.Print_Area" localSheetId="10">MATERIALES!$A$1:$F$195</definedName>
    <definedName name="_xlnm.Print_Area" localSheetId="0">'PRESUPUESTO OBRA'!$B$1:$G$147</definedName>
    <definedName name="_xlnm.Print_Area" localSheetId="12">TRANSPORTE!$A$1:$F$17</definedName>
    <definedName name="inf" localSheetId="7">#REF!</definedName>
    <definedName name="inf" localSheetId="8">#REF!</definedName>
    <definedName name="inf" localSheetId="6">#REF!</definedName>
    <definedName name="inf">#REF!</definedName>
    <definedName name="INV_11">'[1]PR 1'!$A$2:$N$655</definedName>
    <definedName name="Print_Area_MI" localSheetId="7">#REF!</definedName>
    <definedName name="Print_Area_MI" localSheetId="8">#REF!</definedName>
    <definedName name="Print_Area_MI" localSheetId="6">#REF!</definedName>
    <definedName name="Print_Area_MI">#REF!</definedName>
    <definedName name="valor1" localSheetId="7">#REF!</definedName>
    <definedName name="valor1" localSheetId="8">#REF!</definedName>
    <definedName name="valor1" localSheetId="6">#REF!</definedName>
    <definedName name="valor1">#REF!</definedName>
    <definedName name="valor2" localSheetId="7">#REF!</definedName>
    <definedName name="valor2" localSheetId="8">#REF!</definedName>
    <definedName name="valor2" localSheetId="6">#REF!</definedName>
    <definedName name="valor2">#REF!</definedName>
    <definedName name="VALOR3" localSheetId="7">#REF!</definedName>
    <definedName name="VALOR3" localSheetId="8">#REF!</definedName>
    <definedName name="VALOR3" localSheetId="6">#REF!</definedName>
    <definedName name="VALOR3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49" l="1"/>
  <c r="F14" i="14"/>
  <c r="C20" i="49"/>
  <c r="C15" i="49"/>
  <c r="C29" i="49"/>
  <c r="C38" i="49"/>
  <c r="C28" i="49"/>
  <c r="C17" i="49"/>
  <c r="C16" i="49"/>
  <c r="C14" i="49"/>
  <c r="C16" i="44"/>
  <c r="C15" i="44"/>
  <c r="G5037" i="37" l="1"/>
  <c r="C186" i="23"/>
  <c r="C188" i="23"/>
  <c r="E316" i="54" l="1"/>
  <c r="D316" i="54"/>
  <c r="E315" i="54"/>
  <c r="D315" i="54"/>
  <c r="D301" i="54"/>
  <c r="D300" i="54"/>
  <c r="D292" i="54"/>
  <c r="D277" i="54"/>
  <c r="D276" i="54"/>
  <c r="D262" i="54"/>
  <c r="E277" i="54"/>
  <c r="E276" i="54"/>
  <c r="D263" i="54"/>
  <c r="K679" i="54"/>
  <c r="K680" i="54" s="1"/>
  <c r="E117" i="14" s="1"/>
  <c r="F4840" i="37"/>
  <c r="H4840" i="37" s="1"/>
  <c r="F4841" i="37"/>
  <c r="H4841" i="37" s="1"/>
  <c r="F4842" i="37"/>
  <c r="G4842" i="37"/>
  <c r="F4843" i="37"/>
  <c r="H4843" i="37" s="1"/>
  <c r="F4844" i="37"/>
  <c r="H4844" i="37" s="1"/>
  <c r="F4845" i="37"/>
  <c r="H4845" i="37" s="1"/>
  <c r="F4846" i="37"/>
  <c r="H4846" i="37" s="1"/>
  <c r="F4847" i="37"/>
  <c r="H4847" i="37" s="1"/>
  <c r="F4848" i="37"/>
  <c r="H4848" i="37" s="1"/>
  <c r="F4849" i="37"/>
  <c r="H4849" i="37" s="1"/>
  <c r="H4850" i="37"/>
  <c r="F4855" i="37"/>
  <c r="H4855" i="37" s="1"/>
  <c r="I4857" i="37" s="1"/>
  <c r="I665" i="54"/>
  <c r="K665" i="54" s="1"/>
  <c r="I655" i="54"/>
  <c r="K655" i="54" s="1"/>
  <c r="H583" i="54"/>
  <c r="H575" i="54"/>
  <c r="H574" i="54"/>
  <c r="H572" i="54"/>
  <c r="K530" i="54"/>
  <c r="K529" i="54"/>
  <c r="K522" i="54"/>
  <c r="K523" i="54" s="1"/>
  <c r="E87" i="14" s="1"/>
  <c r="K449" i="54"/>
  <c r="K456" i="54"/>
  <c r="H4842" i="37" l="1"/>
  <c r="I4852" i="37" s="1"/>
  <c r="K531" i="54"/>
  <c r="E88" i="14" s="1"/>
  <c r="K457" i="54" l="1"/>
  <c r="E78" i="14" s="1"/>
  <c r="K450" i="54"/>
  <c r="E77" i="14" s="1"/>
  <c r="I367" i="54"/>
  <c r="K367" i="54" s="1"/>
  <c r="I366" i="54"/>
  <c r="K366" i="54" s="1"/>
  <c r="D366" i="54"/>
  <c r="I365" i="54"/>
  <c r="K365" i="54" s="1"/>
  <c r="I420" i="54"/>
  <c r="K420" i="54" s="1"/>
  <c r="K412" i="54"/>
  <c r="I393" i="54"/>
  <c r="K393" i="54" s="1"/>
  <c r="I392" i="54"/>
  <c r="K392" i="54" s="1"/>
  <c r="I391" i="54"/>
  <c r="K391" i="54" s="1"/>
  <c r="I390" i="54"/>
  <c r="K390" i="54" s="1"/>
  <c r="I395" i="54"/>
  <c r="K395" i="54" s="1"/>
  <c r="I394" i="54"/>
  <c r="K394" i="54" s="1"/>
  <c r="I375" i="54"/>
  <c r="K375" i="54" s="1"/>
  <c r="I378" i="54"/>
  <c r="K378" i="54" s="1"/>
  <c r="I377" i="54"/>
  <c r="K377" i="54" s="1"/>
  <c r="I376" i="54"/>
  <c r="K376" i="54" s="1"/>
  <c r="I374" i="54"/>
  <c r="K374" i="54" s="1"/>
  <c r="I358" i="54"/>
  <c r="D358" i="54"/>
  <c r="D337" i="54"/>
  <c r="D283" i="54"/>
  <c r="D269" i="54"/>
  <c r="I317" i="54"/>
  <c r="K317" i="54" s="1"/>
  <c r="I302" i="54"/>
  <c r="K302" i="54" s="1"/>
  <c r="I278" i="54"/>
  <c r="K278" i="54" s="1"/>
  <c r="I264" i="54"/>
  <c r="K264" i="54" s="1"/>
  <c r="D323" i="54"/>
  <c r="I323" i="54" s="1"/>
  <c r="K323" i="54" s="1"/>
  <c r="D322" i="54"/>
  <c r="I322" i="54" s="1"/>
  <c r="K322" i="54" s="1"/>
  <c r="I321" i="54"/>
  <c r="K321" i="54" s="1"/>
  <c r="I320" i="54"/>
  <c r="K320" i="54" s="1"/>
  <c r="I319" i="54"/>
  <c r="K319" i="54" s="1"/>
  <c r="I318" i="54"/>
  <c r="K318" i="54" s="1"/>
  <c r="I316" i="54"/>
  <c r="I315" i="54"/>
  <c r="D308" i="54"/>
  <c r="I308" i="54" s="1"/>
  <c r="K308" i="54" s="1"/>
  <c r="D307" i="54"/>
  <c r="I307" i="54" s="1"/>
  <c r="K307" i="54" s="1"/>
  <c r="I306" i="54"/>
  <c r="K306" i="54" s="1"/>
  <c r="I305" i="54"/>
  <c r="K305" i="54" s="1"/>
  <c r="I304" i="54"/>
  <c r="K304" i="54" s="1"/>
  <c r="I303" i="54"/>
  <c r="K303" i="54" s="1"/>
  <c r="E301" i="54"/>
  <c r="I301" i="54" s="1"/>
  <c r="E300" i="54"/>
  <c r="I300" i="54" s="1"/>
  <c r="K293" i="54"/>
  <c r="D291" i="54"/>
  <c r="I291" i="54" s="1"/>
  <c r="K291" i="54" s="1"/>
  <c r="D290" i="54"/>
  <c r="I290" i="54" s="1"/>
  <c r="K290" i="54" s="1"/>
  <c r="I277" i="54"/>
  <c r="I276" i="54"/>
  <c r="I283" i="54"/>
  <c r="I282" i="54"/>
  <c r="K282" i="54" s="1"/>
  <c r="I281" i="54"/>
  <c r="K281" i="54" s="1"/>
  <c r="I280" i="54"/>
  <c r="K280" i="54" s="1"/>
  <c r="I279" i="54"/>
  <c r="K279" i="54" s="1"/>
  <c r="E262" i="54"/>
  <c r="I268" i="54"/>
  <c r="K268" i="54" s="1"/>
  <c r="I267" i="54"/>
  <c r="K267" i="54" s="1"/>
  <c r="I266" i="54"/>
  <c r="K266" i="54" s="1"/>
  <c r="E263" i="54"/>
  <c r="K368" i="54" l="1"/>
  <c r="E61" i="14" s="1"/>
  <c r="K315" i="54"/>
  <c r="K301" i="54"/>
  <c r="K358" i="54"/>
  <c r="K300" i="54"/>
  <c r="K316" i="54"/>
  <c r="K277" i="54"/>
  <c r="K276" i="54"/>
  <c r="K283" i="54"/>
  <c r="I238" i="54"/>
  <c r="K238" i="54" s="1"/>
  <c r="I237" i="54"/>
  <c r="K237" i="54" s="1"/>
  <c r="I236" i="54"/>
  <c r="K236" i="54" s="1"/>
  <c r="I235" i="54"/>
  <c r="K235" i="54" s="1"/>
  <c r="I240" i="54"/>
  <c r="K240" i="54" s="1"/>
  <c r="I239" i="54"/>
  <c r="K239" i="54" s="1"/>
  <c r="I234" i="54"/>
  <c r="K234" i="54" s="1"/>
  <c r="I233" i="54"/>
  <c r="K233" i="54" s="1"/>
  <c r="I224" i="54"/>
  <c r="K224" i="54" s="1"/>
  <c r="I226" i="54"/>
  <c r="K226" i="54" s="1"/>
  <c r="I225" i="54"/>
  <c r="K225" i="54" s="1"/>
  <c r="I217" i="54"/>
  <c r="K217" i="54" s="1"/>
  <c r="I214" i="54"/>
  <c r="K214" i="54" s="1"/>
  <c r="I216" i="54"/>
  <c r="K216" i="54" s="1"/>
  <c r="I215" i="54"/>
  <c r="K215" i="54" s="1"/>
  <c r="I213" i="54"/>
  <c r="K213" i="54" s="1"/>
  <c r="I202" i="54"/>
  <c r="K202" i="54" s="1"/>
  <c r="I206" i="54"/>
  <c r="K206" i="54" s="1"/>
  <c r="I205" i="54"/>
  <c r="K205" i="54" s="1"/>
  <c r="I204" i="54"/>
  <c r="K204" i="54" s="1"/>
  <c r="I201" i="54"/>
  <c r="K201" i="54" s="1"/>
  <c r="I203" i="54"/>
  <c r="K203" i="54" s="1"/>
  <c r="I200" i="54"/>
  <c r="K200" i="54" s="1"/>
  <c r="I162" i="54"/>
  <c r="K162" i="54" s="1"/>
  <c r="G1275" i="37"/>
  <c r="I185" i="54"/>
  <c r="K185" i="54" s="1"/>
  <c r="I184" i="54"/>
  <c r="K184" i="54" s="1"/>
  <c r="G1093" i="37"/>
  <c r="F1088" i="37"/>
  <c r="H1088" i="37" s="1"/>
  <c r="I1103" i="37"/>
  <c r="G1095" i="37"/>
  <c r="G1094" i="37"/>
  <c r="K309" i="54" l="1"/>
  <c r="E54" i="14" s="1"/>
  <c r="K284" i="54"/>
  <c r="E49" i="14" s="1"/>
  <c r="K324" i="54"/>
  <c r="E55" i="14" s="1"/>
  <c r="K227" i="54"/>
  <c r="E41" i="14" s="1"/>
  <c r="K218" i="54"/>
  <c r="E40" i="14" s="1"/>
  <c r="K241" i="54"/>
  <c r="E42" i="14" s="1"/>
  <c r="K186" i="54"/>
  <c r="E37" i="14" s="1"/>
  <c r="I177" i="54"/>
  <c r="K177" i="54" s="1"/>
  <c r="K178" i="54" s="1"/>
  <c r="E36" i="14" s="1"/>
  <c r="I160" i="54"/>
  <c r="K160" i="54" s="1"/>
  <c r="C15" i="23"/>
  <c r="C14" i="23"/>
  <c r="C13" i="23"/>
  <c r="C12" i="23"/>
  <c r="G914" i="37"/>
  <c r="I146" i="54"/>
  <c r="K146" i="54" s="1"/>
  <c r="I127" i="54"/>
  <c r="K127" i="54" s="1"/>
  <c r="I126" i="54"/>
  <c r="K126" i="54" s="1"/>
  <c r="K112" i="54"/>
  <c r="K113" i="54" s="1"/>
  <c r="E28" i="14" s="1"/>
  <c r="I97" i="54"/>
  <c r="K97" i="54" s="1"/>
  <c r="I96" i="54"/>
  <c r="K96" i="54" s="1"/>
  <c r="I81" i="54"/>
  <c r="L81" i="54" s="1"/>
  <c r="I77" i="54"/>
  <c r="L77" i="54" s="1"/>
  <c r="I76" i="54"/>
  <c r="L76" i="54" s="1"/>
  <c r="I79" i="54"/>
  <c r="L79" i="54" s="1"/>
  <c r="D68" i="54"/>
  <c r="D67" i="54"/>
  <c r="I67" i="54"/>
  <c r="I59" i="54"/>
  <c r="K59" i="54" s="1"/>
  <c r="K128" i="54" l="1"/>
  <c r="E30" i="14" s="1"/>
  <c r="K147" i="54"/>
  <c r="E32" i="14" s="1"/>
  <c r="K67" i="54"/>
  <c r="I53" i="54" l="1"/>
  <c r="K53" i="54" s="1"/>
  <c r="I56" i="54"/>
  <c r="K56" i="54" s="1"/>
  <c r="I55" i="54"/>
  <c r="K55" i="54" s="1"/>
  <c r="I51" i="54"/>
  <c r="K51" i="54" s="1"/>
  <c r="I48" i="54"/>
  <c r="K48" i="54" s="1"/>
  <c r="G447" i="37"/>
  <c r="G446" i="37"/>
  <c r="F427" i="37"/>
  <c r="G427" i="37"/>
  <c r="G208" i="37"/>
  <c r="G209" i="37"/>
  <c r="G189" i="37"/>
  <c r="F189" i="37"/>
  <c r="F188" i="37"/>
  <c r="H188" i="37" s="1"/>
  <c r="F203" i="37"/>
  <c r="H203" i="37" s="1"/>
  <c r="F202" i="37"/>
  <c r="H202" i="37" s="1"/>
  <c r="I32" i="54"/>
  <c r="L32" i="54" s="1"/>
  <c r="I18" i="54"/>
  <c r="K18" i="54" s="1"/>
  <c r="K19" i="54" l="1"/>
  <c r="E40" i="54" s="1"/>
  <c r="L33" i="54"/>
  <c r="E14" i="14" s="1"/>
  <c r="H427" i="37"/>
  <c r="I205" i="37"/>
  <c r="H189" i="37"/>
  <c r="E12" i="14" l="1"/>
  <c r="I161" i="54"/>
  <c r="K161" i="54" s="1"/>
  <c r="G972" i="37"/>
  <c r="K163" i="54" l="1"/>
  <c r="E34" i="14" s="1"/>
  <c r="G1227" i="37"/>
  <c r="G1226" i="37"/>
  <c r="G1215" i="37"/>
  <c r="G1214" i="37"/>
  <c r="G1213" i="37"/>
  <c r="G671" i="37"/>
  <c r="I680" i="37"/>
  <c r="G670" i="37"/>
  <c r="G1347" i="37" l="1"/>
  <c r="G1346" i="37"/>
  <c r="G1406" i="37"/>
  <c r="G1405" i="37"/>
  <c r="F1388" i="37"/>
  <c r="F1448" i="37"/>
  <c r="F1027" i="37"/>
  <c r="F1148" i="37"/>
  <c r="G1033" i="37"/>
  <c r="G1032" i="37"/>
  <c r="G866" i="37"/>
  <c r="G865" i="37"/>
  <c r="F847" i="37"/>
  <c r="G793" i="37"/>
  <c r="G564" i="37"/>
  <c r="F1268" i="37"/>
  <c r="G1273" i="37"/>
  <c r="G1574" i="37" l="1"/>
  <c r="G1335" i="37"/>
  <c r="G1334" i="37"/>
  <c r="G1333" i="37"/>
  <c r="G915" i="37"/>
  <c r="H1448" i="37"/>
  <c r="F1458" i="37"/>
  <c r="H1458" i="37" s="1"/>
  <c r="G1456" i="37"/>
  <c r="G1635" i="37"/>
  <c r="G1634" i="37"/>
  <c r="G1274" i="37"/>
  <c r="G1155" i="37"/>
  <c r="G1153" i="37"/>
  <c r="G853" i="37"/>
  <c r="G852" i="37"/>
  <c r="G731" i="37"/>
  <c r="G730" i="37"/>
  <c r="I137" i="54"/>
  <c r="K137" i="54" s="1"/>
  <c r="I136" i="54"/>
  <c r="K136" i="54" s="1"/>
  <c r="I135" i="54"/>
  <c r="K135" i="54" s="1"/>
  <c r="I134" i="54"/>
  <c r="K134" i="54" s="1"/>
  <c r="D66" i="54"/>
  <c r="C187" i="23" l="1"/>
  <c r="F187" i="23" s="1"/>
  <c r="F3454" i="37"/>
  <c r="H3454" i="37" s="1"/>
  <c r="I3456" i="37" s="1"/>
  <c r="I654" i="54"/>
  <c r="K654" i="54" s="1"/>
  <c r="K656" i="54" s="1"/>
  <c r="E114" i="14" s="1"/>
  <c r="F3448" i="37" l="1"/>
  <c r="H3448" i="37" s="1"/>
  <c r="I3451" i="37" s="1"/>
  <c r="D187" i="23"/>
  <c r="E187" i="23" s="1"/>
  <c r="F125" i="23"/>
  <c r="D125" i="23"/>
  <c r="E125" i="23" s="1"/>
  <c r="F4779" i="37"/>
  <c r="H4779" i="37" s="1"/>
  <c r="F4787" i="37"/>
  <c r="H4787" i="37" s="1"/>
  <c r="I4790" i="37" s="1"/>
  <c r="H4780" i="37"/>
  <c r="F188" i="23"/>
  <c r="I4784" i="37" l="1"/>
  <c r="D188" i="23"/>
  <c r="E188" i="23" s="1"/>
  <c r="I694" i="54" l="1"/>
  <c r="K694" i="54" s="1"/>
  <c r="I693" i="54"/>
  <c r="K693" i="54" s="1"/>
  <c r="I672" i="54"/>
  <c r="K672" i="54" s="1"/>
  <c r="I664" i="54"/>
  <c r="K664" i="54" s="1"/>
  <c r="I663" i="54"/>
  <c r="K663" i="54" s="1"/>
  <c r="I662" i="54"/>
  <c r="K662" i="54" s="1"/>
  <c r="I647" i="54"/>
  <c r="K647" i="54" s="1"/>
  <c r="K648" i="54" s="1"/>
  <c r="E113" i="14" s="1"/>
  <c r="I633" i="54"/>
  <c r="K633" i="54" s="1"/>
  <c r="I632" i="54"/>
  <c r="K632" i="54" s="1"/>
  <c r="F4543" i="37"/>
  <c r="H4543" i="37" s="1"/>
  <c r="F4542" i="37"/>
  <c r="F4541" i="37"/>
  <c r="F4540" i="37"/>
  <c r="H4540" i="37" s="1"/>
  <c r="F4548" i="37"/>
  <c r="H4548" i="37" s="1"/>
  <c r="I4550" i="37" s="1"/>
  <c r="H4542" i="37"/>
  <c r="H4541" i="37"/>
  <c r="I583" i="54"/>
  <c r="K583" i="54" s="1"/>
  <c r="I611" i="54"/>
  <c r="K611" i="54" s="1"/>
  <c r="K612" i="54" s="1"/>
  <c r="E102" i="14" s="1"/>
  <c r="I604" i="54"/>
  <c r="K604" i="54" s="1"/>
  <c r="K605" i="54" s="1"/>
  <c r="E101" i="14" s="1"/>
  <c r="I590" i="54"/>
  <c r="K618" i="54"/>
  <c r="K619" i="54" s="1"/>
  <c r="E103" i="14" s="1"/>
  <c r="I575" i="54"/>
  <c r="K575" i="54" s="1"/>
  <c r="I574" i="54"/>
  <c r="K574" i="54" s="1"/>
  <c r="I572" i="54"/>
  <c r="K572" i="54" s="1"/>
  <c r="C174" i="23"/>
  <c r="F4235" i="37" s="1"/>
  <c r="F4365" i="37"/>
  <c r="H4365" i="37" s="1"/>
  <c r="I4367" i="37" s="1"/>
  <c r="G4359" i="37"/>
  <c r="G4358" i="37"/>
  <c r="C179" i="23"/>
  <c r="F179" i="23" s="1"/>
  <c r="C178" i="23"/>
  <c r="F4174" i="37" s="1"/>
  <c r="C171" i="23"/>
  <c r="F4111" i="37" s="1"/>
  <c r="F174" i="23" l="1"/>
  <c r="K695" i="54"/>
  <c r="E122" i="14" s="1"/>
  <c r="F178" i="23"/>
  <c r="D179" i="23"/>
  <c r="E179" i="23" s="1"/>
  <c r="F4296" i="37"/>
  <c r="K666" i="54"/>
  <c r="E115" i="14" s="1"/>
  <c r="K634" i="54"/>
  <c r="E108" i="14" s="1"/>
  <c r="K673" i="54"/>
  <c r="E116" i="14" s="1"/>
  <c r="F171" i="23"/>
  <c r="D178" i="23"/>
  <c r="E178" i="23" s="1"/>
  <c r="I4545" i="37"/>
  <c r="K590" i="54"/>
  <c r="K591" i="54" s="1"/>
  <c r="E99" i="14" s="1"/>
  <c r="D174" i="23"/>
  <c r="E174" i="23" s="1"/>
  <c r="D171" i="23"/>
  <c r="E171" i="23" s="1"/>
  <c r="F4302" i="37" l="1"/>
  <c r="H4302" i="37" s="1"/>
  <c r="I4305" i="37" s="1"/>
  <c r="H4297" i="37"/>
  <c r="H4296" i="37"/>
  <c r="F4000" i="37"/>
  <c r="H4000" i="37" s="1"/>
  <c r="I4002" i="37" s="1"/>
  <c r="F4061" i="37"/>
  <c r="H4061" i="37" s="1"/>
  <c r="I4063" i="37" s="1"/>
  <c r="H4111" i="37"/>
  <c r="F4117" i="37"/>
  <c r="H4117" i="37" s="1"/>
  <c r="I4119" i="37" s="1"/>
  <c r="D4122" i="37"/>
  <c r="F4122" i="37" s="1"/>
  <c r="H4122" i="37" s="1"/>
  <c r="D4123" i="37"/>
  <c r="F4123" i="37" s="1"/>
  <c r="H4123" i="37" s="1"/>
  <c r="H4174" i="37"/>
  <c r="H4175" i="37"/>
  <c r="F4180" i="37"/>
  <c r="H4180" i="37" s="1"/>
  <c r="I4182" i="37" s="1"/>
  <c r="H4235" i="37"/>
  <c r="F4241" i="37"/>
  <c r="H4241" i="37" s="1"/>
  <c r="I4244" i="37" s="1"/>
  <c r="G3511" i="37"/>
  <c r="G3510" i="37"/>
  <c r="F3517" i="37"/>
  <c r="H3517" i="37" s="1"/>
  <c r="I3519" i="37" s="1"/>
  <c r="F3388" i="37"/>
  <c r="F3389" i="37"/>
  <c r="H3389" i="37" s="1"/>
  <c r="F3390" i="37"/>
  <c r="H3390" i="37" s="1"/>
  <c r="F3391" i="37"/>
  <c r="H3391" i="37" s="1"/>
  <c r="F3387" i="37"/>
  <c r="H3387" i="37" s="1"/>
  <c r="F3328" i="37"/>
  <c r="H3328" i="37" s="1"/>
  <c r="F3329" i="37"/>
  <c r="H3329" i="37" s="1"/>
  <c r="F3330" i="37"/>
  <c r="H3330" i="37" s="1"/>
  <c r="F3331" i="37"/>
  <c r="H3331" i="37" s="1"/>
  <c r="F3327" i="37"/>
  <c r="H3327" i="37" s="1"/>
  <c r="F3272" i="37"/>
  <c r="H3272" i="37" s="1"/>
  <c r="F3271" i="37"/>
  <c r="H3271" i="37" s="1"/>
  <c r="F3269" i="37"/>
  <c r="H3269" i="37" s="1"/>
  <c r="F3270" i="37"/>
  <c r="H3270" i="37" s="1"/>
  <c r="F3268" i="37"/>
  <c r="H3268" i="37" s="1"/>
  <c r="F3209" i="37"/>
  <c r="H3209" i="37" s="1"/>
  <c r="F3210" i="37"/>
  <c r="H3210" i="37" s="1"/>
  <c r="F3211" i="37"/>
  <c r="H3211" i="37" s="1"/>
  <c r="F3212" i="37"/>
  <c r="H3212" i="37" s="1"/>
  <c r="F3208" i="37"/>
  <c r="H3208" i="37" s="1"/>
  <c r="F3148" i="37"/>
  <c r="H3148" i="37" s="1"/>
  <c r="F3149" i="37"/>
  <c r="H3149" i="37" s="1"/>
  <c r="F3150" i="37"/>
  <c r="H3150" i="37" s="1"/>
  <c r="F3151" i="37"/>
  <c r="H3151" i="37" s="1"/>
  <c r="F3147" i="37"/>
  <c r="H3147" i="37" s="1"/>
  <c r="F3087" i="37"/>
  <c r="H3087" i="37" s="1"/>
  <c r="F3088" i="37"/>
  <c r="H3088" i="37" s="1"/>
  <c r="F3089" i="37"/>
  <c r="H3089" i="37" s="1"/>
  <c r="F3090" i="37"/>
  <c r="H3090" i="37" s="1"/>
  <c r="F3086" i="37"/>
  <c r="H3086" i="37" s="1"/>
  <c r="F3096" i="37"/>
  <c r="H3096" i="37" s="1"/>
  <c r="I3099" i="37" s="1"/>
  <c r="F3026" i="37"/>
  <c r="H3026" i="37" s="1"/>
  <c r="F3027" i="37"/>
  <c r="H3027" i="37" s="1"/>
  <c r="F3028" i="37"/>
  <c r="H3028" i="37" s="1"/>
  <c r="F3029" i="37"/>
  <c r="H3029" i="37" s="1"/>
  <c r="F3030" i="37"/>
  <c r="H3030" i="37" s="1"/>
  <c r="F3031" i="37"/>
  <c r="H3031" i="37" s="1"/>
  <c r="F3025" i="37"/>
  <c r="H3025" i="37" s="1"/>
  <c r="F2969" i="37"/>
  <c r="H2969" i="37" s="1"/>
  <c r="F2966" i="37"/>
  <c r="H2966" i="37" s="1"/>
  <c r="F2967" i="37"/>
  <c r="H2967" i="37" s="1"/>
  <c r="F2968" i="37"/>
  <c r="H2968" i="37" s="1"/>
  <c r="F2965" i="37"/>
  <c r="H2965" i="37" s="1"/>
  <c r="F3397" i="37"/>
  <c r="H3397" i="37" s="1"/>
  <c r="I3400" i="37" s="1"/>
  <c r="H3388" i="37"/>
  <c r="F3337" i="37"/>
  <c r="H3337" i="37" s="1"/>
  <c r="I3340" i="37" s="1"/>
  <c r="F3278" i="37"/>
  <c r="H3278" i="37" s="1"/>
  <c r="I3281" i="37" s="1"/>
  <c r="F3218" i="37"/>
  <c r="H3218" i="37" s="1"/>
  <c r="I3221" i="37" s="1"/>
  <c r="F3157" i="37"/>
  <c r="H3157" i="37" s="1"/>
  <c r="I3160" i="37" s="1"/>
  <c r="F3037" i="37"/>
  <c r="H3037" i="37" s="1"/>
  <c r="I3040" i="37" s="1"/>
  <c r="F2975" i="37"/>
  <c r="H2975" i="37" s="1"/>
  <c r="I2978" i="37" s="1"/>
  <c r="I515" i="54"/>
  <c r="K515" i="54" s="1"/>
  <c r="I512" i="54"/>
  <c r="K512" i="54" s="1"/>
  <c r="K477" i="54"/>
  <c r="K478" i="54" s="1"/>
  <c r="E81" i="14" s="1"/>
  <c r="I514" i="54"/>
  <c r="K514" i="54" s="1"/>
  <c r="I513" i="54"/>
  <c r="K513" i="54" s="1"/>
  <c r="I505" i="54"/>
  <c r="K505" i="54" s="1"/>
  <c r="K506" i="54" s="1"/>
  <c r="E85" i="14" s="1"/>
  <c r="I498" i="54"/>
  <c r="K498" i="54" s="1"/>
  <c r="K499" i="54" s="1"/>
  <c r="E84" i="14" s="1"/>
  <c r="I491" i="54"/>
  <c r="K491" i="54" s="1"/>
  <c r="K492" i="54" s="1"/>
  <c r="E83" i="14" s="1"/>
  <c r="K484" i="54"/>
  <c r="K485" i="54" s="1"/>
  <c r="E82" i="14" s="1"/>
  <c r="K470" i="54"/>
  <c r="K471" i="54" s="1"/>
  <c r="E80" i="14" s="1"/>
  <c r="K463" i="54"/>
  <c r="K464" i="54" s="1"/>
  <c r="E79" i="14" s="1"/>
  <c r="I428" i="54"/>
  <c r="K428" i="54" s="1"/>
  <c r="I427" i="54"/>
  <c r="K427" i="54" s="1"/>
  <c r="I419" i="54"/>
  <c r="K419" i="54" s="1"/>
  <c r="K421" i="54" s="1"/>
  <c r="E69" i="14" s="1"/>
  <c r="K411" i="54"/>
  <c r="K413" i="54" s="1"/>
  <c r="E68" i="14" s="1"/>
  <c r="F2664" i="37"/>
  <c r="H2664" i="37" s="1"/>
  <c r="F2604" i="37"/>
  <c r="H2604" i="37" s="1"/>
  <c r="F2605" i="37"/>
  <c r="H2605" i="37" s="1"/>
  <c r="F2603" i="37"/>
  <c r="H2603" i="37" s="1"/>
  <c r="F2546" i="37"/>
  <c r="H2546" i="37" s="1"/>
  <c r="F2544" i="37"/>
  <c r="H2544" i="37" s="1"/>
  <c r="F2545" i="37"/>
  <c r="H2545" i="37" s="1"/>
  <c r="F2543" i="37"/>
  <c r="H2543" i="37" s="1"/>
  <c r="F2672" i="37"/>
  <c r="H2672" i="37" s="1"/>
  <c r="I2674" i="37" s="1"/>
  <c r="F2611" i="37"/>
  <c r="H2611" i="37" s="1"/>
  <c r="I2613" i="37" s="1"/>
  <c r="F2552" i="37"/>
  <c r="H2552" i="37" s="1"/>
  <c r="I2554" i="37" s="1"/>
  <c r="K516" i="54" l="1"/>
  <c r="E86" i="14" s="1"/>
  <c r="K429" i="54"/>
  <c r="E70" i="14" s="1"/>
  <c r="I4299" i="37"/>
  <c r="I4177" i="37"/>
  <c r="I4125" i="37"/>
  <c r="H4106" i="37" s="1"/>
  <c r="I4108" i="37" s="1"/>
  <c r="F2425" i="37" l="1"/>
  <c r="H2425" i="37" s="1"/>
  <c r="F2424" i="37"/>
  <c r="H2424" i="37" s="1"/>
  <c r="F2423" i="37"/>
  <c r="H2423" i="37" s="1"/>
  <c r="F2422" i="37"/>
  <c r="H2422" i="37" s="1"/>
  <c r="F2430" i="37"/>
  <c r="H2430" i="37" s="1"/>
  <c r="I2433" i="37" s="1"/>
  <c r="I397" i="54"/>
  <c r="K397" i="54" s="1"/>
  <c r="I396" i="54"/>
  <c r="K396" i="54" s="1"/>
  <c r="I389" i="54"/>
  <c r="K389" i="54" s="1"/>
  <c r="I380" i="54"/>
  <c r="K380" i="54" s="1"/>
  <c r="I382" i="54"/>
  <c r="K382" i="54" s="1"/>
  <c r="I381" i="54"/>
  <c r="K381" i="54" s="1"/>
  <c r="I379" i="54"/>
  <c r="K379" i="54" s="1"/>
  <c r="F2362" i="37"/>
  <c r="H2362" i="37" s="1"/>
  <c r="F2359" i="37"/>
  <c r="H2359" i="37" s="1"/>
  <c r="F49" i="23"/>
  <c r="D49" i="23"/>
  <c r="E49" i="23" s="1"/>
  <c r="F48" i="23"/>
  <c r="D48" i="23"/>
  <c r="E48" i="23" s="1"/>
  <c r="F2368" i="37"/>
  <c r="H2368" i="37" s="1"/>
  <c r="I2371" i="37" s="1"/>
  <c r="G2360" i="37"/>
  <c r="I351" i="54"/>
  <c r="K351" i="54" s="1"/>
  <c r="I330" i="54"/>
  <c r="K330" i="54" s="1"/>
  <c r="I292" i="54"/>
  <c r="K292" i="54" s="1"/>
  <c r="K383" i="54" l="1"/>
  <c r="E62" i="14" s="1"/>
  <c r="K294" i="54"/>
  <c r="E50" i="14" s="1"/>
  <c r="K398" i="54"/>
  <c r="E63" i="14" s="1"/>
  <c r="K331" i="54"/>
  <c r="E56" i="14" s="1"/>
  <c r="K352" i="54"/>
  <c r="E59" i="14" s="1"/>
  <c r="F2426" i="37"/>
  <c r="H2426" i="37" s="1"/>
  <c r="I2427" i="37" s="1"/>
  <c r="I269" i="54" l="1"/>
  <c r="I263" i="54"/>
  <c r="I248" i="54"/>
  <c r="K248" i="54" s="1"/>
  <c r="I247" i="54"/>
  <c r="K247" i="54" s="1"/>
  <c r="G1575" i="37"/>
  <c r="G1587" i="37"/>
  <c r="G1586" i="37"/>
  <c r="I1583" i="37"/>
  <c r="I199" i="54"/>
  <c r="K199" i="54" s="1"/>
  <c r="K207" i="54" s="1"/>
  <c r="E39" i="14" s="1"/>
  <c r="D1520" i="37"/>
  <c r="F1520" i="37" s="1"/>
  <c r="H1520" i="37" s="1"/>
  <c r="I1522" i="37" s="1"/>
  <c r="I139" i="54"/>
  <c r="K139" i="54" s="1"/>
  <c r="I58" i="54"/>
  <c r="K58" i="54" s="1"/>
  <c r="I192" i="54"/>
  <c r="K192" i="54" s="1"/>
  <c r="I170" i="54"/>
  <c r="K170" i="54" s="1"/>
  <c r="K249" i="54" l="1"/>
  <c r="E43" i="14" s="1"/>
  <c r="K263" i="54"/>
  <c r="K269" i="54"/>
  <c r="K119" i="54"/>
  <c r="K120" i="54" s="1"/>
  <c r="E29" i="14" s="1"/>
  <c r="I57" i="54" l="1"/>
  <c r="K57" i="54" s="1"/>
  <c r="I54" i="54"/>
  <c r="K54" i="54" s="1"/>
  <c r="I52" i="54"/>
  <c r="K52" i="54" s="1"/>
  <c r="K701" i="54"/>
  <c r="K702" i="54" s="1"/>
  <c r="E126" i="14" s="1"/>
  <c r="K686" i="54"/>
  <c r="K687" i="54" s="1"/>
  <c r="E121" i="14" s="1"/>
  <c r="I625" i="54"/>
  <c r="K625" i="54" s="1"/>
  <c r="K626" i="54" s="1"/>
  <c r="E107" i="14" s="1"/>
  <c r="I640" i="54"/>
  <c r="K640" i="54" s="1"/>
  <c r="K641" i="54" s="1"/>
  <c r="E109" i="14" s="1"/>
  <c r="I565" i="54"/>
  <c r="K565" i="54" s="1"/>
  <c r="K566" i="54" s="1"/>
  <c r="E96" i="14" s="1"/>
  <c r="I558" i="54"/>
  <c r="K558" i="54" s="1"/>
  <c r="K559" i="54" s="1"/>
  <c r="E95" i="14" s="1"/>
  <c r="I551" i="54"/>
  <c r="K551" i="54" s="1"/>
  <c r="K552" i="54" s="1"/>
  <c r="E94" i="14" s="1"/>
  <c r="I544" i="54"/>
  <c r="K537" i="54"/>
  <c r="K538" i="54" s="1"/>
  <c r="E92" i="14" s="1"/>
  <c r="K442" i="54"/>
  <c r="K443" i="54" s="1"/>
  <c r="E76" i="14" s="1"/>
  <c r="K435" i="54"/>
  <c r="K436" i="54" s="1"/>
  <c r="E72" i="14" s="1"/>
  <c r="K404" i="54"/>
  <c r="K405" i="54" s="1"/>
  <c r="E67" i="14" s="1"/>
  <c r="I344" i="54"/>
  <c r="K344" i="54" s="1"/>
  <c r="K345" i="54" s="1"/>
  <c r="E58" i="14" s="1"/>
  <c r="I337" i="54"/>
  <c r="I265" i="54"/>
  <c r="K265" i="54" s="1"/>
  <c r="I262" i="54"/>
  <c r="K262" i="54" s="1"/>
  <c r="I255" i="54"/>
  <c r="K255" i="54" s="1"/>
  <c r="K256" i="54" s="1"/>
  <c r="E44" i="14" s="1"/>
  <c r="K193" i="54"/>
  <c r="E38" i="14" s="1"/>
  <c r="I169" i="54"/>
  <c r="K169" i="54" s="1"/>
  <c r="K171" i="54" s="1"/>
  <c r="E35" i="14" s="1"/>
  <c r="I153" i="54"/>
  <c r="K153" i="54" s="1"/>
  <c r="I138" i="54"/>
  <c r="K138" i="54" s="1"/>
  <c r="K140" i="54" s="1"/>
  <c r="E31" i="14" s="1"/>
  <c r="K105" i="54"/>
  <c r="I98" i="54"/>
  <c r="K98" i="54" s="1"/>
  <c r="I95" i="54"/>
  <c r="K95" i="54" s="1"/>
  <c r="I80" i="54"/>
  <c r="L80" i="54" s="1"/>
  <c r="I78" i="54"/>
  <c r="L78" i="54" s="1"/>
  <c r="I75" i="54"/>
  <c r="L75" i="54" s="1"/>
  <c r="I68" i="54"/>
  <c r="I66" i="54"/>
  <c r="I50" i="54"/>
  <c r="K50" i="54" s="1"/>
  <c r="I49" i="54"/>
  <c r="K49" i="54" s="1"/>
  <c r="I47" i="54"/>
  <c r="K47" i="54" s="1"/>
  <c r="I25" i="54"/>
  <c r="K25" i="54" s="1"/>
  <c r="K26" i="54" s="1"/>
  <c r="I11" i="54"/>
  <c r="K11" i="54" s="1"/>
  <c r="K60" i="54" l="1"/>
  <c r="K12" i="54"/>
  <c r="E11" i="14" s="1"/>
  <c r="L82" i="54"/>
  <c r="E21" i="14" s="1"/>
  <c r="K544" i="54"/>
  <c r="K545" i="54" s="1"/>
  <c r="E93" i="14" s="1"/>
  <c r="H573" i="54"/>
  <c r="I573" i="54" s="1"/>
  <c r="K573" i="54" s="1"/>
  <c r="K576" i="54" s="1"/>
  <c r="E97" i="14" s="1"/>
  <c r="K337" i="54"/>
  <c r="K338" i="54" s="1"/>
  <c r="E57" i="14" s="1"/>
  <c r="K270" i="54"/>
  <c r="E48" i="14" s="1"/>
  <c r="K99" i="54"/>
  <c r="E26" i="14" s="1"/>
  <c r="E19" i="14"/>
  <c r="K359" i="54"/>
  <c r="E60" i="14" s="1"/>
  <c r="K106" i="54"/>
  <c r="E27" i="14" s="1"/>
  <c r="K68" i="54"/>
  <c r="K66" i="54"/>
  <c r="E13" i="14"/>
  <c r="K154" i="54"/>
  <c r="E33" i="14" s="1"/>
  <c r="C113" i="23"/>
  <c r="D113" i="23" s="1"/>
  <c r="E113" i="23" s="1"/>
  <c r="H4720" i="37"/>
  <c r="F4727" i="37"/>
  <c r="H4727" i="37" s="1"/>
  <c r="I4730" i="37" s="1"/>
  <c r="F4602" i="37"/>
  <c r="H4602" i="37" s="1"/>
  <c r="F4601" i="37"/>
  <c r="H4601" i="37" s="1"/>
  <c r="F4600" i="37"/>
  <c r="H4600" i="37" s="1"/>
  <c r="C115" i="23"/>
  <c r="F4599" i="37" s="1"/>
  <c r="H4599" i="37" s="1"/>
  <c r="C114" i="23"/>
  <c r="F114" i="23" s="1"/>
  <c r="F4607" i="37"/>
  <c r="H4607" i="37" s="1"/>
  <c r="I4610" i="37" s="1"/>
  <c r="H1388" i="37"/>
  <c r="G1394" i="37"/>
  <c r="G1393" i="37"/>
  <c r="I1402" i="37"/>
  <c r="D186" i="23"/>
  <c r="E186" i="23" s="1"/>
  <c r="F2850" i="37"/>
  <c r="H2850" i="37" s="1"/>
  <c r="I2852" i="37" s="1"/>
  <c r="F113" i="23" l="1"/>
  <c r="F4719" i="37"/>
  <c r="H4719" i="37" s="1"/>
  <c r="I4724" i="37" s="1"/>
  <c r="K69" i="54"/>
  <c r="E20" i="14" s="1"/>
  <c r="F2844" i="37"/>
  <c r="H2844" i="37" s="1"/>
  <c r="I2847" i="37" s="1"/>
  <c r="F4659" i="37"/>
  <c r="F186" i="23"/>
  <c r="E39" i="54"/>
  <c r="I39" i="54" s="1"/>
  <c r="K39" i="54" s="1"/>
  <c r="I40" i="54"/>
  <c r="K40" i="54" s="1"/>
  <c r="D114" i="23"/>
  <c r="E114" i="23" s="1"/>
  <c r="I4604" i="37"/>
  <c r="K41" i="54" l="1"/>
  <c r="E15" i="14" s="1"/>
  <c r="I88" i="54"/>
  <c r="K88" i="54" s="1"/>
  <c r="K89" i="54" s="1"/>
  <c r="E22" i="14" s="1"/>
  <c r="C185" i="23" l="1"/>
  <c r="F185" i="23" s="1"/>
  <c r="E4969" i="37"/>
  <c r="F4969" i="37" s="1"/>
  <c r="H4969" i="37" s="1"/>
  <c r="I4971" i="37" s="1"/>
  <c r="F4964" i="37" l="1"/>
  <c r="H4964" i="37" s="1"/>
  <c r="I4966" i="37" s="1"/>
  <c r="D185" i="23"/>
  <c r="E185" i="23" s="1"/>
  <c r="C184" i="23" l="1"/>
  <c r="F184" i="23" s="1"/>
  <c r="C183" i="23"/>
  <c r="F183" i="23" s="1"/>
  <c r="G4482" i="37"/>
  <c r="F4487" i="37"/>
  <c r="H4487" i="37" s="1"/>
  <c r="I4490" i="37" s="1"/>
  <c r="F4481" i="37" l="1"/>
  <c r="H4481" i="37" s="1"/>
  <c r="F4480" i="37"/>
  <c r="H4480" i="37" s="1"/>
  <c r="D183" i="23"/>
  <c r="E183" i="23" s="1"/>
  <c r="D184" i="23"/>
  <c r="E184" i="23" s="1"/>
  <c r="F4483" i="37" l="1"/>
  <c r="H4483" i="37" s="1"/>
  <c r="C21" i="23"/>
  <c r="F21" i="23" s="1"/>
  <c r="F2299" i="37" s="1"/>
  <c r="H2299" i="37" s="1"/>
  <c r="F2304" i="37"/>
  <c r="H2304" i="37" s="1"/>
  <c r="I2307" i="37" s="1"/>
  <c r="D21" i="23" l="1"/>
  <c r="E21" i="23" s="1"/>
  <c r="G1815" i="37" l="1"/>
  <c r="I1822" i="37"/>
  <c r="I740" i="37"/>
  <c r="C146" i="23" l="1"/>
  <c r="F5031" i="37"/>
  <c r="H5031" i="37" s="1"/>
  <c r="I5033" i="37" s="1"/>
  <c r="C182" i="23"/>
  <c r="F182" i="23" s="1"/>
  <c r="C181" i="23"/>
  <c r="F181" i="23" s="1"/>
  <c r="C180" i="23"/>
  <c r="F180" i="23" s="1"/>
  <c r="F115" i="23"/>
  <c r="H4659" i="37" s="1"/>
  <c r="D115" i="23"/>
  <c r="E115" i="23" s="1"/>
  <c r="F4660" i="37"/>
  <c r="H4660" i="37" s="1"/>
  <c r="F4662" i="37"/>
  <c r="H4662" i="37" s="1"/>
  <c r="F4661" i="37"/>
  <c r="H4661" i="37" s="1"/>
  <c r="F4667" i="37"/>
  <c r="H4667" i="37" s="1"/>
  <c r="I4670" i="37" s="1"/>
  <c r="C177" i="23"/>
  <c r="F4903" i="37" s="1"/>
  <c r="F4419" i="37"/>
  <c r="C176" i="23"/>
  <c r="F176" i="23" s="1"/>
  <c r="F3928" i="37" s="1"/>
  <c r="C175" i="23"/>
  <c r="F175" i="23" s="1"/>
  <c r="F3867" i="37" s="1"/>
  <c r="C173" i="23"/>
  <c r="F173" i="23" s="1"/>
  <c r="C172" i="23"/>
  <c r="F172" i="23" s="1"/>
  <c r="F3747" i="37" s="1"/>
  <c r="C170" i="23"/>
  <c r="C169" i="23"/>
  <c r="C168" i="23"/>
  <c r="F168" i="23" s="1"/>
  <c r="F3687" i="37" s="1"/>
  <c r="F3628" i="37"/>
  <c r="F167" i="23"/>
  <c r="F3807" i="37" l="1"/>
  <c r="F177" i="23"/>
  <c r="D168" i="23"/>
  <c r="E168" i="23" s="1"/>
  <c r="F4050" i="37"/>
  <c r="H4050" i="37" s="1"/>
  <c r="F3989" i="37"/>
  <c r="H3989" i="37" s="1"/>
  <c r="F170" i="23"/>
  <c r="F3689" i="37" s="1"/>
  <c r="F4052" i="37"/>
  <c r="H4052" i="37" s="1"/>
  <c r="F3991" i="37"/>
  <c r="H3991" i="37" s="1"/>
  <c r="F169" i="23"/>
  <c r="F3688" i="37" s="1"/>
  <c r="F3990" i="37"/>
  <c r="H3990" i="37" s="1"/>
  <c r="F4051" i="37"/>
  <c r="H4051" i="37" s="1"/>
  <c r="D177" i="23"/>
  <c r="E177" i="23" s="1"/>
  <c r="D181" i="23"/>
  <c r="E181" i="23" s="1"/>
  <c r="F5025" i="37"/>
  <c r="H5025" i="37" s="1"/>
  <c r="F5026" i="37"/>
  <c r="H5026" i="37" s="1"/>
  <c r="D180" i="23"/>
  <c r="E180" i="23" s="1"/>
  <c r="D182" i="23"/>
  <c r="E182" i="23" s="1"/>
  <c r="I4664" i="37"/>
  <c r="D176" i="23"/>
  <c r="E176" i="23" s="1"/>
  <c r="D175" i="23"/>
  <c r="E175" i="23" s="1"/>
  <c r="D173" i="23"/>
  <c r="E173" i="23" s="1"/>
  <c r="D172" i="23"/>
  <c r="E172" i="23" s="1"/>
  <c r="D169" i="23"/>
  <c r="E169" i="23" s="1"/>
  <c r="D170" i="23"/>
  <c r="E170" i="23" s="1"/>
  <c r="D167" i="23"/>
  <c r="E167" i="23" s="1"/>
  <c r="I5028" i="37" l="1"/>
  <c r="C166" i="23" l="1"/>
  <c r="C165" i="23"/>
  <c r="C164" i="23"/>
  <c r="F2906" i="37"/>
  <c r="H2906" i="37" s="1"/>
  <c r="C163" i="23"/>
  <c r="F2905" i="37" s="1"/>
  <c r="H2905" i="37" s="1"/>
  <c r="F2915" i="37"/>
  <c r="H2915" i="37" s="1"/>
  <c r="D2913" i="37"/>
  <c r="F2913" i="37" s="1"/>
  <c r="H2913" i="37" s="1"/>
  <c r="G2908" i="37"/>
  <c r="D2914" i="37" s="1"/>
  <c r="F2914" i="37" s="1"/>
  <c r="H2914" i="37" s="1"/>
  <c r="F163" i="23"/>
  <c r="F2785" i="37"/>
  <c r="H2785" i="37" s="1"/>
  <c r="F2784" i="37"/>
  <c r="H2784" i="37" s="1"/>
  <c r="C84" i="23"/>
  <c r="F2783" i="37" s="1"/>
  <c r="H2783" i="37" s="1"/>
  <c r="F2790" i="37"/>
  <c r="H2790" i="37" s="1"/>
  <c r="I2792" i="37" s="1"/>
  <c r="F2488" i="37"/>
  <c r="H2488" i="37" s="1"/>
  <c r="F2487" i="37"/>
  <c r="H2487" i="37" s="1"/>
  <c r="F2486" i="37"/>
  <c r="H2486" i="37" s="1"/>
  <c r="F2485" i="37"/>
  <c r="H2485" i="37" s="1"/>
  <c r="C79" i="23"/>
  <c r="F2484" i="37" s="1"/>
  <c r="H2484" i="37" s="1"/>
  <c r="D78" i="23"/>
  <c r="E78" i="23" s="1"/>
  <c r="F2483" i="37"/>
  <c r="H2483" i="37" s="1"/>
  <c r="F2494" i="37"/>
  <c r="H2494" i="37" s="1"/>
  <c r="I2496" i="37" s="1"/>
  <c r="I2480" i="37"/>
  <c r="F2239" i="37"/>
  <c r="H2239" i="37" s="1"/>
  <c r="F2238" i="37"/>
  <c r="H2238" i="37" s="1"/>
  <c r="F2237" i="37"/>
  <c r="H2237" i="37" s="1"/>
  <c r="F2236" i="37"/>
  <c r="H2236" i="37" s="1"/>
  <c r="F47" i="23"/>
  <c r="D47" i="23"/>
  <c r="E47" i="23" s="1"/>
  <c r="F2174" i="37"/>
  <c r="H2174" i="37" s="1"/>
  <c r="F45" i="23"/>
  <c r="D45" i="23"/>
  <c r="E45" i="23" s="1"/>
  <c r="F2178" i="37"/>
  <c r="H2178" i="37" s="1"/>
  <c r="F2177" i="37"/>
  <c r="H2177" i="37" s="1"/>
  <c r="F2176" i="37"/>
  <c r="H2176" i="37" s="1"/>
  <c r="F2183" i="37"/>
  <c r="H2183" i="37" s="1"/>
  <c r="I2186" i="37" s="1"/>
  <c r="G2175" i="37"/>
  <c r="F2244" i="37"/>
  <c r="H2244" i="37" s="1"/>
  <c r="I2247" i="37" s="1"/>
  <c r="F2118" i="37"/>
  <c r="C162" i="23"/>
  <c r="D162" i="23" s="1"/>
  <c r="E162" i="23" s="1"/>
  <c r="C161" i="23"/>
  <c r="F161" i="23" s="1"/>
  <c r="F2116" i="37" s="1"/>
  <c r="C160" i="23"/>
  <c r="D160" i="23" s="1"/>
  <c r="E160" i="23" s="1"/>
  <c r="C159" i="23"/>
  <c r="D159" i="23" s="1"/>
  <c r="E159" i="23" s="1"/>
  <c r="D84" i="23" l="1"/>
  <c r="E84" i="23" s="1"/>
  <c r="F4236" i="37"/>
  <c r="H4236" i="37" s="1"/>
  <c r="I4238" i="37" s="1"/>
  <c r="F4112" i="37"/>
  <c r="H4112" i="37" s="1"/>
  <c r="I4114" i="37" s="1"/>
  <c r="I4127" i="37" s="1"/>
  <c r="F99" i="14" s="1"/>
  <c r="F4056" i="37"/>
  <c r="H4056" i="37" s="1"/>
  <c r="F3995" i="37"/>
  <c r="H3995" i="37" s="1"/>
  <c r="F3571" i="37"/>
  <c r="F4054" i="37"/>
  <c r="H4054" i="37" s="1"/>
  <c r="F3993" i="37"/>
  <c r="H3993" i="37" s="1"/>
  <c r="F162" i="23"/>
  <c r="F2117" i="37" s="1"/>
  <c r="H2117" i="37" s="1"/>
  <c r="F164" i="23"/>
  <c r="F3569" i="37" s="1"/>
  <c r="F3992" i="37"/>
  <c r="H3992" i="37" s="1"/>
  <c r="F4053" i="37"/>
  <c r="H4053" i="37" s="1"/>
  <c r="F84" i="23"/>
  <c r="D165" i="23"/>
  <c r="E165" i="23" s="1"/>
  <c r="F3692" i="37"/>
  <c r="F160" i="23"/>
  <c r="F2115" i="37" s="1"/>
  <c r="F78" i="23"/>
  <c r="D163" i="23"/>
  <c r="E163" i="23" s="1"/>
  <c r="F165" i="23"/>
  <c r="F166" i="23"/>
  <c r="F3690" i="37" s="1"/>
  <c r="D166" i="23"/>
  <c r="E166" i="23" s="1"/>
  <c r="D164" i="23"/>
  <c r="E164" i="23" s="1"/>
  <c r="I2917" i="37"/>
  <c r="I2787" i="37"/>
  <c r="F2240" i="37"/>
  <c r="H2240" i="37" s="1"/>
  <c r="I2241" i="37" s="1"/>
  <c r="D161" i="23"/>
  <c r="E161" i="23" s="1"/>
  <c r="F159" i="23"/>
  <c r="F2114" i="37" s="1"/>
  <c r="G99" i="14" l="1"/>
  <c r="C90" i="47" s="1"/>
  <c r="G90" i="47" s="1"/>
  <c r="F3570" i="37"/>
  <c r="F3808" i="37"/>
  <c r="F3748" i="37"/>
  <c r="F2123" i="37" l="1"/>
  <c r="H2123" i="37" s="1"/>
  <c r="I2126" i="37" s="1"/>
  <c r="H2118" i="37"/>
  <c r="H2116" i="37"/>
  <c r="H2115" i="37"/>
  <c r="H2114" i="37"/>
  <c r="F2119" i="37" l="1"/>
  <c r="H2119" i="37" s="1"/>
  <c r="I2120" i="37" s="1"/>
  <c r="F2058" i="37" l="1"/>
  <c r="H2058" i="37" s="1"/>
  <c r="I2061" i="37" s="1"/>
  <c r="G1646" i="37"/>
  <c r="G1647" i="37"/>
  <c r="I1283" i="37"/>
  <c r="H1268" i="37"/>
  <c r="G1154" i="37"/>
  <c r="G974" i="37"/>
  <c r="G973" i="37"/>
  <c r="G854" i="37"/>
  <c r="D27" i="50" l="1"/>
  <c r="D33" i="50" s="1"/>
  <c r="D35" i="50" s="1"/>
  <c r="D14" i="49"/>
  <c r="G14" i="49" s="1"/>
  <c r="I14" i="49" s="1"/>
  <c r="D38" i="49"/>
  <c r="G38" i="49" s="1"/>
  <c r="I38" i="49" s="1"/>
  <c r="I40" i="49" s="1"/>
  <c r="D28" i="49"/>
  <c r="G28" i="49" s="1"/>
  <c r="I28" i="49" s="1"/>
  <c r="C19" i="49"/>
  <c r="C18" i="49"/>
  <c r="D18" i="49" s="1"/>
  <c r="I18" i="49" s="1"/>
  <c r="I53" i="49"/>
  <c r="I52" i="49"/>
  <c r="I51" i="49"/>
  <c r="I50" i="49"/>
  <c r="I49" i="49"/>
  <c r="I48" i="49"/>
  <c r="I47" i="49"/>
  <c r="I46" i="49"/>
  <c r="I45" i="49"/>
  <c r="I44" i="49"/>
  <c r="I43" i="49"/>
  <c r="D29" i="49"/>
  <c r="G29" i="49" s="1"/>
  <c r="I29" i="49" s="1"/>
  <c r="D20" i="49"/>
  <c r="G20" i="49" s="1"/>
  <c r="I20" i="49" s="1"/>
  <c r="D19" i="49"/>
  <c r="G19" i="49" s="1"/>
  <c r="I19" i="49" s="1"/>
  <c r="D17" i="49"/>
  <c r="G17" i="49" s="1"/>
  <c r="I17" i="49" s="1"/>
  <c r="D16" i="49"/>
  <c r="G16" i="49" s="1"/>
  <c r="I16" i="49" s="1"/>
  <c r="D15" i="49"/>
  <c r="G15" i="49" s="1"/>
  <c r="I15" i="49" s="1"/>
  <c r="K42" i="49" l="1"/>
  <c r="I31" i="49"/>
  <c r="I22" i="49"/>
  <c r="K9" i="49" l="1"/>
  <c r="G20" i="47"/>
  <c r="F20" i="47"/>
  <c r="F111" i="47" l="1"/>
  <c r="E111" i="47"/>
  <c r="D111" i="47"/>
  <c r="E100" i="47"/>
  <c r="D100" i="47"/>
  <c r="E95" i="47"/>
  <c r="D95" i="47"/>
  <c r="D58" i="47"/>
  <c r="D66" i="47"/>
  <c r="D81" i="47"/>
  <c r="E107" i="47"/>
  <c r="D107" i="47"/>
  <c r="E114" i="47"/>
  <c r="D114" i="47"/>
  <c r="D46" i="47"/>
  <c r="G41" i="47"/>
  <c r="C158" i="23" l="1"/>
  <c r="F158" i="23" s="1"/>
  <c r="C157" i="23"/>
  <c r="F157" i="23" s="1"/>
  <c r="C156" i="23"/>
  <c r="F156" i="23" s="1"/>
  <c r="C155" i="23"/>
  <c r="F155" i="23" s="1"/>
  <c r="D158" i="23" l="1"/>
  <c r="E158" i="23" s="1"/>
  <c r="D156" i="23"/>
  <c r="E156" i="23" s="1"/>
  <c r="D157" i="23"/>
  <c r="E157" i="23" s="1"/>
  <c r="D155" i="23"/>
  <c r="E155" i="23" s="1"/>
  <c r="H4903" i="37" l="1"/>
  <c r="I4905" i="37" s="1"/>
  <c r="H4419" i="37"/>
  <c r="I4421" i="37" s="1"/>
  <c r="E4908" i="37"/>
  <c r="F4908" i="37" s="1"/>
  <c r="H4908" i="37" s="1"/>
  <c r="I4910" i="37" s="1"/>
  <c r="E4424" i="37"/>
  <c r="F4424" i="37" s="1"/>
  <c r="H4424" i="37" s="1"/>
  <c r="I4426" i="37" s="1"/>
  <c r="F3576" i="37" l="1"/>
  <c r="H3576" i="37" s="1"/>
  <c r="I3578" i="37" s="1"/>
  <c r="H3571" i="37"/>
  <c r="H3570" i="37"/>
  <c r="H3569" i="37"/>
  <c r="I3566" i="37"/>
  <c r="I3573" i="37" l="1"/>
  <c r="F2731" i="37" l="1"/>
  <c r="H2731" i="37" s="1"/>
  <c r="I2733" i="37" s="1"/>
  <c r="F51" i="23" l="1"/>
  <c r="D51" i="23"/>
  <c r="E51" i="23" s="1"/>
  <c r="C154" i="23"/>
  <c r="F154" i="23" s="1"/>
  <c r="C153" i="23"/>
  <c r="F153" i="23" s="1"/>
  <c r="C152" i="23"/>
  <c r="F152" i="23" s="1"/>
  <c r="C151" i="23"/>
  <c r="F151" i="23" s="1"/>
  <c r="C150" i="23"/>
  <c r="F1995" i="37" s="1"/>
  <c r="H1995" i="37" s="1"/>
  <c r="F2004" i="37"/>
  <c r="H2004" i="37" s="1"/>
  <c r="I2007" i="37" s="1"/>
  <c r="F150" i="23" l="1"/>
  <c r="D150" i="23"/>
  <c r="E150" i="23" s="1"/>
  <c r="F1999" i="37"/>
  <c r="H1999" i="37" s="1"/>
  <c r="D152" i="23"/>
  <c r="E152" i="23" s="1"/>
  <c r="F1998" i="37"/>
  <c r="H1998" i="37" s="1"/>
  <c r="F1997" i="37"/>
  <c r="H1997" i="37" s="1"/>
  <c r="F1996" i="37"/>
  <c r="H1996" i="37" s="1"/>
  <c r="D154" i="23"/>
  <c r="E154" i="23" s="1"/>
  <c r="D153" i="23"/>
  <c r="E153" i="23" s="1"/>
  <c r="D151" i="23"/>
  <c r="E151" i="23" s="1"/>
  <c r="I2001" i="37" l="1"/>
  <c r="F1208" i="37" l="1"/>
  <c r="G1046" i="37"/>
  <c r="G1045" i="37"/>
  <c r="F967" i="37" l="1"/>
  <c r="F114" i="47" l="1"/>
  <c r="F2908" i="37" l="1"/>
  <c r="H2908" i="37" s="1"/>
  <c r="F2907" i="37"/>
  <c r="H2907" i="37" s="1"/>
  <c r="F130" i="23"/>
  <c r="D130" i="23"/>
  <c r="E130" i="23" s="1"/>
  <c r="I2910" i="37" l="1"/>
  <c r="F908" i="37" l="1"/>
  <c r="H908" i="37" s="1"/>
  <c r="H847" i="37"/>
  <c r="G927" i="37"/>
  <c r="G926" i="37"/>
  <c r="I923" i="37"/>
  <c r="G913" i="37"/>
  <c r="I862" i="37"/>
  <c r="G609" i="37" l="1"/>
  <c r="I85" i="37" l="1"/>
  <c r="I80" i="37"/>
  <c r="F143" i="23" l="1"/>
  <c r="F142" i="23"/>
  <c r="F141" i="23"/>
  <c r="F140" i="23"/>
  <c r="D145" i="23"/>
  <c r="E145" i="23" s="1"/>
  <c r="F145" i="23"/>
  <c r="F144" i="23"/>
  <c r="F139" i="23"/>
  <c r="D139" i="23"/>
  <c r="E139" i="23" s="1"/>
  <c r="F137" i="23"/>
  <c r="D137" i="23"/>
  <c r="E137" i="23" s="1"/>
  <c r="F136" i="23"/>
  <c r="D136" i="23"/>
  <c r="E136" i="23" s="1"/>
  <c r="F128" i="23"/>
  <c r="D128" i="23"/>
  <c r="E128" i="23" s="1"/>
  <c r="F127" i="23"/>
  <c r="D127" i="23"/>
  <c r="E127" i="23" s="1"/>
  <c r="F126" i="23"/>
  <c r="D126" i="23"/>
  <c r="E126" i="23" s="1"/>
  <c r="F108" i="23"/>
  <c r="D108" i="23"/>
  <c r="E108" i="23" s="1"/>
  <c r="C83" i="23"/>
  <c r="F2726" i="37" s="1"/>
  <c r="H2726" i="37" s="1"/>
  <c r="C82" i="23"/>
  <c r="F2725" i="37" s="1"/>
  <c r="H2725" i="37" s="1"/>
  <c r="C73" i="23"/>
  <c r="F2666" i="37" s="1"/>
  <c r="H2666" i="37" s="1"/>
  <c r="C72" i="23"/>
  <c r="F2665" i="37" s="1"/>
  <c r="H2665" i="37" s="1"/>
  <c r="C38" i="23"/>
  <c r="C40" i="23"/>
  <c r="C39" i="23"/>
  <c r="F1513" i="37" s="1"/>
  <c r="H1513" i="37" s="1"/>
  <c r="I2728" i="37" l="1"/>
  <c r="D143" i="23"/>
  <c r="E143" i="23" s="1"/>
  <c r="D141" i="23"/>
  <c r="E141" i="23" s="1"/>
  <c r="D144" i="23"/>
  <c r="E144" i="23" s="1"/>
  <c r="D140" i="23"/>
  <c r="E140" i="23" s="1"/>
  <c r="D142" i="23"/>
  <c r="E142" i="23" s="1"/>
  <c r="C30" i="23" l="1"/>
  <c r="C29" i="23"/>
  <c r="I1163" i="37" l="1"/>
  <c r="H1148" i="37"/>
  <c r="I619" i="37" l="1"/>
  <c r="G610" i="37"/>
  <c r="C147" i="23" l="1"/>
  <c r="F1463" i="37" l="1"/>
  <c r="H1463" i="37" s="1"/>
  <c r="G1457" i="37"/>
  <c r="C56" i="23" l="1"/>
  <c r="C24" i="44" l="1"/>
  <c r="G1034" i="37"/>
  <c r="G1766" i="37" l="1"/>
  <c r="G550" i="37" l="1"/>
  <c r="C11" i="23" l="1"/>
  <c r="I32" i="44" l="1"/>
  <c r="F33" i="23" l="1"/>
  <c r="F1454" i="37" s="1"/>
  <c r="F32" i="23"/>
  <c r="F1455" i="37" s="1"/>
  <c r="H1455" i="37" s="1"/>
  <c r="H1454" i="37" l="1"/>
  <c r="F426" i="37" l="1"/>
  <c r="H426" i="37" s="1"/>
  <c r="F441" i="37"/>
  <c r="H441" i="37" s="1"/>
  <c r="F440" i="37"/>
  <c r="H440" i="37" s="1"/>
  <c r="G386" i="37"/>
  <c r="G385" i="37"/>
  <c r="I443" i="37" l="1"/>
  <c r="E127" i="33" l="1"/>
  <c r="F24" i="33"/>
  <c r="F21" i="33"/>
  <c r="F80" i="33" l="1"/>
  <c r="F77" i="33"/>
  <c r="E15" i="33"/>
  <c r="G15" i="33" s="1"/>
  <c r="D10" i="26"/>
  <c r="E10" i="26" s="1"/>
  <c r="F10" i="26" s="1"/>
  <c r="C25" i="24"/>
  <c r="F1569" i="37" l="1"/>
  <c r="H1569" i="37" s="1"/>
  <c r="F1629" i="37"/>
  <c r="F4353" i="37"/>
  <c r="H4353" i="37" s="1"/>
  <c r="F3505" i="37"/>
  <c r="H3505" i="37" s="1"/>
  <c r="E10" i="25"/>
  <c r="D20" i="25" s="1"/>
  <c r="D18" i="25" l="1"/>
  <c r="D14" i="25"/>
  <c r="D15" i="25"/>
  <c r="D19" i="25"/>
  <c r="D17" i="25"/>
  <c r="D16" i="25"/>
  <c r="F132" i="23"/>
  <c r="D132" i="23" l="1"/>
  <c r="E132" i="23" s="1"/>
  <c r="D7" i="23"/>
  <c r="E7" i="23" s="1"/>
  <c r="C58" i="23"/>
  <c r="D106" i="23" l="1"/>
  <c r="E106" i="23" s="1"/>
  <c r="F106" i="23"/>
  <c r="C27" i="23"/>
  <c r="F13" i="23"/>
  <c r="D13" i="23"/>
  <c r="E13" i="23" s="1"/>
  <c r="D9" i="23"/>
  <c r="E9" i="23" s="1"/>
  <c r="F9" i="23"/>
  <c r="D10" i="23"/>
  <c r="E10" i="23" s="1"/>
  <c r="F10" i="23"/>
  <c r="D11" i="23"/>
  <c r="E11" i="23" s="1"/>
  <c r="F11" i="23"/>
  <c r="F195" i="37" s="1"/>
  <c r="H195" i="37" s="1"/>
  <c r="D12" i="23"/>
  <c r="E12" i="23" s="1"/>
  <c r="F12" i="23"/>
  <c r="D14" i="23"/>
  <c r="E14" i="23" s="1"/>
  <c r="F14" i="23"/>
  <c r="D15" i="23"/>
  <c r="E15" i="23" s="1"/>
  <c r="F15" i="23"/>
  <c r="D16" i="23"/>
  <c r="E16" i="23" s="1"/>
  <c r="F16" i="23"/>
  <c r="F196" i="37" s="1"/>
  <c r="H196" i="37" s="1"/>
  <c r="D17" i="23"/>
  <c r="E17" i="23" s="1"/>
  <c r="F17" i="23"/>
  <c r="E189" i="33" s="1"/>
  <c r="D18" i="23"/>
  <c r="E18" i="23" s="1"/>
  <c r="F18" i="23"/>
  <c r="E245" i="33" s="1"/>
  <c r="F7" i="23"/>
  <c r="I199" i="37" l="1"/>
  <c r="F4055" i="37"/>
  <c r="H4055" i="37" s="1"/>
  <c r="I4058" i="37" s="1"/>
  <c r="F3994" i="37"/>
  <c r="H3994" i="37" s="1"/>
  <c r="I3997" i="37" s="1"/>
  <c r="F3392" i="37"/>
  <c r="H3392" i="37" s="1"/>
  <c r="I3394" i="37" s="1"/>
  <c r="F3332" i="37"/>
  <c r="H3332" i="37" s="1"/>
  <c r="I3334" i="37" s="1"/>
  <c r="F3213" i="37"/>
  <c r="H3213" i="37" s="1"/>
  <c r="I3215" i="37" s="1"/>
  <c r="F3152" i="37"/>
  <c r="H3152" i="37" s="1"/>
  <c r="I3154" i="37" s="1"/>
  <c r="F3091" i="37"/>
  <c r="H3091" i="37" s="1"/>
  <c r="I3093" i="37" s="1"/>
  <c r="F3032" i="37"/>
  <c r="H3032" i="37" s="1"/>
  <c r="I3034" i="37" s="1"/>
  <c r="F2606" i="37"/>
  <c r="H2606" i="37" s="1"/>
  <c r="I2608" i="37" s="1"/>
  <c r="F3273" i="37"/>
  <c r="H3273" i="37" s="1"/>
  <c r="I3275" i="37" s="1"/>
  <c r="F2970" i="37"/>
  <c r="H2970" i="37" s="1"/>
  <c r="I2972" i="37" s="1"/>
  <c r="F2667" i="37"/>
  <c r="H2667" i="37" s="1"/>
  <c r="I2669" i="37" s="1"/>
  <c r="F2547" i="37"/>
  <c r="H2547" i="37" s="1"/>
  <c r="I2549" i="37" s="1"/>
  <c r="E77" i="33"/>
  <c r="F2363" i="37"/>
  <c r="H2363" i="37" s="1"/>
  <c r="F2489" i="37"/>
  <c r="H2489" i="37" s="1"/>
  <c r="I2491" i="37" s="1"/>
  <c r="F3691" i="37"/>
  <c r="F433" i="37"/>
  <c r="H433" i="37" s="1"/>
  <c r="F434" i="37"/>
  <c r="H434" i="37" s="1"/>
  <c r="E24" i="33"/>
  <c r="E80" i="33"/>
  <c r="I437" i="37" l="1"/>
  <c r="D149" i="23"/>
  <c r="E149" i="23" s="1"/>
  <c r="F149" i="23"/>
  <c r="E66" i="47" l="1"/>
  <c r="F123" i="23"/>
  <c r="F148" i="23"/>
  <c r="D148" i="23"/>
  <c r="E148" i="23" s="1"/>
  <c r="F146" i="23"/>
  <c r="D146" i="23"/>
  <c r="E146" i="23" s="1"/>
  <c r="D147" i="23"/>
  <c r="E147" i="23" s="1"/>
  <c r="F110" i="23"/>
  <c r="D110" i="23"/>
  <c r="E110" i="23" s="1"/>
  <c r="D135" i="23"/>
  <c r="E135" i="23" s="1"/>
  <c r="F134" i="23"/>
  <c r="F133" i="23"/>
  <c r="F131" i="23"/>
  <c r="F135" i="23" l="1"/>
  <c r="D131" i="23"/>
  <c r="E131" i="23" s="1"/>
  <c r="F147" i="23"/>
  <c r="D123" i="23"/>
  <c r="E123" i="23" s="1"/>
  <c r="D134" i="23"/>
  <c r="E134" i="23" s="1"/>
  <c r="D133" i="23"/>
  <c r="E133" i="23" s="1"/>
  <c r="I1042" i="37" l="1"/>
  <c r="H1027" i="37"/>
  <c r="F129" i="23" l="1"/>
  <c r="D129" i="23"/>
  <c r="E129" i="23" s="1"/>
  <c r="F124" i="23"/>
  <c r="F122" i="23"/>
  <c r="D124" i="23" l="1"/>
  <c r="E124" i="23" s="1"/>
  <c r="D122" i="23"/>
  <c r="E122" i="23" s="1"/>
  <c r="F3633" i="37" l="1"/>
  <c r="H3633" i="37" s="1"/>
  <c r="I3636" i="37" s="1"/>
  <c r="H3628" i="37"/>
  <c r="I3630" i="37" s="1"/>
  <c r="F105" i="23"/>
  <c r="F104" i="23"/>
  <c r="F103" i="23"/>
  <c r="F102" i="23"/>
  <c r="F101" i="23"/>
  <c r="D100" i="23"/>
  <c r="E100" i="23" s="1"/>
  <c r="D99" i="23"/>
  <c r="E99" i="23" s="1"/>
  <c r="F98" i="23"/>
  <c r="F97" i="23"/>
  <c r="F96" i="23"/>
  <c r="D96" i="23"/>
  <c r="E96" i="23" s="1"/>
  <c r="F93" i="23"/>
  <c r="D93" i="23"/>
  <c r="E93" i="23" s="1"/>
  <c r="F95" i="23"/>
  <c r="D94" i="23"/>
  <c r="E94" i="23" s="1"/>
  <c r="D92" i="23"/>
  <c r="E92" i="23" s="1"/>
  <c r="F91" i="23"/>
  <c r="F90" i="23"/>
  <c r="F85" i="23"/>
  <c r="D89" i="23"/>
  <c r="E89" i="23" s="1"/>
  <c r="F88" i="23"/>
  <c r="F87" i="23"/>
  <c r="F86" i="23"/>
  <c r="D83" i="23"/>
  <c r="E83" i="23" s="1"/>
  <c r="D82" i="23"/>
  <c r="E82" i="23" s="1"/>
  <c r="F81" i="23"/>
  <c r="D81" i="23"/>
  <c r="E81" i="23" s="1"/>
  <c r="F80" i="23"/>
  <c r="D80" i="23"/>
  <c r="E80" i="23" s="1"/>
  <c r="F79" i="23"/>
  <c r="D79" i="23"/>
  <c r="E79" i="23" s="1"/>
  <c r="F77" i="23"/>
  <c r="D77" i="23"/>
  <c r="E77" i="23" s="1"/>
  <c r="F76" i="23"/>
  <c r="D76" i="23"/>
  <c r="E76" i="23" s="1"/>
  <c r="F75" i="23"/>
  <c r="D75" i="23"/>
  <c r="E75" i="23" s="1"/>
  <c r="D74" i="23"/>
  <c r="E74" i="23" s="1"/>
  <c r="F73" i="23"/>
  <c r="D73" i="23"/>
  <c r="E73" i="23" s="1"/>
  <c r="F72" i="23"/>
  <c r="D72" i="23"/>
  <c r="E72" i="23" s="1"/>
  <c r="D71" i="23"/>
  <c r="E71" i="23" s="1"/>
  <c r="F70" i="23"/>
  <c r="D70" i="23"/>
  <c r="E70" i="23" s="1"/>
  <c r="F69" i="23"/>
  <c r="D69" i="23"/>
  <c r="E69" i="23" s="1"/>
  <c r="F68" i="23"/>
  <c r="F67" i="23"/>
  <c r="D67" i="23"/>
  <c r="E67" i="23" s="1"/>
  <c r="F65" i="23"/>
  <c r="D65" i="23"/>
  <c r="E65" i="23" s="1"/>
  <c r="F64" i="23"/>
  <c r="D64" i="23"/>
  <c r="E64" i="23" s="1"/>
  <c r="D63" i="23"/>
  <c r="E63" i="23" s="1"/>
  <c r="F83" i="23" l="1"/>
  <c r="D88" i="23"/>
  <c r="E88" i="23" s="1"/>
  <c r="F99" i="23"/>
  <c r="D90" i="23"/>
  <c r="E90" i="23" s="1"/>
  <c r="D97" i="23"/>
  <c r="E97" i="23" s="1"/>
  <c r="D101" i="23"/>
  <c r="E101" i="23" s="1"/>
  <c r="D87" i="23"/>
  <c r="E87" i="23" s="1"/>
  <c r="F92" i="23"/>
  <c r="F94" i="23"/>
  <c r="D95" i="23"/>
  <c r="E95" i="23" s="1"/>
  <c r="D98" i="23"/>
  <c r="E98" i="23" s="1"/>
  <c r="F63" i="23"/>
  <c r="F82" i="23"/>
  <c r="D86" i="23"/>
  <c r="E86" i="23" s="1"/>
  <c r="D91" i="23"/>
  <c r="E91" i="23" s="1"/>
  <c r="F100" i="23"/>
  <c r="F89" i="23"/>
  <c r="D85" i="23"/>
  <c r="E85" i="23" s="1"/>
  <c r="D102" i="23"/>
  <c r="E102" i="23" s="1"/>
  <c r="D103" i="23"/>
  <c r="E103" i="23" s="1"/>
  <c r="D104" i="23"/>
  <c r="E104" i="23" s="1"/>
  <c r="D105" i="23"/>
  <c r="E105" i="23" s="1"/>
  <c r="F74" i="23"/>
  <c r="D68" i="23"/>
  <c r="E68" i="23" s="1"/>
  <c r="F71" i="23"/>
  <c r="F57" i="23" l="1"/>
  <c r="D58" i="23"/>
  <c r="E58" i="23" s="1"/>
  <c r="F62" i="23"/>
  <c r="D62" i="23"/>
  <c r="E62" i="23" s="1"/>
  <c r="F61" i="23"/>
  <c r="D61" i="23"/>
  <c r="E61" i="23" s="1"/>
  <c r="F60" i="23"/>
  <c r="D60" i="23"/>
  <c r="E60" i="23" s="1"/>
  <c r="C59" i="23"/>
  <c r="F59" i="23" s="1"/>
  <c r="F56" i="23"/>
  <c r="D57" i="23" l="1"/>
  <c r="E57" i="23" s="1"/>
  <c r="F58" i="23"/>
  <c r="D59" i="23"/>
  <c r="E59" i="23" s="1"/>
  <c r="D56" i="23"/>
  <c r="E56" i="23" s="1"/>
  <c r="F55" i="23" l="1"/>
  <c r="F1453" i="37" s="1"/>
  <c r="H1453" i="37" s="1"/>
  <c r="D55" i="23"/>
  <c r="E55" i="23" s="1"/>
  <c r="G1755" i="37"/>
  <c r="I1643" i="37" l="1"/>
  <c r="H1629" i="37"/>
  <c r="I1223" i="37"/>
  <c r="H1208" i="37"/>
  <c r="I1343" i="37"/>
  <c r="H1328" i="37"/>
  <c r="F486" i="37"/>
  <c r="H486" i="37" s="1"/>
  <c r="G505" i="37"/>
  <c r="F500" i="37"/>
  <c r="H500" i="37" s="1"/>
  <c r="F499" i="37"/>
  <c r="H499" i="37" s="1"/>
  <c r="I496" i="37"/>
  <c r="G267" i="37"/>
  <c r="F248" i="37"/>
  <c r="H248" i="37" s="1"/>
  <c r="F262" i="37"/>
  <c r="H262" i="37" s="1"/>
  <c r="F261" i="37"/>
  <c r="H261" i="37" s="1"/>
  <c r="I258" i="37"/>
  <c r="I144" i="37"/>
  <c r="I139" i="37"/>
  <c r="I502" i="37" l="1"/>
  <c r="I264" i="37"/>
  <c r="D28" i="45" l="1"/>
  <c r="D30" i="45" s="1"/>
  <c r="D34" i="45"/>
  <c r="D24" i="44"/>
  <c r="G24" i="44" s="1"/>
  <c r="I24" i="44" s="1"/>
  <c r="D16" i="44"/>
  <c r="G16" i="44" s="1"/>
  <c r="I16" i="44" s="1"/>
  <c r="D15" i="44"/>
  <c r="G15" i="44" s="1"/>
  <c r="I15" i="44" s="1"/>
  <c r="I34" i="44"/>
  <c r="I33" i="44"/>
  <c r="I31" i="44"/>
  <c r="D36" i="45" l="1"/>
  <c r="D38" i="45" s="1"/>
  <c r="D39" i="45" s="1"/>
  <c r="K30" i="44"/>
  <c r="I18" i="44"/>
  <c r="I26" i="44"/>
  <c r="K10" i="44" l="1"/>
  <c r="D138" i="23" l="1"/>
  <c r="E138" i="23" s="1"/>
  <c r="D118" i="23"/>
  <c r="E118" i="23" s="1"/>
  <c r="D117" i="23"/>
  <c r="E117" i="23" s="1"/>
  <c r="D116" i="23"/>
  <c r="E116" i="23" s="1"/>
  <c r="D112" i="23"/>
  <c r="E112" i="23" s="1"/>
  <c r="D111" i="23"/>
  <c r="E111" i="23" s="1"/>
  <c r="D109" i="23"/>
  <c r="E109" i="23" s="1"/>
  <c r="D107" i="23"/>
  <c r="E107" i="23" s="1"/>
  <c r="D54" i="23"/>
  <c r="E54" i="23" s="1"/>
  <c r="D53" i="23"/>
  <c r="E53" i="23" s="1"/>
  <c r="D52" i="23"/>
  <c r="E52" i="23" s="1"/>
  <c r="D50" i="23"/>
  <c r="E50" i="23" s="1"/>
  <c r="D46" i="23"/>
  <c r="E46" i="23" s="1"/>
  <c r="D44" i="23"/>
  <c r="E44" i="23" s="1"/>
  <c r="D43" i="23"/>
  <c r="E43" i="23" s="1"/>
  <c r="D42" i="23"/>
  <c r="E42" i="23" s="1"/>
  <c r="D41" i="23"/>
  <c r="E41" i="23" s="1"/>
  <c r="D40" i="23"/>
  <c r="E40" i="23" s="1"/>
  <c r="D39" i="23"/>
  <c r="E39" i="23" s="1"/>
  <c r="D38" i="23"/>
  <c r="E38" i="23" s="1"/>
  <c r="D66" i="23"/>
  <c r="E66" i="23" s="1"/>
  <c r="D37" i="23"/>
  <c r="E37" i="23" s="1"/>
  <c r="D36" i="23"/>
  <c r="E36" i="23" s="1"/>
  <c r="D35" i="23"/>
  <c r="E35" i="23" s="1"/>
  <c r="D34" i="23"/>
  <c r="E34" i="23" s="1"/>
  <c r="D31" i="23"/>
  <c r="E31" i="23" s="1"/>
  <c r="D26" i="23"/>
  <c r="E26" i="23" s="1"/>
  <c r="D25" i="23"/>
  <c r="E25" i="23" s="1"/>
  <c r="D24" i="23"/>
  <c r="E24" i="23" s="1"/>
  <c r="D23" i="23"/>
  <c r="E23" i="23" s="1"/>
  <c r="D22" i="23"/>
  <c r="E22" i="23" s="1"/>
  <c r="D20" i="23"/>
  <c r="E20" i="23" s="1"/>
  <c r="D8" i="23"/>
  <c r="E8" i="23" s="1"/>
  <c r="F3934" i="37" l="1"/>
  <c r="H3934" i="37" s="1"/>
  <c r="I3936" i="37" s="1"/>
  <c r="H3929" i="37"/>
  <c r="H3928" i="37"/>
  <c r="I3931" i="37" l="1"/>
  <c r="F3813" i="37" l="1"/>
  <c r="H3813" i="37" s="1"/>
  <c r="I3815" i="37" s="1"/>
  <c r="H3808" i="37"/>
  <c r="H3807" i="37"/>
  <c r="F3753" i="37"/>
  <c r="H3753" i="37" s="1"/>
  <c r="I3756" i="37" s="1"/>
  <c r="H3748" i="37"/>
  <c r="H3747" i="37"/>
  <c r="F3697" i="37"/>
  <c r="H3697" i="37" s="1"/>
  <c r="I3699" i="37" s="1"/>
  <c r="H3692" i="37"/>
  <c r="H3691" i="37"/>
  <c r="H3690" i="37"/>
  <c r="H3689" i="37"/>
  <c r="H3688" i="37"/>
  <c r="H3687" i="37"/>
  <c r="F54" i="23"/>
  <c r="I982" i="37"/>
  <c r="H967" i="37"/>
  <c r="G794" i="37"/>
  <c r="H373" i="37"/>
  <c r="F3873" i="37"/>
  <c r="H3873" i="37" s="1"/>
  <c r="I3875" i="37" s="1"/>
  <c r="H3868" i="37"/>
  <c r="H3867" i="37"/>
  <c r="I1466" i="37"/>
  <c r="F1942" i="37"/>
  <c r="H1942" i="37" s="1"/>
  <c r="I1945" i="37" s="1"/>
  <c r="F1888" i="37"/>
  <c r="H1888" i="37" s="1"/>
  <c r="F1882" i="37"/>
  <c r="H1882" i="37" s="1"/>
  <c r="I1884" i="37" s="1"/>
  <c r="I1762" i="37"/>
  <c r="F1700" i="37"/>
  <c r="H1700" i="37" s="1"/>
  <c r="I1702" i="37" s="1"/>
  <c r="I802" i="37"/>
  <c r="F560" i="37"/>
  <c r="H560" i="37" s="1"/>
  <c r="D559" i="37"/>
  <c r="F559" i="37" s="1"/>
  <c r="H559" i="37" s="1"/>
  <c r="D558" i="37"/>
  <c r="F558" i="37" s="1"/>
  <c r="H558" i="37" s="1"/>
  <c r="F544" i="37"/>
  <c r="H544" i="37" s="1"/>
  <c r="I547" i="37" s="1"/>
  <c r="I382" i="37"/>
  <c r="F367" i="37"/>
  <c r="H367" i="37" s="1"/>
  <c r="I315" i="37"/>
  <c r="G33" i="37"/>
  <c r="G32" i="37"/>
  <c r="G31" i="37"/>
  <c r="F26" i="37"/>
  <c r="H26" i="37" s="1"/>
  <c r="I28" i="37" s="1"/>
  <c r="G21" i="37"/>
  <c r="G20" i="37"/>
  <c r="F13" i="37"/>
  <c r="H13" i="37" s="1"/>
  <c r="I3810" i="37" l="1"/>
  <c r="I3694" i="37"/>
  <c r="I3750" i="37"/>
  <c r="I377" i="37"/>
  <c r="I561" i="37"/>
  <c r="I320" i="37"/>
  <c r="I3870" i="37"/>
  <c r="E78" i="33"/>
  <c r="E22" i="33"/>
  <c r="C30" i="33"/>
  <c r="F138" i="23" l="1"/>
  <c r="F118" i="23"/>
  <c r="F117" i="23"/>
  <c r="F116" i="23"/>
  <c r="F112" i="23"/>
  <c r="F111" i="23"/>
  <c r="F109" i="23"/>
  <c r="F107" i="23"/>
  <c r="D121" i="23"/>
  <c r="E121" i="23" s="1"/>
  <c r="D120" i="23"/>
  <c r="E120" i="23" s="1"/>
  <c r="D119" i="23"/>
  <c r="E119" i="23" s="1"/>
  <c r="F53" i="23"/>
  <c r="F52" i="23"/>
  <c r="F50" i="23"/>
  <c r="F2361" i="37" s="1"/>
  <c r="H2361" i="37" s="1"/>
  <c r="F46" i="23"/>
  <c r="F44" i="23"/>
  <c r="F2053" i="37" s="1"/>
  <c r="H2053" i="37" s="1"/>
  <c r="I2055" i="37" s="1"/>
  <c r="F43" i="23"/>
  <c r="F40" i="23"/>
  <c r="F119" i="23" l="1"/>
  <c r="F1937" i="37"/>
  <c r="H1937" i="37" s="1"/>
  <c r="I1939" i="37" s="1"/>
  <c r="F121" i="23"/>
  <c r="F1876" i="37"/>
  <c r="H1876" i="37" s="1"/>
  <c r="I1879" i="37" s="1"/>
  <c r="F120" i="23"/>
  <c r="F1694" i="37"/>
  <c r="H1694" i="37" s="1"/>
  <c r="D10" i="25" l="1"/>
  <c r="E144" i="33"/>
  <c r="G144" i="33" s="1"/>
  <c r="E142" i="33"/>
  <c r="G142" i="33" s="1"/>
  <c r="E85" i="33"/>
  <c r="G85" i="33" s="1"/>
  <c r="E29" i="33"/>
  <c r="G29" i="33" s="1"/>
  <c r="E32" i="33"/>
  <c r="G32" i="33" s="1"/>
  <c r="F42" i="23"/>
  <c r="F41" i="23"/>
  <c r="C31" i="33"/>
  <c r="E31" i="33" s="1"/>
  <c r="G31" i="33" s="1"/>
  <c r="H18" i="33"/>
  <c r="H38" i="33"/>
  <c r="E30" i="33"/>
  <c r="G30" i="33" s="1"/>
  <c r="G22" i="33"/>
  <c r="E251" i="33"/>
  <c r="G251" i="33" s="1"/>
  <c r="H253" i="33" s="1"/>
  <c r="G245" i="33"/>
  <c r="E195" i="33"/>
  <c r="G195" i="33" s="1"/>
  <c r="H197" i="33" s="1"/>
  <c r="G189" i="33"/>
  <c r="E145" i="33"/>
  <c r="G145" i="33" s="1"/>
  <c r="C143" i="33"/>
  <c r="E143" i="33" s="1"/>
  <c r="G143" i="33" s="1"/>
  <c r="G127" i="33"/>
  <c r="H130" i="33" s="1"/>
  <c r="H94" i="33"/>
  <c r="E88" i="33"/>
  <c r="G88" i="33" s="1"/>
  <c r="C87" i="33"/>
  <c r="E87" i="33" s="1"/>
  <c r="G87" i="33" s="1"/>
  <c r="C86" i="33"/>
  <c r="E86" i="33" s="1"/>
  <c r="G86" i="33" s="1"/>
  <c r="G78" i="33"/>
  <c r="E71" i="33"/>
  <c r="G71" i="33" s="1"/>
  <c r="H74" i="33" s="1"/>
  <c r="G77" i="33" l="1"/>
  <c r="H33" i="33"/>
  <c r="G24" i="33"/>
  <c r="H89" i="33"/>
  <c r="G80" i="33"/>
  <c r="H147" i="33"/>
  <c r="F39" i="23" l="1"/>
  <c r="F8" i="23" l="1"/>
  <c r="F19" i="37" l="1"/>
  <c r="H19" i="37" s="1"/>
  <c r="E19" i="25"/>
  <c r="E17" i="25"/>
  <c r="E15" i="25"/>
  <c r="E20" i="25"/>
  <c r="E18" i="25"/>
  <c r="E16" i="25"/>
  <c r="E14" i="25"/>
  <c r="D4861" i="37" l="1"/>
  <c r="F4861" i="37" s="1"/>
  <c r="H4861" i="37" s="1"/>
  <c r="D1107" i="37"/>
  <c r="F1107" i="37" s="1"/>
  <c r="H1107" i="37" s="1"/>
  <c r="D209" i="37"/>
  <c r="F209" i="37" s="1"/>
  <c r="H209" i="37" s="1"/>
  <c r="D684" i="37"/>
  <c r="F684" i="37" s="1"/>
  <c r="H684" i="37" s="1"/>
  <c r="D3460" i="37"/>
  <c r="F3460" i="37" s="1"/>
  <c r="H3460" i="37" s="1"/>
  <c r="D4794" i="37"/>
  <c r="F4794" i="37" s="1"/>
  <c r="H4794" i="37" s="1"/>
  <c r="D4371" i="37"/>
  <c r="F4371" i="37" s="1"/>
  <c r="H4371" i="37" s="1"/>
  <c r="D4067" i="37"/>
  <c r="F4067" i="37" s="1"/>
  <c r="H4067" i="37" s="1"/>
  <c r="D4309" i="37"/>
  <c r="F4309" i="37" s="1"/>
  <c r="H4309" i="37" s="1"/>
  <c r="D4006" i="37"/>
  <c r="F4006" i="37" s="1"/>
  <c r="H4006" i="37" s="1"/>
  <c r="D4554" i="37"/>
  <c r="F4554" i="37" s="1"/>
  <c r="H4554" i="37" s="1"/>
  <c r="D4248" i="37"/>
  <c r="F4248" i="37" s="1"/>
  <c r="H4248" i="37" s="1"/>
  <c r="D4186" i="37"/>
  <c r="F4186" i="37" s="1"/>
  <c r="H4186" i="37" s="1"/>
  <c r="D3523" i="37"/>
  <c r="F3523" i="37" s="1"/>
  <c r="H3523" i="37" s="1"/>
  <c r="D3225" i="37"/>
  <c r="F3225" i="37" s="1"/>
  <c r="H3225" i="37" s="1"/>
  <c r="D2678" i="37"/>
  <c r="F2678" i="37" s="1"/>
  <c r="H2678" i="37" s="1"/>
  <c r="D3285" i="37"/>
  <c r="F3285" i="37" s="1"/>
  <c r="H3285" i="37" s="1"/>
  <c r="D3344" i="37"/>
  <c r="F3344" i="37" s="1"/>
  <c r="H3344" i="37" s="1"/>
  <c r="D3103" i="37"/>
  <c r="F3103" i="37" s="1"/>
  <c r="H3103" i="37" s="1"/>
  <c r="D3044" i="37"/>
  <c r="F3044" i="37" s="1"/>
  <c r="H3044" i="37" s="1"/>
  <c r="D3404" i="37"/>
  <c r="F3404" i="37" s="1"/>
  <c r="H3404" i="37" s="1"/>
  <c r="D3164" i="37"/>
  <c r="F3164" i="37" s="1"/>
  <c r="H3164" i="37" s="1"/>
  <c r="D2982" i="37"/>
  <c r="F2982" i="37" s="1"/>
  <c r="H2982" i="37" s="1"/>
  <c r="D2617" i="37"/>
  <c r="F2617" i="37" s="1"/>
  <c r="H2617" i="37" s="1"/>
  <c r="D2558" i="37"/>
  <c r="F2558" i="37" s="1"/>
  <c r="H2558" i="37" s="1"/>
  <c r="D2437" i="37"/>
  <c r="F2437" i="37" s="1"/>
  <c r="H2437" i="37" s="1"/>
  <c r="D2375" i="37"/>
  <c r="F2375" i="37" s="1"/>
  <c r="H2375" i="37" s="1"/>
  <c r="D1526" i="37"/>
  <c r="F1526" i="37" s="1"/>
  <c r="H1526" i="37" s="1"/>
  <c r="D1587" i="37"/>
  <c r="F1587" i="37" s="1"/>
  <c r="H1587" i="37" s="1"/>
  <c r="D2856" i="37"/>
  <c r="F2856" i="37" s="1"/>
  <c r="H2856" i="37" s="1"/>
  <c r="D1406" i="37"/>
  <c r="F1406" i="37" s="1"/>
  <c r="H1406" i="37" s="1"/>
  <c r="D4734" i="37"/>
  <c r="F4734" i="37" s="1"/>
  <c r="H4734" i="37" s="1"/>
  <c r="D4614" i="37"/>
  <c r="F4614" i="37" s="1"/>
  <c r="H4614" i="37" s="1"/>
  <c r="D4975" i="37"/>
  <c r="F4975" i="37" s="1"/>
  <c r="H4975" i="37" s="1"/>
  <c r="D4494" i="37"/>
  <c r="F4494" i="37" s="1"/>
  <c r="H4494" i="37" s="1"/>
  <c r="D2311" i="37"/>
  <c r="F2311" i="37" s="1"/>
  <c r="H2311" i="37" s="1"/>
  <c r="D1826" i="37"/>
  <c r="F1826" i="37" s="1"/>
  <c r="H1826" i="37" s="1"/>
  <c r="D744" i="37"/>
  <c r="F744" i="37" s="1"/>
  <c r="H744" i="37" s="1"/>
  <c r="D4674" i="37"/>
  <c r="F4674" i="37" s="1"/>
  <c r="H4674" i="37" s="1"/>
  <c r="D5037" i="37"/>
  <c r="F5037" i="37" s="1"/>
  <c r="H5037" i="37" s="1"/>
  <c r="D4914" i="37"/>
  <c r="F4914" i="37" s="1"/>
  <c r="H4914" i="37" s="1"/>
  <c r="D3640" i="37"/>
  <c r="D2251" i="37"/>
  <c r="F2251" i="37" s="1"/>
  <c r="H2251" i="37" s="1"/>
  <c r="D2190" i="37"/>
  <c r="F2190" i="37" s="1"/>
  <c r="H2190" i="37" s="1"/>
  <c r="D2500" i="37"/>
  <c r="F2500" i="37" s="1"/>
  <c r="H2500" i="37" s="1"/>
  <c r="D2130" i="37"/>
  <c r="F2130" i="37" s="1"/>
  <c r="H2130" i="37" s="1"/>
  <c r="D2921" i="37"/>
  <c r="F2921" i="37" s="1"/>
  <c r="H2921" i="37" s="1"/>
  <c r="D2796" i="37"/>
  <c r="F2796" i="37" s="1"/>
  <c r="H2796" i="37" s="1"/>
  <c r="D1470" i="37"/>
  <c r="D2065" i="37"/>
  <c r="F2065" i="37" s="1"/>
  <c r="H2065" i="37" s="1"/>
  <c r="D1287" i="37"/>
  <c r="F1287" i="37" s="1"/>
  <c r="H1287" i="37" s="1"/>
  <c r="D88" i="37"/>
  <c r="F88" i="37" s="1"/>
  <c r="H88" i="37" s="1"/>
  <c r="I90" i="37" s="1"/>
  <c r="H72" i="37" s="1"/>
  <c r="I74" i="37" s="1"/>
  <c r="I92" i="37" s="1"/>
  <c r="F12" i="14" s="1"/>
  <c r="G12" i="14" s="1"/>
  <c r="C10" i="47" s="1"/>
  <c r="D10" i="47" s="1"/>
  <c r="D4430" i="37"/>
  <c r="F4430" i="37" s="1"/>
  <c r="H4430" i="37" s="1"/>
  <c r="D3582" i="37"/>
  <c r="F3582" i="37" s="1"/>
  <c r="H3582" i="37" s="1"/>
  <c r="D2737" i="37"/>
  <c r="F2737" i="37" s="1"/>
  <c r="H2737" i="37" s="1"/>
  <c r="D2011" i="37"/>
  <c r="F2011" i="37" s="1"/>
  <c r="H2011" i="37" s="1"/>
  <c r="C200" i="33"/>
  <c r="E200" i="33" s="1"/>
  <c r="G200" i="33" s="1"/>
  <c r="C256" i="33"/>
  <c r="E256" i="33" s="1"/>
  <c r="G256" i="33" s="1"/>
  <c r="D927" i="37"/>
  <c r="F927" i="37" s="1"/>
  <c r="H927" i="37" s="1"/>
  <c r="D866" i="37"/>
  <c r="F866" i="37" s="1"/>
  <c r="H866" i="37" s="1"/>
  <c r="D1106" i="37"/>
  <c r="F1106" i="37" s="1"/>
  <c r="H1106" i="37" s="1"/>
  <c r="I1109" i="37" s="1"/>
  <c r="H1087" i="37" s="1"/>
  <c r="I1090" i="37" s="1"/>
  <c r="D446" i="37"/>
  <c r="F446" i="37" s="1"/>
  <c r="H446" i="37" s="1"/>
  <c r="D208" i="37"/>
  <c r="F208" i="37" s="1"/>
  <c r="H208" i="37" s="1"/>
  <c r="I211" i="37" s="1"/>
  <c r="H190" i="37" s="1"/>
  <c r="I192" i="37" s="1"/>
  <c r="I213" i="37" s="1"/>
  <c r="G14" i="14" s="1"/>
  <c r="C12" i="47" s="1"/>
  <c r="D12" i="47" s="1"/>
  <c r="D683" i="37"/>
  <c r="F683" i="37" s="1"/>
  <c r="H683" i="37" s="1"/>
  <c r="I687" i="37" s="1"/>
  <c r="H664" i="37" s="1"/>
  <c r="I667" i="37" s="1"/>
  <c r="D3459" i="37"/>
  <c r="F3459" i="37" s="1"/>
  <c r="H3459" i="37" s="1"/>
  <c r="I3462" i="37" s="1"/>
  <c r="H3443" i="37" s="1"/>
  <c r="I3445" i="37" s="1"/>
  <c r="I3464" i="37" s="1"/>
  <c r="F87" i="14" s="1"/>
  <c r="G87" i="14" s="1"/>
  <c r="C79" i="47" s="1"/>
  <c r="G79" i="47" s="1"/>
  <c r="D4793" i="37"/>
  <c r="F4793" i="37" s="1"/>
  <c r="H4793" i="37" s="1"/>
  <c r="I4797" i="37" s="1"/>
  <c r="H4774" i="37" s="1"/>
  <c r="I4776" i="37" s="1"/>
  <c r="I4799" i="37" s="1"/>
  <c r="F116" i="14" s="1"/>
  <c r="G116" i="14" s="1"/>
  <c r="C105" i="47" s="1"/>
  <c r="D4370" i="37"/>
  <c r="F4370" i="37" s="1"/>
  <c r="H4370" i="37" s="1"/>
  <c r="I4373" i="37" s="1"/>
  <c r="H4352" i="37" s="1"/>
  <c r="I4355" i="37" s="1"/>
  <c r="D4185" i="37"/>
  <c r="F4185" i="37" s="1"/>
  <c r="H4185" i="37" s="1"/>
  <c r="I4188" i="37" s="1"/>
  <c r="H4169" i="37" s="1"/>
  <c r="I4171" i="37" s="1"/>
  <c r="I4190" i="37" s="1"/>
  <c r="F100" i="14" s="1"/>
  <c r="D3403" i="37"/>
  <c r="F3403" i="37" s="1"/>
  <c r="H3403" i="37" s="1"/>
  <c r="I3406" i="37" s="1"/>
  <c r="H3382" i="37" s="1"/>
  <c r="I3384" i="37" s="1"/>
  <c r="I3408" i="37" s="1"/>
  <c r="F86" i="14" s="1"/>
  <c r="G86" i="14" s="1"/>
  <c r="C78" i="47" s="1"/>
  <c r="F78" i="47" s="1"/>
  <c r="D3163" i="37"/>
  <c r="F3163" i="37" s="1"/>
  <c r="H3163" i="37" s="1"/>
  <c r="I3166" i="37" s="1"/>
  <c r="H3142" i="37" s="1"/>
  <c r="I3144" i="37" s="1"/>
  <c r="I3168" i="37" s="1"/>
  <c r="F82" i="14" s="1"/>
  <c r="G82" i="14" s="1"/>
  <c r="C74" i="47" s="1"/>
  <c r="F74" i="47" s="1"/>
  <c r="D2981" i="37"/>
  <c r="F2981" i="37" s="1"/>
  <c r="H2981" i="37" s="1"/>
  <c r="I2984" i="37" s="1"/>
  <c r="H2960" i="37" s="1"/>
  <c r="I2962" i="37" s="1"/>
  <c r="I2986" i="37" s="1"/>
  <c r="F79" i="14" s="1"/>
  <c r="G79" i="14" s="1"/>
  <c r="C71" i="47" s="1"/>
  <c r="F71" i="47" s="1"/>
  <c r="D2616" i="37"/>
  <c r="F2616" i="37" s="1"/>
  <c r="H2616" i="37" s="1"/>
  <c r="I2619" i="37" s="1"/>
  <c r="H2598" i="37" s="1"/>
  <c r="I2600" i="37" s="1"/>
  <c r="I2621" i="37" s="1"/>
  <c r="F69" i="14" s="1"/>
  <c r="G69" i="14" s="1"/>
  <c r="C62" i="47" s="1"/>
  <c r="F62" i="47" s="1"/>
  <c r="D3522" i="37"/>
  <c r="F3522" i="37" s="1"/>
  <c r="H3522" i="37" s="1"/>
  <c r="I3525" i="37" s="1"/>
  <c r="H3504" i="37" s="1"/>
  <c r="I3507" i="37" s="1"/>
  <c r="D3224" i="37"/>
  <c r="F3224" i="37" s="1"/>
  <c r="H3224" i="37" s="1"/>
  <c r="D2677" i="37"/>
  <c r="F2677" i="37" s="1"/>
  <c r="H2677" i="37" s="1"/>
  <c r="I2680" i="37" s="1"/>
  <c r="H2659" i="37" s="1"/>
  <c r="I2661" i="37" s="1"/>
  <c r="I2682" i="37" s="1"/>
  <c r="F70" i="14" s="1"/>
  <c r="G70" i="14" s="1"/>
  <c r="C63" i="47" s="1"/>
  <c r="F63" i="47" s="1"/>
  <c r="D2557" i="37"/>
  <c r="F2557" i="37" s="1"/>
  <c r="H2557" i="37" s="1"/>
  <c r="I2560" i="37" s="1"/>
  <c r="H2538" i="37" s="1"/>
  <c r="I2540" i="37" s="1"/>
  <c r="I2562" i="37" s="1"/>
  <c r="F68" i="14" s="1"/>
  <c r="G68" i="14" s="1"/>
  <c r="C61" i="47" s="1"/>
  <c r="F61" i="47" s="1"/>
  <c r="D3284" i="37"/>
  <c r="F3284" i="37" s="1"/>
  <c r="H3284" i="37" s="1"/>
  <c r="I3287" i="37" s="1"/>
  <c r="H3263" i="37" s="1"/>
  <c r="I3265" i="37" s="1"/>
  <c r="I3289" i="37" s="1"/>
  <c r="F84" i="14" s="1"/>
  <c r="G84" i="14" s="1"/>
  <c r="C76" i="47" s="1"/>
  <c r="F76" i="47" s="1"/>
  <c r="D3343" i="37"/>
  <c r="F3343" i="37" s="1"/>
  <c r="H3343" i="37" s="1"/>
  <c r="I3346" i="37" s="1"/>
  <c r="H3322" i="37" s="1"/>
  <c r="I3324" i="37" s="1"/>
  <c r="I3348" i="37" s="1"/>
  <c r="F85" i="14" s="1"/>
  <c r="G85" i="14" s="1"/>
  <c r="C77" i="47" s="1"/>
  <c r="F77" i="47" s="1"/>
  <c r="D3102" i="37"/>
  <c r="F3102" i="37" s="1"/>
  <c r="H3102" i="37" s="1"/>
  <c r="I3105" i="37" s="1"/>
  <c r="H3081" i="37" s="1"/>
  <c r="I3083" i="37" s="1"/>
  <c r="I3107" i="37" s="1"/>
  <c r="F81" i="14" s="1"/>
  <c r="G81" i="14" s="1"/>
  <c r="C73" i="47" s="1"/>
  <c r="F73" i="47" s="1"/>
  <c r="D3043" i="37"/>
  <c r="F3043" i="37" s="1"/>
  <c r="H3043" i="37" s="1"/>
  <c r="I3046" i="37" s="1"/>
  <c r="H3020" i="37" s="1"/>
  <c r="I3022" i="37" s="1"/>
  <c r="I3048" i="37" s="1"/>
  <c r="F80" i="14" s="1"/>
  <c r="G80" i="14" s="1"/>
  <c r="C72" i="47" s="1"/>
  <c r="F72" i="47" s="1"/>
  <c r="D2436" i="37"/>
  <c r="F2436" i="37" s="1"/>
  <c r="H2436" i="37" s="1"/>
  <c r="I2440" i="37" s="1"/>
  <c r="H2416" i="37" s="1"/>
  <c r="I2419" i="37" s="1"/>
  <c r="I2442" i="37" s="1"/>
  <c r="F63" i="14" s="1"/>
  <c r="G63" i="14" s="1"/>
  <c r="C57" i="47" s="1"/>
  <c r="G57" i="47" s="1"/>
  <c r="D2374" i="37"/>
  <c r="F2374" i="37" s="1"/>
  <c r="H2374" i="37" s="1"/>
  <c r="D1586" i="37"/>
  <c r="F1586" i="37" s="1"/>
  <c r="H1586" i="37" s="1"/>
  <c r="I1589" i="37" s="1"/>
  <c r="H1568" i="37" s="1"/>
  <c r="I1571" i="37" s="1"/>
  <c r="D1525" i="37"/>
  <c r="F1525" i="37" s="1"/>
  <c r="H1525" i="37" s="1"/>
  <c r="I1528" i="37" s="1"/>
  <c r="H1508" i="37" s="1"/>
  <c r="I1510" i="37" s="1"/>
  <c r="D4733" i="37"/>
  <c r="F4733" i="37" s="1"/>
  <c r="H4733" i="37" s="1"/>
  <c r="I4737" i="37" s="1"/>
  <c r="H4714" i="37" s="1"/>
  <c r="I4716" i="37" s="1"/>
  <c r="I4739" i="37" s="1"/>
  <c r="F115" i="14" s="1"/>
  <c r="G115" i="14" s="1"/>
  <c r="C104" i="47" s="1"/>
  <c r="D4613" i="37"/>
  <c r="F4613" i="37" s="1"/>
  <c r="H4613" i="37" s="1"/>
  <c r="I4617" i="37" s="1"/>
  <c r="H4594" i="37" s="1"/>
  <c r="I4596" i="37" s="1"/>
  <c r="I4619" i="37" s="1"/>
  <c r="F113" i="14" s="1"/>
  <c r="G113" i="14" s="1"/>
  <c r="C102" i="47" s="1"/>
  <c r="D1405" i="37"/>
  <c r="F1405" i="37" s="1"/>
  <c r="H1405" i="37" s="1"/>
  <c r="I1408" i="37" s="1"/>
  <c r="H1387" i="37" s="1"/>
  <c r="I1390" i="37" s="1"/>
  <c r="D2855" i="37"/>
  <c r="F2855" i="37" s="1"/>
  <c r="H2855" i="37" s="1"/>
  <c r="I2858" i="37" s="1"/>
  <c r="H2839" i="37" s="1"/>
  <c r="I2841" i="37" s="1"/>
  <c r="I2860" i="37" s="1"/>
  <c r="F77" i="14" s="1"/>
  <c r="G77" i="14" s="1"/>
  <c r="C69" i="47" s="1"/>
  <c r="G69" i="47" s="1"/>
  <c r="D4974" i="37"/>
  <c r="F4974" i="37" s="1"/>
  <c r="H4974" i="37" s="1"/>
  <c r="I4977" i="37" s="1"/>
  <c r="H4959" i="37" s="1"/>
  <c r="I4961" i="37" s="1"/>
  <c r="D4493" i="37"/>
  <c r="F4493" i="37" s="1"/>
  <c r="H4493" i="37" s="1"/>
  <c r="D2310" i="37"/>
  <c r="F2310" i="37" s="1"/>
  <c r="H2310" i="37" s="1"/>
  <c r="D1825" i="37"/>
  <c r="F1825" i="37" s="1"/>
  <c r="H1825" i="37" s="1"/>
  <c r="I1828" i="37" s="1"/>
  <c r="H1809" i="37" s="1"/>
  <c r="I1812" i="37" s="1"/>
  <c r="D743" i="37"/>
  <c r="F743" i="37" s="1"/>
  <c r="H743" i="37" s="1"/>
  <c r="I747" i="37" s="1"/>
  <c r="H724" i="37" s="1"/>
  <c r="I727" i="37" s="1"/>
  <c r="D4673" i="37"/>
  <c r="F4673" i="37" s="1"/>
  <c r="H4673" i="37" s="1"/>
  <c r="D5036" i="37"/>
  <c r="F5036" i="37" s="1"/>
  <c r="H5036" i="37" s="1"/>
  <c r="I5039" i="37" s="1"/>
  <c r="D2250" i="37"/>
  <c r="F2250" i="37" s="1"/>
  <c r="H2250" i="37" s="1"/>
  <c r="D2189" i="37"/>
  <c r="F2189" i="37" s="1"/>
  <c r="H2189" i="37" s="1"/>
  <c r="I2193" i="37" s="1"/>
  <c r="H2168" i="37" s="1"/>
  <c r="I2171" i="37" s="1"/>
  <c r="D2499" i="37"/>
  <c r="F2499" i="37" s="1"/>
  <c r="H2499" i="37" s="1"/>
  <c r="I2502" i="37" s="1"/>
  <c r="I2504" i="37" s="1"/>
  <c r="F67" i="14" s="1"/>
  <c r="G67" i="14" s="1"/>
  <c r="C60" i="47" s="1"/>
  <c r="F60" i="47" s="1"/>
  <c r="D2129" i="37"/>
  <c r="F2129" i="37" s="1"/>
  <c r="H2129" i="37" s="1"/>
  <c r="I2133" i="37" s="1"/>
  <c r="H2108" i="37" s="1"/>
  <c r="I2111" i="37" s="1"/>
  <c r="I2135" i="37" s="1"/>
  <c r="F58" i="14" s="1"/>
  <c r="G58" i="14" s="1"/>
  <c r="C52" i="47" s="1"/>
  <c r="G52" i="47" s="1"/>
  <c r="D2920" i="37"/>
  <c r="F2920" i="37" s="1"/>
  <c r="H2920" i="37" s="1"/>
  <c r="D2795" i="37"/>
  <c r="F2795" i="37" s="1"/>
  <c r="H2795" i="37" s="1"/>
  <c r="D1286" i="37"/>
  <c r="F1286" i="37" s="1"/>
  <c r="H1286" i="37" s="1"/>
  <c r="D2064" i="37"/>
  <c r="F2064" i="37" s="1"/>
  <c r="H2064" i="37" s="1"/>
  <c r="I2067" i="37" s="1"/>
  <c r="H2047" i="37" s="1"/>
  <c r="I2050" i="37" s="1"/>
  <c r="I2069" i="37" s="1"/>
  <c r="F57" i="14" s="1"/>
  <c r="G57" i="14" s="1"/>
  <c r="C51" i="47" s="1"/>
  <c r="G51" i="47" s="1"/>
  <c r="D4429" i="37"/>
  <c r="F4429" i="37" s="1"/>
  <c r="H4429" i="37" s="1"/>
  <c r="I4432" i="37" s="1"/>
  <c r="H4414" i="37" s="1"/>
  <c r="I4416" i="37" s="1"/>
  <c r="I4434" i="37" s="1"/>
  <c r="F107" i="14" s="1"/>
  <c r="G107" i="14" s="1"/>
  <c r="C97" i="47" s="1"/>
  <c r="F97" i="47" s="1"/>
  <c r="D4913" i="37"/>
  <c r="F4913" i="37" s="1"/>
  <c r="H4913" i="37" s="1"/>
  <c r="I4916" i="37" s="1"/>
  <c r="H4898" i="37" s="1"/>
  <c r="I4900" i="37" s="1"/>
  <c r="I4918" i="37" s="1"/>
  <c r="F121" i="14" s="1"/>
  <c r="G121" i="14" s="1"/>
  <c r="C109" i="47" s="1"/>
  <c r="D2736" i="37"/>
  <c r="F2736" i="37" s="1"/>
  <c r="H2736" i="37" s="1"/>
  <c r="D2010" i="37"/>
  <c r="F2010" i="37" s="1"/>
  <c r="H2010" i="37" s="1"/>
  <c r="I2013" i="37" s="1"/>
  <c r="H1990" i="37" s="1"/>
  <c r="I1992" i="37" s="1"/>
  <c r="I2015" i="37" s="1"/>
  <c r="F56" i="14" s="1"/>
  <c r="G56" i="14" s="1"/>
  <c r="C50" i="47" s="1"/>
  <c r="G50" i="47" s="1"/>
  <c r="D865" i="37"/>
  <c r="F865" i="37" s="1"/>
  <c r="H865" i="37" s="1"/>
  <c r="I868" i="37" s="1"/>
  <c r="H846" i="37" s="1"/>
  <c r="I849" i="37" s="1"/>
  <c r="D926" i="37"/>
  <c r="F926" i="37" s="1"/>
  <c r="H926" i="37" s="1"/>
  <c r="D4860" i="37"/>
  <c r="F4860" i="37" s="1"/>
  <c r="H4860" i="37" s="1"/>
  <c r="I4863" i="37" s="1"/>
  <c r="H4835" i="37" s="1"/>
  <c r="I4837" i="37" s="1"/>
  <c r="I4865" i="37" s="1"/>
  <c r="F117" i="14" s="1"/>
  <c r="G117" i="14" s="1"/>
  <c r="C106" i="47" s="1"/>
  <c r="F106" i="47" s="1"/>
  <c r="F107" i="47" s="1"/>
  <c r="D4553" i="37"/>
  <c r="F4553" i="37" s="1"/>
  <c r="H4553" i="37" s="1"/>
  <c r="I4556" i="37" s="1"/>
  <c r="H4534" i="37" s="1"/>
  <c r="I4537" i="37" s="1"/>
  <c r="I4558" i="37" s="1"/>
  <c r="F109" i="14" s="1"/>
  <c r="G109" i="14" s="1"/>
  <c r="C99" i="47" s="1"/>
  <c r="F99" i="47" s="1"/>
  <c r="D4247" i="37"/>
  <c r="F4247" i="37" s="1"/>
  <c r="H4247" i="37" s="1"/>
  <c r="D4066" i="37"/>
  <c r="F4066" i="37" s="1"/>
  <c r="H4066" i="37" s="1"/>
  <c r="I4069" i="37" s="1"/>
  <c r="H4045" i="37" s="1"/>
  <c r="I4047" i="37" s="1"/>
  <c r="I4071" i="37" s="1"/>
  <c r="F98" i="14" s="1"/>
  <c r="D4308" i="37"/>
  <c r="F4308" i="37" s="1"/>
  <c r="H4308" i="37" s="1"/>
  <c r="I4312" i="37" s="1"/>
  <c r="H4291" i="37" s="1"/>
  <c r="I4293" i="37" s="1"/>
  <c r="I4314" i="37" s="1"/>
  <c r="F102" i="14" s="1"/>
  <c r="G102" i="14" s="1"/>
  <c r="C93" i="47" s="1"/>
  <c r="G93" i="47" s="1"/>
  <c r="D4005" i="37"/>
  <c r="F4005" i="37" s="1"/>
  <c r="H4005" i="37" s="1"/>
  <c r="I4008" i="37" s="1"/>
  <c r="H3984" i="37" s="1"/>
  <c r="I3986" i="37" s="1"/>
  <c r="I4010" i="37" s="1"/>
  <c r="F97" i="14" s="1"/>
  <c r="G97" i="14" s="1"/>
  <c r="C88" i="47" s="1"/>
  <c r="D3581" i="37"/>
  <c r="F3581" i="37" s="1"/>
  <c r="H3581" i="37" s="1"/>
  <c r="I3584" i="37" s="1"/>
  <c r="I3586" i="37" s="1"/>
  <c r="D1167" i="37"/>
  <c r="F1167" i="37" s="1"/>
  <c r="H1167" i="37" s="1"/>
  <c r="D623" i="37"/>
  <c r="F623" i="37" s="1"/>
  <c r="H623" i="37" s="1"/>
  <c r="D564" i="37"/>
  <c r="F564" i="37" s="1"/>
  <c r="H564" i="37" s="1"/>
  <c r="I566" i="37" s="1"/>
  <c r="D324" i="37"/>
  <c r="F324" i="37" s="1"/>
  <c r="H324" i="37" s="1"/>
  <c r="D447" i="37"/>
  <c r="F447" i="37" s="1"/>
  <c r="H447" i="37" s="1"/>
  <c r="H202" i="33"/>
  <c r="G183" i="33" s="1"/>
  <c r="H186" i="33" s="1"/>
  <c r="H258" i="33"/>
  <c r="G239" i="33" s="1"/>
  <c r="H242" i="33" s="1"/>
  <c r="D1166" i="37"/>
  <c r="F1166" i="37" s="1"/>
  <c r="H1166" i="37" s="1"/>
  <c r="D622" i="37"/>
  <c r="F622" i="37" s="1"/>
  <c r="H622" i="37" s="1"/>
  <c r="D323" i="37"/>
  <c r="F323" i="37" s="1"/>
  <c r="H323" i="37" s="1"/>
  <c r="D3639" i="37"/>
  <c r="F3639" i="37" s="1"/>
  <c r="H3639" i="37" s="1"/>
  <c r="D1045" i="37"/>
  <c r="F1045" i="37" s="1"/>
  <c r="H1045" i="37" s="1"/>
  <c r="D1646" i="37"/>
  <c r="F1646" i="37" s="1"/>
  <c r="H1646" i="37" s="1"/>
  <c r="D1226" i="37"/>
  <c r="F1226" i="37" s="1"/>
  <c r="H1226" i="37" s="1"/>
  <c r="D1346" i="37"/>
  <c r="F1346" i="37" s="1"/>
  <c r="H1346" i="37" s="1"/>
  <c r="D1046" i="37"/>
  <c r="F1046" i="37" s="1"/>
  <c r="H1046" i="37" s="1"/>
  <c r="F3640" i="37"/>
  <c r="H3640" i="37" s="1"/>
  <c r="D267" i="37"/>
  <c r="F267" i="37" s="1"/>
  <c r="H267" i="37" s="1"/>
  <c r="I270" i="37" s="1"/>
  <c r="H249" i="37" s="1"/>
  <c r="I251" i="37" s="1"/>
  <c r="I272" i="37" s="1"/>
  <c r="F15" i="14" s="1"/>
  <c r="D147" i="37"/>
  <c r="F147" i="37" s="1"/>
  <c r="H147" i="37" s="1"/>
  <c r="I149" i="37" s="1"/>
  <c r="H130" i="37" s="1"/>
  <c r="I132" i="37" s="1"/>
  <c r="I151" i="37" s="1"/>
  <c r="F13" i="14" s="1"/>
  <c r="D806" i="37"/>
  <c r="F806" i="37" s="1"/>
  <c r="H806" i="37" s="1"/>
  <c r="D505" i="37"/>
  <c r="F505" i="37" s="1"/>
  <c r="H505" i="37" s="1"/>
  <c r="I508" i="37" s="1"/>
  <c r="H487" i="37" s="1"/>
  <c r="I489" i="37" s="1"/>
  <c r="I510" i="37" s="1"/>
  <c r="F22" i="14" s="1"/>
  <c r="D1347" i="37"/>
  <c r="F1347" i="37" s="1"/>
  <c r="H1347" i="37" s="1"/>
  <c r="D1647" i="37"/>
  <c r="F1647" i="37" s="1"/>
  <c r="H1647" i="37" s="1"/>
  <c r="D1227" i="37"/>
  <c r="F1227" i="37" s="1"/>
  <c r="H1227" i="37" s="1"/>
  <c r="D31" i="37"/>
  <c r="F31" i="37" s="1"/>
  <c r="H31" i="37" s="1"/>
  <c r="D3939" i="37"/>
  <c r="F3939" i="37" s="1"/>
  <c r="H3939" i="37" s="1"/>
  <c r="D3818" i="37"/>
  <c r="F3818" i="37" s="1"/>
  <c r="H3818" i="37" s="1"/>
  <c r="D3878" i="37"/>
  <c r="F3878" i="37" s="1"/>
  <c r="H3878" i="37" s="1"/>
  <c r="D3759" i="37"/>
  <c r="F3759" i="37" s="1"/>
  <c r="H3759" i="37" s="1"/>
  <c r="D1887" i="37"/>
  <c r="F1887" i="37" s="1"/>
  <c r="H1887" i="37" s="1"/>
  <c r="I1890" i="37" s="1"/>
  <c r="H1870" i="37" s="1"/>
  <c r="I1873" i="37" s="1"/>
  <c r="I1892" i="37" s="1"/>
  <c r="F54" i="14" s="1"/>
  <c r="D1705" i="37"/>
  <c r="F1705" i="37" s="1"/>
  <c r="H1705" i="37" s="1"/>
  <c r="D805" i="37"/>
  <c r="F805" i="37" s="1"/>
  <c r="H805" i="37" s="1"/>
  <c r="D985" i="37"/>
  <c r="F985" i="37" s="1"/>
  <c r="H985" i="37" s="1"/>
  <c r="D1948" i="37"/>
  <c r="F1948" i="37" s="1"/>
  <c r="H1948" i="37" s="1"/>
  <c r="D1765" i="37"/>
  <c r="F1765" i="37" s="1"/>
  <c r="H1765" i="37" s="1"/>
  <c r="D385" i="37"/>
  <c r="F385" i="37" s="1"/>
  <c r="H385" i="37" s="1"/>
  <c r="D3702" i="37"/>
  <c r="F3702" i="37" s="1"/>
  <c r="H3702" i="37" s="1"/>
  <c r="D1469" i="37"/>
  <c r="F1469" i="37" s="1"/>
  <c r="H1469" i="37" s="1"/>
  <c r="D32" i="37"/>
  <c r="F32" i="37" s="1"/>
  <c r="H32" i="37" s="1"/>
  <c r="D3940" i="37"/>
  <c r="F3940" i="37" s="1"/>
  <c r="H3940" i="37" s="1"/>
  <c r="D1949" i="37"/>
  <c r="F1949" i="37" s="1"/>
  <c r="H1949" i="37" s="1"/>
  <c r="D33" i="37"/>
  <c r="F33" i="37" s="1"/>
  <c r="H33" i="37" s="1"/>
  <c r="D3760" i="37"/>
  <c r="F3760" i="37" s="1"/>
  <c r="H3760" i="37" s="1"/>
  <c r="D986" i="37"/>
  <c r="F986" i="37" s="1"/>
  <c r="H986" i="37" s="1"/>
  <c r="F1470" i="37"/>
  <c r="H1470" i="37" s="1"/>
  <c r="D1706" i="37"/>
  <c r="F1706" i="37" s="1"/>
  <c r="H1706" i="37" s="1"/>
  <c r="D386" i="37"/>
  <c r="F386" i="37" s="1"/>
  <c r="H386" i="37" s="1"/>
  <c r="D1766" i="37"/>
  <c r="F1766" i="37" s="1"/>
  <c r="H1766" i="37" s="1"/>
  <c r="D3819" i="37"/>
  <c r="F3819" i="37" s="1"/>
  <c r="H3819" i="37" s="1"/>
  <c r="D3703" i="37"/>
  <c r="F3703" i="37" s="1"/>
  <c r="H3703" i="37" s="1"/>
  <c r="D3879" i="37"/>
  <c r="F3879" i="37" s="1"/>
  <c r="H3879" i="37" s="1"/>
  <c r="F38" i="23"/>
  <c r="F66" i="23"/>
  <c r="F37" i="23"/>
  <c r="F36" i="23"/>
  <c r="F35" i="23"/>
  <c r="F34" i="23"/>
  <c r="D33" i="23"/>
  <c r="E33" i="23" s="1"/>
  <c r="D32" i="23"/>
  <c r="E32" i="23" s="1"/>
  <c r="F31" i="23"/>
  <c r="D29" i="23"/>
  <c r="E29" i="23" s="1"/>
  <c r="F26" i="23"/>
  <c r="F25" i="23"/>
  <c r="F24" i="23"/>
  <c r="F23" i="23"/>
  <c r="F22" i="23"/>
  <c r="F20" i="23"/>
  <c r="F2298" i="37" s="1"/>
  <c r="H2298" i="37" s="1"/>
  <c r="I2301" i="37" s="1"/>
  <c r="I2313" i="37" l="1"/>
  <c r="H2292" i="37" s="1"/>
  <c r="I2295" i="37" s="1"/>
  <c r="I2798" i="37"/>
  <c r="H2778" i="37" s="1"/>
  <c r="I2780" i="37" s="1"/>
  <c r="I2800" i="37" s="1"/>
  <c r="F76" i="14" s="1"/>
  <c r="G76" i="14" s="1"/>
  <c r="C68" i="47" s="1"/>
  <c r="G68" i="47" s="1"/>
  <c r="I4251" i="37"/>
  <c r="H4230" i="37" s="1"/>
  <c r="I4232" i="37" s="1"/>
  <c r="I4253" i="37" s="1"/>
  <c r="F101" i="14" s="1"/>
  <c r="G101" i="14" s="1"/>
  <c r="C92" i="47" s="1"/>
  <c r="G92" i="47" s="1"/>
  <c r="I2315" i="37"/>
  <c r="F61" i="14" s="1"/>
  <c r="G61" i="14" s="1"/>
  <c r="C55" i="47" s="1"/>
  <c r="G55" i="47" s="1"/>
  <c r="I2924" i="37"/>
  <c r="H2900" i="37" s="1"/>
  <c r="I2902" i="37" s="1"/>
  <c r="I2926" i="37" s="1"/>
  <c r="F78" i="14" s="1"/>
  <c r="G78" i="14" s="1"/>
  <c r="C70" i="47" s="1"/>
  <c r="E70" i="47" s="1"/>
  <c r="I2254" i="37"/>
  <c r="H2230" i="37" s="1"/>
  <c r="I2233" i="37" s="1"/>
  <c r="I2256" i="37" s="1"/>
  <c r="F60" i="14" s="1"/>
  <c r="G60" i="14" s="1"/>
  <c r="C54" i="47" s="1"/>
  <c r="F54" i="47" s="1"/>
  <c r="I2739" i="37"/>
  <c r="H2720" i="37" s="1"/>
  <c r="I2722" i="37" s="1"/>
  <c r="I2741" i="37" s="1"/>
  <c r="F72" i="14" s="1"/>
  <c r="G72" i="14" s="1"/>
  <c r="C65" i="47" s="1"/>
  <c r="G65" i="47" s="1"/>
  <c r="G66" i="47" s="1"/>
  <c r="I1289" i="37"/>
  <c r="H1267" i="37" s="1"/>
  <c r="I1270" i="37" s="1"/>
  <c r="F66" i="47"/>
  <c r="I4677" i="37"/>
  <c r="H4654" i="37" s="1"/>
  <c r="I4656" i="37" s="1"/>
  <c r="I4679" i="37" s="1"/>
  <c r="F114" i="14" s="1"/>
  <c r="G114" i="14" s="1"/>
  <c r="C103" i="47" s="1"/>
  <c r="G103" i="47" s="1"/>
  <c r="I4496" i="37"/>
  <c r="H4474" i="37" s="1"/>
  <c r="I4477" i="37" s="1"/>
  <c r="I2378" i="37"/>
  <c r="H2353" i="37" s="1"/>
  <c r="I2356" i="37" s="1"/>
  <c r="I3227" i="37"/>
  <c r="H3203" i="37" s="1"/>
  <c r="I3205" i="37" s="1"/>
  <c r="I3229" i="37" s="1"/>
  <c r="F83" i="14" s="1"/>
  <c r="G83" i="14" s="1"/>
  <c r="C75" i="47" s="1"/>
  <c r="F75" i="47" s="1"/>
  <c r="I929" i="37"/>
  <c r="H907" i="37" s="1"/>
  <c r="I910" i="37" s="1"/>
  <c r="G81" i="47"/>
  <c r="I4979" i="37"/>
  <c r="F122" i="14" s="1"/>
  <c r="G122" i="14" s="1"/>
  <c r="H5020" i="37"/>
  <c r="I5022" i="37" s="1"/>
  <c r="I5041" i="37" s="1"/>
  <c r="F126" i="14" s="1"/>
  <c r="G126" i="14" s="1"/>
  <c r="I449" i="37"/>
  <c r="H428" i="37" s="1"/>
  <c r="I430" i="37" s="1"/>
  <c r="I451" i="37" s="1"/>
  <c r="F21" i="14" s="1"/>
  <c r="G21" i="14" s="1"/>
  <c r="C18" i="47" s="1"/>
  <c r="E18" i="47" s="1"/>
  <c r="G13" i="14"/>
  <c r="C11" i="47" s="1"/>
  <c r="D11" i="47" s="1"/>
  <c r="G54" i="14"/>
  <c r="C48" i="47" s="1"/>
  <c r="G15" i="14"/>
  <c r="C13" i="47" s="1"/>
  <c r="D13" i="47" s="1"/>
  <c r="G22" i="14"/>
  <c r="C19" i="47" s="1"/>
  <c r="E19" i="47" s="1"/>
  <c r="I1169" i="37"/>
  <c r="H1147" i="37" s="1"/>
  <c r="I1150" i="37" s="1"/>
  <c r="I626" i="37"/>
  <c r="G104" i="47"/>
  <c r="G105" i="47"/>
  <c r="I3642" i="37"/>
  <c r="H3623" i="37" s="1"/>
  <c r="I3625" i="37" s="1"/>
  <c r="I3644" i="37" s="1"/>
  <c r="I1229" i="37"/>
  <c r="H1207" i="37" s="1"/>
  <c r="I1210" i="37" s="1"/>
  <c r="I1349" i="37"/>
  <c r="H1327" i="37" s="1"/>
  <c r="I1330" i="37" s="1"/>
  <c r="I1048" i="37"/>
  <c r="H1026" i="37" s="1"/>
  <c r="I1029" i="37" s="1"/>
  <c r="I3821" i="37"/>
  <c r="H3802" i="37" s="1"/>
  <c r="I3804" i="37" s="1"/>
  <c r="I3823" i="37" s="1"/>
  <c r="F94" i="14" s="1"/>
  <c r="I1649" i="37"/>
  <c r="H1628" i="37" s="1"/>
  <c r="I1631" i="37" s="1"/>
  <c r="I1951" i="37"/>
  <c r="H1931" i="37" s="1"/>
  <c r="I1934" i="37" s="1"/>
  <c r="I1708" i="37"/>
  <c r="H1688" i="37" s="1"/>
  <c r="I1691" i="37" s="1"/>
  <c r="I3881" i="37"/>
  <c r="H3862" i="37" s="1"/>
  <c r="I3864" i="37" s="1"/>
  <c r="I3883" i="37" s="1"/>
  <c r="F95" i="14" s="1"/>
  <c r="I3705" i="37"/>
  <c r="H3682" i="37" s="1"/>
  <c r="I3684" i="37" s="1"/>
  <c r="I3707" i="37" s="1"/>
  <c r="I988" i="37"/>
  <c r="E133" i="33"/>
  <c r="G133" i="33" s="1"/>
  <c r="E134" i="33"/>
  <c r="G134" i="33" s="1"/>
  <c r="E135" i="33"/>
  <c r="G135" i="33" s="1"/>
  <c r="I1768" i="37"/>
  <c r="H1749" i="37" s="1"/>
  <c r="I1752" i="37" s="1"/>
  <c r="I1472" i="37"/>
  <c r="H1447" i="37" s="1"/>
  <c r="I1450" i="37" s="1"/>
  <c r="I808" i="37"/>
  <c r="H786" i="37" s="1"/>
  <c r="I789" i="37" s="1"/>
  <c r="I326" i="37"/>
  <c r="H307" i="37" s="1"/>
  <c r="I310" i="37" s="1"/>
  <c r="I328" i="37" s="1"/>
  <c r="F19" i="14" s="1"/>
  <c r="F550" i="37"/>
  <c r="H550" i="37" s="1"/>
  <c r="F553" i="37"/>
  <c r="H553" i="37" s="1"/>
  <c r="F19" i="23"/>
  <c r="D19" i="23"/>
  <c r="E19" i="23" s="1"/>
  <c r="F21" i="37"/>
  <c r="H21" i="37" s="1"/>
  <c r="F28" i="23"/>
  <c r="D28" i="23"/>
  <c r="E28" i="23" s="1"/>
  <c r="F20" i="37"/>
  <c r="H20" i="37" s="1"/>
  <c r="F30" i="23"/>
  <c r="D30" i="23"/>
  <c r="E30" i="23" s="1"/>
  <c r="F27" i="23"/>
  <c r="D27" i="23"/>
  <c r="E27" i="23" s="1"/>
  <c r="I388" i="37"/>
  <c r="H368" i="37" s="1"/>
  <c r="I370" i="37" s="1"/>
  <c r="I390" i="37" s="1"/>
  <c r="F20" i="14" s="1"/>
  <c r="I3762" i="37"/>
  <c r="H3742" i="37" s="1"/>
  <c r="I3744" i="37" s="1"/>
  <c r="I3764" i="37" s="1"/>
  <c r="F93" i="14" s="1"/>
  <c r="I3942" i="37"/>
  <c r="H3923" i="37" s="1"/>
  <c r="I3925" i="37" s="1"/>
  <c r="I3944" i="37" s="1"/>
  <c r="I35" i="37"/>
  <c r="H14" i="37" s="1"/>
  <c r="I16" i="37" s="1"/>
  <c r="F552" i="37"/>
  <c r="H552" i="37" s="1"/>
  <c r="E79" i="33"/>
  <c r="G79" i="33" s="1"/>
  <c r="E81" i="33" s="1"/>
  <c r="G81" i="33" s="1"/>
  <c r="H82" i="33" s="1"/>
  <c r="H96" i="33" s="1"/>
  <c r="E23" i="33"/>
  <c r="G23" i="33" s="1"/>
  <c r="F551" i="37"/>
  <c r="H551" i="37" s="1"/>
  <c r="E21" i="33"/>
  <c r="F29" i="23"/>
  <c r="E136" i="33" s="1"/>
  <c r="G136" i="33" s="1"/>
  <c r="G118" i="14" l="1"/>
  <c r="G73" i="14"/>
  <c r="C110" i="47"/>
  <c r="G110" i="47" s="1"/>
  <c r="G123" i="14"/>
  <c r="G48" i="47"/>
  <c r="F48" i="47"/>
  <c r="G127" i="14"/>
  <c r="C113" i="47"/>
  <c r="F92" i="14"/>
  <c r="G92" i="14" s="1"/>
  <c r="C83" i="47" s="1"/>
  <c r="F83" i="47" s="1"/>
  <c r="F96" i="14"/>
  <c r="G96" i="14" s="1"/>
  <c r="C87" i="47" s="1"/>
  <c r="G87" i="47" s="1"/>
  <c r="F671" i="37"/>
  <c r="H671" i="37" s="1"/>
  <c r="F1095" i="37"/>
  <c r="H1095" i="37" s="1"/>
  <c r="H603" i="37"/>
  <c r="I606" i="37" s="1"/>
  <c r="G21" i="33"/>
  <c r="G93" i="14"/>
  <c r="C84" i="47" s="1"/>
  <c r="G84" i="47" s="1"/>
  <c r="G20" i="14"/>
  <c r="C17" i="47" s="1"/>
  <c r="E17" i="47" s="1"/>
  <c r="F3511" i="37"/>
  <c r="H3511" i="37" s="1"/>
  <c r="F4359" i="37"/>
  <c r="H4359" i="37" s="1"/>
  <c r="G94" i="14"/>
  <c r="C85" i="47" s="1"/>
  <c r="G85" i="47" s="1"/>
  <c r="G95" i="14"/>
  <c r="C86" i="47" s="1"/>
  <c r="G86" i="47" s="1"/>
  <c r="F1394" i="37"/>
  <c r="H1394" i="37" s="1"/>
  <c r="F1515" i="37"/>
  <c r="H1515" i="37" s="1"/>
  <c r="F1575" i="37"/>
  <c r="H1575" i="37" s="1"/>
  <c r="G19" i="14"/>
  <c r="F1275" i="37"/>
  <c r="H1275" i="37" s="1"/>
  <c r="F731" i="37"/>
  <c r="H731" i="37" s="1"/>
  <c r="I1953" i="37"/>
  <c r="F55" i="14" s="1"/>
  <c r="F854" i="37"/>
  <c r="H854" i="37" s="1"/>
  <c r="F915" i="37"/>
  <c r="H915" i="37" s="1"/>
  <c r="F610" i="37"/>
  <c r="H610" i="37" s="1"/>
  <c r="F1155" i="37"/>
  <c r="H1155" i="37" s="1"/>
  <c r="E190" i="33"/>
  <c r="G190" i="33" s="1"/>
  <c r="H192" i="33" s="1"/>
  <c r="H204" i="33" s="1"/>
  <c r="E246" i="33"/>
  <c r="G246" i="33" s="1"/>
  <c r="H248" i="33" s="1"/>
  <c r="H260" i="33" s="1"/>
  <c r="G46" i="47"/>
  <c r="H966" i="37"/>
  <c r="I969" i="37" s="1"/>
  <c r="F1034" i="37"/>
  <c r="H1034" i="37" s="1"/>
  <c r="F88" i="47"/>
  <c r="E137" i="33"/>
  <c r="G137" i="33" s="1"/>
  <c r="H139" i="33" s="1"/>
  <c r="H153" i="33" s="1"/>
  <c r="F2360" i="37" s="1"/>
  <c r="H2360" i="37" s="1"/>
  <c r="F2364" i="37" s="1"/>
  <c r="H2364" i="37" s="1"/>
  <c r="I2365" i="37" s="1"/>
  <c r="I2380" i="37" s="1"/>
  <c r="F62" i="14" s="1"/>
  <c r="F1635" i="37"/>
  <c r="H1635" i="37" s="1"/>
  <c r="F1215" i="37"/>
  <c r="H1215" i="37" s="1"/>
  <c r="F1335" i="37"/>
  <c r="H1335" i="37" s="1"/>
  <c r="I23" i="37"/>
  <c r="I37" i="37" s="1"/>
  <c r="F11" i="14" s="1"/>
  <c r="E25" i="33"/>
  <c r="G25" i="33" s="1"/>
  <c r="H26" i="33" s="1"/>
  <c r="H40" i="33" s="1"/>
  <c r="F974" i="37"/>
  <c r="H974" i="37" s="1"/>
  <c r="F1457" i="37"/>
  <c r="H1457" i="37" s="1"/>
  <c r="F794" i="37"/>
  <c r="H794" i="37" s="1"/>
  <c r="F554" i="37"/>
  <c r="H554" i="37" s="1"/>
  <c r="I555" i="37" s="1"/>
  <c r="I568" i="37" s="1"/>
  <c r="F26" i="14" s="1"/>
  <c r="G23" i="14" l="1"/>
  <c r="C16" i="47"/>
  <c r="G113" i="47"/>
  <c r="G114" i="47" s="1"/>
  <c r="C114" i="47"/>
  <c r="F4358" i="37"/>
  <c r="H4358" i="37" s="1"/>
  <c r="F1094" i="37"/>
  <c r="H1094" i="37" s="1"/>
  <c r="F1093" i="37"/>
  <c r="H1093" i="37" s="1"/>
  <c r="F670" i="37"/>
  <c r="H670" i="37" s="1"/>
  <c r="I674" i="37" s="1"/>
  <c r="I689" i="37" s="1"/>
  <c r="F28" i="14" s="1"/>
  <c r="G28" i="14" s="1"/>
  <c r="C24" i="47" s="1"/>
  <c r="I4362" i="37"/>
  <c r="I4375" i="37" s="1"/>
  <c r="G62" i="14"/>
  <c r="C56" i="47" s="1"/>
  <c r="G56" i="47" s="1"/>
  <c r="G26" i="14"/>
  <c r="C22" i="47" s="1"/>
  <c r="D22" i="47" s="1"/>
  <c r="G55" i="14"/>
  <c r="C49" i="47" s="1"/>
  <c r="F1574" i="37"/>
  <c r="H1574" i="37" s="1"/>
  <c r="I1577" i="37" s="1"/>
  <c r="I1591" i="37" s="1"/>
  <c r="F43" i="14" s="1"/>
  <c r="F3510" i="37"/>
  <c r="H3510" i="37" s="1"/>
  <c r="I3514" i="37" s="1"/>
  <c r="I3527" i="37" s="1"/>
  <c r="F88" i="14" s="1"/>
  <c r="F4482" i="37"/>
  <c r="H4482" i="37" s="1"/>
  <c r="I4484" i="37" s="1"/>
  <c r="I4498" i="37" s="1"/>
  <c r="F108" i="14" s="1"/>
  <c r="F1514" i="37"/>
  <c r="H1514" i="37" s="1"/>
  <c r="I1517" i="37" s="1"/>
  <c r="I1530" i="37" s="1"/>
  <c r="F42" i="14" s="1"/>
  <c r="G11" i="14"/>
  <c r="F1274" i="37"/>
  <c r="H1274" i="37" s="1"/>
  <c r="F1393" i="37"/>
  <c r="H1393" i="37" s="1"/>
  <c r="I1396" i="37" s="1"/>
  <c r="I1410" i="37" s="1"/>
  <c r="F40" i="14" s="1"/>
  <c r="F1273" i="37"/>
  <c r="H1273" i="37" s="1"/>
  <c r="F730" i="37"/>
  <c r="H730" i="37" s="1"/>
  <c r="I734" i="37" s="1"/>
  <c r="I749" i="37" s="1"/>
  <c r="F29" i="14" s="1"/>
  <c r="F2175" i="37"/>
  <c r="H2175" i="37" s="1"/>
  <c r="F2179" i="37" s="1"/>
  <c r="H2179" i="37" s="1"/>
  <c r="I2180" i="37" s="1"/>
  <c r="I2195" i="37" s="1"/>
  <c r="F59" i="14" s="1"/>
  <c r="F1815" i="37"/>
  <c r="H1815" i="37" s="1"/>
  <c r="I1817" i="37" s="1"/>
  <c r="I1830" i="37" s="1"/>
  <c r="F50" i="14" s="1"/>
  <c r="G109" i="47"/>
  <c r="G111" i="47" s="1"/>
  <c r="C111" i="47"/>
  <c r="G102" i="47"/>
  <c r="G107" i="47" s="1"/>
  <c r="C107" i="47"/>
  <c r="F1154" i="37"/>
  <c r="H1154" i="37" s="1"/>
  <c r="F853" i="37"/>
  <c r="H853" i="37" s="1"/>
  <c r="F914" i="37"/>
  <c r="H914" i="37" s="1"/>
  <c r="F913" i="37"/>
  <c r="H913" i="37" s="1"/>
  <c r="F852" i="37"/>
  <c r="H852" i="37" s="1"/>
  <c r="F1153" i="37"/>
  <c r="H1153" i="37" s="1"/>
  <c r="F609" i="37"/>
  <c r="H609" i="37" s="1"/>
  <c r="I613" i="37" s="1"/>
  <c r="I628" i="37" s="1"/>
  <c r="F1033" i="37"/>
  <c r="H1033" i="37" s="1"/>
  <c r="F1214" i="37"/>
  <c r="H1214" i="37" s="1"/>
  <c r="F793" i="37"/>
  <c r="H793" i="37" s="1"/>
  <c r="F1334" i="37"/>
  <c r="H1334" i="37" s="1"/>
  <c r="F973" i="37"/>
  <c r="H973" i="37" s="1"/>
  <c r="F1456" i="37"/>
  <c r="H1456" i="37" s="1"/>
  <c r="I1460" i="37" s="1"/>
  <c r="I1474" i="37" s="1"/>
  <c r="F41" i="14" s="1"/>
  <c r="F972" i="37"/>
  <c r="H972" i="37" s="1"/>
  <c r="F1032" i="37"/>
  <c r="H1032" i="37" s="1"/>
  <c r="F1213" i="37"/>
  <c r="H1213" i="37" s="1"/>
  <c r="F1333" i="37"/>
  <c r="H1333" i="37" s="1"/>
  <c r="F1634" i="37"/>
  <c r="H1634" i="37" s="1"/>
  <c r="I1637" i="37" s="1"/>
  <c r="I1651" i="37" s="1"/>
  <c r="F792" i="37"/>
  <c r="H792" i="37" s="1"/>
  <c r="F1755" i="37"/>
  <c r="H1755" i="37" s="1"/>
  <c r="I1757" i="37" s="1"/>
  <c r="F1695" i="37"/>
  <c r="H1695" i="37" s="1"/>
  <c r="I1697" i="37" s="1"/>
  <c r="I1710" i="37" s="1"/>
  <c r="F48" i="14" s="1"/>
  <c r="G16" i="14" l="1"/>
  <c r="C9" i="47"/>
  <c r="E16" i="47"/>
  <c r="D16" i="47"/>
  <c r="D20" i="47" s="1"/>
  <c r="F49" i="47"/>
  <c r="G49" i="47"/>
  <c r="G58" i="47" s="1"/>
  <c r="D24" i="47"/>
  <c r="E24" i="47"/>
  <c r="I1097" i="37"/>
  <c r="I1111" i="37" s="1"/>
  <c r="F35" i="14" s="1"/>
  <c r="G35" i="14" s="1"/>
  <c r="C31" i="47" s="1"/>
  <c r="E31" i="47" s="1"/>
  <c r="F103" i="14"/>
  <c r="G103" i="14" s="1"/>
  <c r="C94" i="47" s="1"/>
  <c r="F94" i="47" s="1"/>
  <c r="F44" i="14"/>
  <c r="G44" i="14" s="1"/>
  <c r="C40" i="47" s="1"/>
  <c r="E40" i="47" s="1"/>
  <c r="F27" i="14"/>
  <c r="G27" i="14" s="1"/>
  <c r="C23" i="47" s="1"/>
  <c r="D23" i="47" s="1"/>
  <c r="I1277" i="37"/>
  <c r="I1291" i="37" s="1"/>
  <c r="F38" i="14" s="1"/>
  <c r="G88" i="14"/>
  <c r="G42" i="14"/>
  <c r="C38" i="47" s="1"/>
  <c r="E38" i="47" s="1"/>
  <c r="G43" i="14"/>
  <c r="C39" i="47" s="1"/>
  <c r="E39" i="47" s="1"/>
  <c r="G108" i="14"/>
  <c r="G59" i="14"/>
  <c r="G48" i="14"/>
  <c r="C43" i="47" s="1"/>
  <c r="E43" i="47" s="1"/>
  <c r="G50" i="14"/>
  <c r="C45" i="47" s="1"/>
  <c r="F45" i="47" s="1"/>
  <c r="G40" i="14"/>
  <c r="C36" i="47" s="1"/>
  <c r="E36" i="47" s="1"/>
  <c r="G41" i="14"/>
  <c r="C37" i="47" s="1"/>
  <c r="E37" i="47" s="1"/>
  <c r="G29" i="14"/>
  <c r="C25" i="47" s="1"/>
  <c r="I1770" i="37"/>
  <c r="F49" i="14" s="1"/>
  <c r="I976" i="37"/>
  <c r="I990" i="37" s="1"/>
  <c r="I1157" i="37"/>
  <c r="I1171" i="37" s="1"/>
  <c r="F36" i="14" s="1"/>
  <c r="I917" i="37"/>
  <c r="I931" i="37" s="1"/>
  <c r="F32" i="14" s="1"/>
  <c r="I1036" i="37"/>
  <c r="I1050" i="37" s="1"/>
  <c r="F34" i="14" s="1"/>
  <c r="G34" i="14" s="1"/>
  <c r="C30" i="47" s="1"/>
  <c r="E30" i="47" s="1"/>
  <c r="I856" i="37"/>
  <c r="I870" i="37" s="1"/>
  <c r="F31" i="14" s="1"/>
  <c r="I796" i="37"/>
  <c r="I810" i="37" s="1"/>
  <c r="F30" i="14" s="1"/>
  <c r="G30" i="14" s="1"/>
  <c r="C26" i="47" s="1"/>
  <c r="E26" i="47" s="1"/>
  <c r="I1217" i="37"/>
  <c r="I1231" i="37" s="1"/>
  <c r="F37" i="14" s="1"/>
  <c r="G37" i="14" s="1"/>
  <c r="C33" i="47" s="1"/>
  <c r="E33" i="47" s="1"/>
  <c r="I1337" i="37"/>
  <c r="I1351" i="37" s="1"/>
  <c r="F39" i="14" s="1"/>
  <c r="G89" i="14" l="1"/>
  <c r="C80" i="47"/>
  <c r="F80" i="47" s="1"/>
  <c r="F81" i="47" s="1"/>
  <c r="D9" i="47"/>
  <c r="D14" i="47" s="1"/>
  <c r="F9" i="47"/>
  <c r="F14" i="47" s="1"/>
  <c r="G9" i="47"/>
  <c r="G14" i="47" s="1"/>
  <c r="E9" i="47"/>
  <c r="E14" i="47" s="1"/>
  <c r="G64" i="14"/>
  <c r="C53" i="47"/>
  <c r="G110" i="14"/>
  <c r="C98" i="47"/>
  <c r="F98" i="47" s="1"/>
  <c r="F100" i="47" s="1"/>
  <c r="E25" i="47"/>
  <c r="D25" i="47"/>
  <c r="D41" i="47" s="1"/>
  <c r="F33" i="14"/>
  <c r="G33" i="14" s="1"/>
  <c r="C29" i="47" s="1"/>
  <c r="E29" i="47" s="1"/>
  <c r="G38" i="14"/>
  <c r="C34" i="47" s="1"/>
  <c r="E34" i="47" s="1"/>
  <c r="G49" i="14"/>
  <c r="G39" i="14"/>
  <c r="C35" i="47" s="1"/>
  <c r="E35" i="47" s="1"/>
  <c r="G36" i="14"/>
  <c r="C32" i="47" s="1"/>
  <c r="E32" i="47" s="1"/>
  <c r="G31" i="14"/>
  <c r="C27" i="47" s="1"/>
  <c r="E27" i="47" s="1"/>
  <c r="G32" i="14"/>
  <c r="C28" i="47" s="1"/>
  <c r="E28" i="47" s="1"/>
  <c r="F41" i="47"/>
  <c r="G100" i="47"/>
  <c r="C100" i="47"/>
  <c r="E20" i="47"/>
  <c r="C20" i="47"/>
  <c r="C14" i="47"/>
  <c r="C66" i="47"/>
  <c r="E81" i="47"/>
  <c r="G51" i="14" l="1"/>
  <c r="C44" i="47"/>
  <c r="C46" i="47" s="1"/>
  <c r="D117" i="47"/>
  <c r="C41" i="47"/>
  <c r="C81" i="47"/>
  <c r="F53" i="47"/>
  <c r="F58" i="47" s="1"/>
  <c r="C58" i="47"/>
  <c r="G45" i="14"/>
  <c r="E41" i="47"/>
  <c r="E58" i="47"/>
  <c r="E44" i="47" l="1"/>
  <c r="E46" i="47" s="1"/>
  <c r="E117" i="47" s="1"/>
  <c r="F44" i="47"/>
  <c r="F46" i="47" s="1"/>
  <c r="I597" i="54" l="1"/>
  <c r="K597" i="54" s="1"/>
  <c r="K598" i="54" s="1"/>
  <c r="E100" i="14" s="1"/>
  <c r="G100" i="14" s="1"/>
  <c r="C91" i="47" s="1"/>
  <c r="G91" i="47" s="1"/>
  <c r="G95" i="47" s="1"/>
  <c r="G117" i="47" s="1"/>
  <c r="H582" i="54"/>
  <c r="I582" i="54" s="1"/>
  <c r="K582" i="54" s="1"/>
  <c r="K584" i="54" s="1"/>
  <c r="E98" i="14" s="1"/>
  <c r="G98" i="14" s="1"/>
  <c r="G104" i="14" l="1"/>
  <c r="G130" i="14" s="1"/>
  <c r="G131" i="14" s="1"/>
  <c r="C89" i="47"/>
  <c r="K7" i="44" l="1"/>
  <c r="K7" i="49"/>
  <c r="G62" i="49" s="1"/>
  <c r="I62" i="49" s="1"/>
  <c r="G133" i="14"/>
  <c r="K67" i="49" s="1"/>
  <c r="G136" i="14"/>
  <c r="K8" i="44" s="1"/>
  <c r="G43" i="44" s="1"/>
  <c r="I43" i="44" s="1"/>
  <c r="G132" i="14"/>
  <c r="K66" i="49" s="1"/>
  <c r="F89" i="47"/>
  <c r="F95" i="47" s="1"/>
  <c r="F117" i="47" s="1"/>
  <c r="C95" i="47"/>
  <c r="C117" i="47" s="1"/>
  <c r="J31" i="44"/>
  <c r="J12" i="44"/>
  <c r="G60" i="49" l="1"/>
  <c r="I60" i="49" s="1"/>
  <c r="J10" i="49"/>
  <c r="G58" i="49"/>
  <c r="I58" i="49" s="1"/>
  <c r="G134" i="14"/>
  <c r="G135" i="14" s="1"/>
  <c r="G57" i="49"/>
  <c r="I57" i="49" s="1"/>
  <c r="G63" i="49"/>
  <c r="I63" i="49" s="1"/>
  <c r="G42" i="44"/>
  <c r="I42" i="44" s="1"/>
  <c r="J43" i="49"/>
  <c r="G59" i="49"/>
  <c r="I59" i="49" s="1"/>
  <c r="G61" i="49"/>
  <c r="I61" i="49" s="1"/>
  <c r="G39" i="44"/>
  <c r="I39" i="44" s="1"/>
  <c r="G38" i="44"/>
  <c r="I38" i="44" s="1"/>
  <c r="G41" i="44"/>
  <c r="I41" i="44" s="1"/>
  <c r="G40" i="44"/>
  <c r="I40" i="44" s="1"/>
  <c r="C124" i="47"/>
  <c r="C120" i="47"/>
  <c r="C119" i="47"/>
  <c r="C118" i="47"/>
  <c r="G137" i="14" l="1"/>
  <c r="K56" i="49"/>
  <c r="J57" i="49" s="1"/>
  <c r="K37" i="44"/>
  <c r="K45" i="44" s="1"/>
  <c r="G118" i="47"/>
  <c r="F118" i="47"/>
  <c r="E118" i="47"/>
  <c r="D118" i="47"/>
  <c r="G119" i="47"/>
  <c r="F119" i="47"/>
  <c r="E119" i="47"/>
  <c r="D119" i="47"/>
  <c r="G120" i="47"/>
  <c r="F120" i="47"/>
  <c r="E120" i="47"/>
  <c r="D120" i="47"/>
  <c r="C122" i="47"/>
  <c r="C126" i="47" s="1"/>
  <c r="C128" i="47"/>
  <c r="E124" i="47"/>
  <c r="D124" i="47"/>
  <c r="G124" i="47"/>
  <c r="F124" i="47"/>
  <c r="K65" i="49" l="1"/>
  <c r="E122" i="47"/>
  <c r="J38" i="44"/>
  <c r="J45" i="44" s="1"/>
  <c r="D122" i="47"/>
  <c r="D128" i="47" s="1"/>
  <c r="G122" i="47"/>
  <c r="E128" i="47"/>
  <c r="F122" i="47"/>
  <c r="F128" i="47"/>
  <c r="G128" i="47"/>
  <c r="K46" i="44"/>
  <c r="J46" i="44" s="1"/>
  <c r="K69" i="49"/>
  <c r="K48" i="44" l="1"/>
  <c r="F130" i="47"/>
</calcChain>
</file>

<file path=xl/sharedStrings.xml><?xml version="1.0" encoding="utf-8"?>
<sst xmlns="http://schemas.openxmlformats.org/spreadsheetml/2006/main" count="7480" uniqueCount="1072">
  <si>
    <t>ITEM</t>
  </si>
  <si>
    <t>DESCRIPCION</t>
  </si>
  <si>
    <t xml:space="preserve">UNID. </t>
  </si>
  <si>
    <t>CANT.</t>
  </si>
  <si>
    <t>Vr. PARCIAL</t>
  </si>
  <si>
    <t>M2</t>
  </si>
  <si>
    <t>M3</t>
  </si>
  <si>
    <t>ML</t>
  </si>
  <si>
    <t>Vr. UNIT</t>
  </si>
  <si>
    <t xml:space="preserve">ACABADOS </t>
  </si>
  <si>
    <t>Subtotal Items 2</t>
  </si>
  <si>
    <t>Subtotal Items 1</t>
  </si>
  <si>
    <t>OBRAS PRELIMINARES</t>
  </si>
  <si>
    <t>Subtotal Items 3</t>
  </si>
  <si>
    <t>Subtotal Items 4</t>
  </si>
  <si>
    <t>Subtotal Items 5</t>
  </si>
  <si>
    <t>Subtotal Items 7</t>
  </si>
  <si>
    <t>Subtotal Items 8</t>
  </si>
  <si>
    <t>ESTRUCTURALES</t>
  </si>
  <si>
    <t>GLB</t>
  </si>
  <si>
    <t>ANÁLISIS DE PRECIOS UNITARIOS</t>
  </si>
  <si>
    <t>I. EQUIPO</t>
  </si>
  <si>
    <t>Descripción</t>
  </si>
  <si>
    <t>Tipo</t>
  </si>
  <si>
    <t>Rendimiento</t>
  </si>
  <si>
    <t>Valor-Unit.</t>
  </si>
  <si>
    <t>Sub-Total</t>
  </si>
  <si>
    <t>II. MATERIALES EN OBRA</t>
  </si>
  <si>
    <t>Unidad</t>
  </si>
  <si>
    <t>Precio-Unit.</t>
  </si>
  <si>
    <t>Cantidad</t>
  </si>
  <si>
    <t>III. TRANSPORTES</t>
  </si>
  <si>
    <t>Material</t>
  </si>
  <si>
    <t>Vol. Peso ó Cant.</t>
  </si>
  <si>
    <t>Distancia</t>
  </si>
  <si>
    <t>M3-Km</t>
  </si>
  <si>
    <t>Tarifa</t>
  </si>
  <si>
    <t>IV. MANO DE OBRA</t>
  </si>
  <si>
    <t>Trabajador</t>
  </si>
  <si>
    <t>Jornal</t>
  </si>
  <si>
    <t>Prestaciones</t>
  </si>
  <si>
    <t>Jornal Total</t>
  </si>
  <si>
    <t>OFICIAL</t>
  </si>
  <si>
    <t>TOTAL COSTO DIRECTO</t>
  </si>
  <si>
    <t>ROLLO</t>
  </si>
  <si>
    <t>UNIDAD  :</t>
  </si>
  <si>
    <t>Localizacion, trazado, replanteo y control topografico de la obra</t>
  </si>
  <si>
    <t>Tarifa/dia</t>
  </si>
  <si>
    <t>EQUIPO DE TOPOGRAFIA</t>
  </si>
  <si>
    <t xml:space="preserve">HERRAMIENTAS MENORES </t>
  </si>
  <si>
    <t>Puntillas de hierro 11/2"</t>
  </si>
  <si>
    <t>Lbrs</t>
  </si>
  <si>
    <t>Kgr</t>
  </si>
  <si>
    <t>Liston en madera 4"x2"x3,0mtrs</t>
  </si>
  <si>
    <t>TOPOGRAFO</t>
  </si>
  <si>
    <t>OBREROS (2)</t>
  </si>
  <si>
    <t>HERRAMIENTAS MENORES (5% M.O.)</t>
  </si>
  <si>
    <t>MEZCLADOR DE CONCRETO</t>
  </si>
  <si>
    <t>KG</t>
  </si>
  <si>
    <t>ARENA</t>
  </si>
  <si>
    <t>AGUA</t>
  </si>
  <si>
    <t>LTS</t>
  </si>
  <si>
    <t>%</t>
  </si>
  <si>
    <t>CONCRETO DE 3000 P.S.I.</t>
  </si>
  <si>
    <t>OBREROS (3)</t>
  </si>
  <si>
    <t>OFICIAL (1)</t>
  </si>
  <si>
    <t>ACERO DE REFUERZO 60000 p.s.i</t>
  </si>
  <si>
    <t>ACERO DE REFUERZO 40000 p.s.i</t>
  </si>
  <si>
    <t>MORTERO 1:4</t>
  </si>
  <si>
    <t>ACCESORIOS</t>
  </si>
  <si>
    <t>CURVAS</t>
  </si>
  <si>
    <t>CINTA AISLANTE</t>
  </si>
  <si>
    <t>OBREROS (1)</t>
  </si>
  <si>
    <t>UNIDAD</t>
  </si>
  <si>
    <t>SOLDADURA</t>
  </si>
  <si>
    <t>ANTICORROSIVO</t>
  </si>
  <si>
    <t>GL</t>
  </si>
  <si>
    <t>GLN</t>
  </si>
  <si>
    <t>TUBERIA PVC 4"</t>
  </si>
  <si>
    <t>transporte de materiales</t>
  </si>
  <si>
    <t>MAMPOSTERIA</t>
  </si>
  <si>
    <t>VALOR INGRESADO</t>
  </si>
  <si>
    <t>SALARIO MINIMO MENSUAL SIN SUBSIDIO DE TRANSPORTE</t>
  </si>
  <si>
    <t>SUBSIDIO DE TRANSPORTE</t>
  </si>
  <si>
    <t>SALARIO MINIMO MENSUAL CON SUBSIDIO DE TRANSPORTE</t>
  </si>
  <si>
    <t xml:space="preserve">DIAS DE TRABAJO </t>
  </si>
  <si>
    <t>OBRERO</t>
  </si>
  <si>
    <t>MAESTRO</t>
  </si>
  <si>
    <t>AJUSTADO</t>
  </si>
  <si>
    <t>CAJA 2X4</t>
  </si>
  <si>
    <t>AUXILIAR DE TOPOGRAFIA</t>
  </si>
  <si>
    <t>TARIFA</t>
  </si>
  <si>
    <t>$/HORA</t>
  </si>
  <si>
    <t xml:space="preserve">ARENA DELGADA </t>
  </si>
  <si>
    <t>OBREROS (6)</t>
  </si>
  <si>
    <t>Subtotal Items 9</t>
  </si>
  <si>
    <t>ACERO DE REFUERZO 60000 p.s.i.</t>
  </si>
  <si>
    <t>ALAMBRE QUEMADO</t>
  </si>
  <si>
    <t>ACERO DE REFUERZO 40000 p.s.i.</t>
  </si>
  <si>
    <t>DESPERDICIO DE MATERIALES 3%</t>
  </si>
  <si>
    <t xml:space="preserve">RELLENO </t>
  </si>
  <si>
    <t xml:space="preserve">CEMENTO GRIS </t>
  </si>
  <si>
    <t>IMPERMEABILIZANTE</t>
  </si>
  <si>
    <t>GALON</t>
  </si>
  <si>
    <t>TECNICO</t>
  </si>
  <si>
    <t>Tarifa/hora</t>
  </si>
  <si>
    <t>TECNICO ELECTRICISTA</t>
  </si>
  <si>
    <t>CUBIERTAS</t>
  </si>
  <si>
    <t>Tarifa/Dia</t>
  </si>
  <si>
    <t>AUXILIARES (2)</t>
  </si>
  <si>
    <t>CONCRETO  - 3000 P.S.I.</t>
  </si>
  <si>
    <t>MATERIALES</t>
  </si>
  <si>
    <t>BOB CAT PALA</t>
  </si>
  <si>
    <t>VIBRO-COMPACTADOR- RANA</t>
  </si>
  <si>
    <t>RELLENO - MATERIAL GRANULAR</t>
  </si>
  <si>
    <t>EXCAVACIONES, NIVELACIONES Y RELLENOS</t>
  </si>
  <si>
    <t xml:space="preserve">MEZCLADOR DE CONCRETO </t>
  </si>
  <si>
    <t>ESTUCO PLASTCO</t>
  </si>
  <si>
    <t>CAJA  HEXAGONAL</t>
  </si>
  <si>
    <t>PINTURA DE ACEITE INCLUYE  DILUYENTE</t>
  </si>
  <si>
    <t>OBREROS (12)</t>
  </si>
  <si>
    <t>MATERIALES EN OBRA</t>
  </si>
  <si>
    <t>UNIDAD DE MEDIDA</t>
  </si>
  <si>
    <t>PRECIO PRESUPUESTO</t>
  </si>
  <si>
    <t>PUNTILLAS  11/2"</t>
  </si>
  <si>
    <t>LIBRA</t>
  </si>
  <si>
    <t>CAL (BULTO POR 10 KG)</t>
  </si>
  <si>
    <t>KILOGRAMO</t>
  </si>
  <si>
    <t>LISTON DE MADERA 6" x 4" x 4,0 MTS</t>
  </si>
  <si>
    <t>LISTON DE MADERA 4" x 2" x 4,0 MTS</t>
  </si>
  <si>
    <t>LISTON DE MADERA 4" x 2" x 3,0 MTS</t>
  </si>
  <si>
    <t>LISTON DE MADERA 2" x 1" x 3,0 MTS</t>
  </si>
  <si>
    <t xml:space="preserve">ARENA GRUESA </t>
  </si>
  <si>
    <t>ARENA DELGADA</t>
  </si>
  <si>
    <t>LITRO</t>
  </si>
  <si>
    <t>SOLDADURA PVC</t>
  </si>
  <si>
    <t>CUBIERTA TIPO ZINC INCLUYE AMARRES</t>
  </si>
  <si>
    <t>HERRAMIENTAS MENORES</t>
  </si>
  <si>
    <t>5% M/O</t>
  </si>
  <si>
    <t>EQUIPO DE TOPOGRAFIA (NIVEL)</t>
  </si>
  <si>
    <t>$/DIA</t>
  </si>
  <si>
    <t>BOB CAT MARTILLO</t>
  </si>
  <si>
    <t>MOTONIVELADORA</t>
  </si>
  <si>
    <t>BULDOZER</t>
  </si>
  <si>
    <t>TRABAJADOR</t>
  </si>
  <si>
    <t>VALOR</t>
  </si>
  <si>
    <t>M3/KM</t>
  </si>
  <si>
    <t>DISCO DE CORTE DIAMANTADO 14"</t>
  </si>
  <si>
    <t>TRITURADO</t>
  </si>
  <si>
    <t>CANTIDAD TOTAL</t>
  </si>
  <si>
    <t xml:space="preserve">
</t>
  </si>
  <si>
    <t>LOCALIZACIÓN</t>
  </si>
  <si>
    <t>DIMENSIONES</t>
  </si>
  <si>
    <t>CANTIDAD</t>
  </si>
  <si>
    <t>TOTAL</t>
  </si>
  <si>
    <t>Largo</t>
  </si>
  <si>
    <t>Ancho</t>
  </si>
  <si>
    <t>Alto</t>
  </si>
  <si>
    <t>ACUMULADO</t>
  </si>
  <si>
    <t>CANTIDAD EN M2</t>
  </si>
  <si>
    <t>CANTIDAD EN M3</t>
  </si>
  <si>
    <t>DESPERDICIO DE MATERIALES 5%</t>
  </si>
  <si>
    <t>GEOTEXTIL DE PROTECCION</t>
  </si>
  <si>
    <t>ANTISOL</t>
  </si>
  <si>
    <t>ADAPTADORES</t>
  </si>
  <si>
    <t>Diametro</t>
  </si>
  <si>
    <t>1.1 - Localizacion, trazado, replanteo y control topografico de la obra</t>
  </si>
  <si>
    <t>Levante de muro de block No 4</t>
  </si>
  <si>
    <t>SANITARIOS</t>
  </si>
  <si>
    <t>ITEM 1,1 Localizacion, trazado, replanteo y control topografico de la obra</t>
  </si>
  <si>
    <t>ITEM 4,1 Levante de muro de block No 4</t>
  </si>
  <si>
    <t>BLOQUE No4  0,40 x 0,20 x 0,09 mts</t>
  </si>
  <si>
    <t>SOLDADOR</t>
  </si>
  <si>
    <t>CODO DE 4 90</t>
  </si>
  <si>
    <t>CODO DE 4 45</t>
  </si>
  <si>
    <t>YEE DE 4"</t>
  </si>
  <si>
    <t>TUBERIA CONDUIT 1/2"</t>
  </si>
  <si>
    <t>AUXILIAR ELECTRICO (2)</t>
  </si>
  <si>
    <t>TOMA CORRENTE</t>
  </si>
  <si>
    <t>AUXILIAR ELECTRICO (1)</t>
  </si>
  <si>
    <t>4,1 Levante de muro de block No 4</t>
  </si>
  <si>
    <t>CADENERO</t>
  </si>
  <si>
    <t>Total Costo Directo</t>
  </si>
  <si>
    <t>CEMENTO GRIS TIPO PORTLAND</t>
  </si>
  <si>
    <t>Estuco para muros tipo 1 (estructuras y Muros)</t>
  </si>
  <si>
    <t>A</t>
  </si>
  <si>
    <t>Kg</t>
  </si>
  <si>
    <t>CEMENTO BLANCO</t>
  </si>
  <si>
    <t xml:space="preserve">RELLENO MATERIAL GRANULAR </t>
  </si>
  <si>
    <t>TABLA CARACOLI 10" x 1" x 3,0 MTS</t>
  </si>
  <si>
    <t>IMPERMEABILZANTE TIPO SIKA 1</t>
  </si>
  <si>
    <t>IMPERMEABILZANTE TIPO SIKA 101</t>
  </si>
  <si>
    <t xml:space="preserve">CINTA B-15 </t>
  </si>
  <si>
    <t>M</t>
  </si>
  <si>
    <t xml:space="preserve">GRASA </t>
  </si>
  <si>
    <t>ADOQUIN VIBRADO</t>
  </si>
  <si>
    <t>RIELES METALICOS (Unidad)</t>
  </si>
  <si>
    <t>CORTADORA DE PAVIMENTO</t>
  </si>
  <si>
    <t>FLOTA METALICA</t>
  </si>
  <si>
    <t>CEPILLO METALICO</t>
  </si>
  <si>
    <t>REGLA VIBRATORIA</t>
  </si>
  <si>
    <t>MORTERO 1:4 impermeabilizado</t>
  </si>
  <si>
    <t xml:space="preserve">TRANSPORTE RETIRO </t>
  </si>
  <si>
    <t>BOT CAT CON PALA</t>
  </si>
  <si>
    <t>CEMENTO</t>
  </si>
  <si>
    <t>BLOQUE No 6 - 40 X 20 X 15 cms</t>
  </si>
  <si>
    <t>ESPESOR</t>
  </si>
  <si>
    <t>IMPREVISTOS 3%</t>
  </si>
  <si>
    <t>COSTO TOTAL DE OBRA</t>
  </si>
  <si>
    <t>3.1</t>
  </si>
  <si>
    <t>3.2</t>
  </si>
  <si>
    <t>3.3</t>
  </si>
  <si>
    <t>3.4</t>
  </si>
  <si>
    <t>3.5</t>
  </si>
  <si>
    <t>3.7</t>
  </si>
  <si>
    <t>2.1</t>
  </si>
  <si>
    <t>2.2</t>
  </si>
  <si>
    <t>2.3</t>
  </si>
  <si>
    <t>2.4</t>
  </si>
  <si>
    <t>1.1</t>
  </si>
  <si>
    <t>1.2</t>
  </si>
  <si>
    <t>Tarifa alquiler</t>
  </si>
  <si>
    <t>ADITIVO PLASTIFICANTE</t>
  </si>
  <si>
    <t>ADITIVO RETARDANTE</t>
  </si>
  <si>
    <t>AÑO</t>
  </si>
  <si>
    <t>3.8</t>
  </si>
  <si>
    <t>3.9</t>
  </si>
  <si>
    <t>3.10</t>
  </si>
  <si>
    <t>3.11</t>
  </si>
  <si>
    <t>3.12</t>
  </si>
  <si>
    <t>5.1</t>
  </si>
  <si>
    <t>5.2</t>
  </si>
  <si>
    <t>5.3</t>
  </si>
  <si>
    <t>CARPINTERIA METALICA</t>
  </si>
  <si>
    <t>7.1</t>
  </si>
  <si>
    <t>7.2</t>
  </si>
  <si>
    <t>8.1</t>
  </si>
  <si>
    <t>8.2</t>
  </si>
  <si>
    <t>8.3</t>
  </si>
  <si>
    <t>8.4</t>
  </si>
  <si>
    <t>AREA IRREGULAR M2</t>
  </si>
  <si>
    <t>CANTIDAD EN M</t>
  </si>
  <si>
    <t>5.4</t>
  </si>
  <si>
    <t>7.3</t>
  </si>
  <si>
    <t xml:space="preserve">M </t>
  </si>
  <si>
    <t>DESCUENTO M2</t>
  </si>
  <si>
    <t>B</t>
  </si>
  <si>
    <t>9.1</t>
  </si>
  <si>
    <t>9.2</t>
  </si>
  <si>
    <t>9.3</t>
  </si>
  <si>
    <t>10.1</t>
  </si>
  <si>
    <t>Subtotal Items 10</t>
  </si>
  <si>
    <t>LAVAMANOS</t>
  </si>
  <si>
    <t>DUCHAS</t>
  </si>
  <si>
    <t>ORINALES</t>
  </si>
  <si>
    <t>8.5</t>
  </si>
  <si>
    <t>8.6</t>
  </si>
  <si>
    <t>8.7</t>
  </si>
  <si>
    <t>8.8</t>
  </si>
  <si>
    <t>8.9</t>
  </si>
  <si>
    <t>8.10</t>
  </si>
  <si>
    <t>8.11</t>
  </si>
  <si>
    <t>Area irregular M2</t>
  </si>
  <si>
    <t>4.1</t>
  </si>
  <si>
    <t>4.2</t>
  </si>
  <si>
    <t>4.3</t>
  </si>
  <si>
    <t>Aleta</t>
  </si>
  <si>
    <t>C</t>
  </si>
  <si>
    <t>D</t>
  </si>
  <si>
    <t>COSTO DIRECTO OBRA CIVIL</t>
  </si>
  <si>
    <t>Cal (10kgrs)</t>
  </si>
  <si>
    <t>PINTURA TIPO 1</t>
  </si>
  <si>
    <t>TUBERIA PVC 1/2"</t>
  </si>
  <si>
    <t>CODOS 1/2"</t>
  </si>
  <si>
    <t>TEE 1/2"</t>
  </si>
  <si>
    <t>LLAVE DE DISTRIBUCION</t>
  </si>
  <si>
    <t>TUBERIA PVC 3/4"</t>
  </si>
  <si>
    <t>CODOS 3/4"</t>
  </si>
  <si>
    <t>TEE 3/4"</t>
  </si>
  <si>
    <t>TUBERIA PVC 1 1/4"</t>
  </si>
  <si>
    <t>CODOS 1 1/4"</t>
  </si>
  <si>
    <t>TEE 1 1/4"</t>
  </si>
  <si>
    <t>TANQUE DE 500 LTS</t>
  </si>
  <si>
    <t>FLOTADOR</t>
  </si>
  <si>
    <t>TUBERIA PVC 1"</t>
  </si>
  <si>
    <t>VALVULA UNIVERSAL 1/2"</t>
  </si>
  <si>
    <t>VALVULA UNIVERSAL 1"</t>
  </si>
  <si>
    <t>Gabinete en lamina cold rolled, tamaño 60x35x23, calibre 20, pintura electroestática roja y texturizada. marco en lámina, con empaque, vidrio , chapa con 2 llaves</t>
  </si>
  <si>
    <t>Extintor ABC 10 lbs</t>
  </si>
  <si>
    <t>TUBERIA PVC 2"</t>
  </si>
  <si>
    <t>CODO DE 2" 90</t>
  </si>
  <si>
    <t>CODO DE 2" 45</t>
  </si>
  <si>
    <t>TAPON DE PRUEBA DE 2"</t>
  </si>
  <si>
    <t>YEE DE 2"</t>
  </si>
  <si>
    <t>TUBERIA PVC 3"</t>
  </si>
  <si>
    <t>CODO DE 3" 90</t>
  </si>
  <si>
    <t>CODO DE 3" 45</t>
  </si>
  <si>
    <t>SIFON DE 3"</t>
  </si>
  <si>
    <t>TAPON DE PRUEBA DE 3"</t>
  </si>
  <si>
    <t>YEE DE 3"</t>
  </si>
  <si>
    <t>REJILLA 3"</t>
  </si>
  <si>
    <t>TAPON DE PRUEBA DE 4"</t>
  </si>
  <si>
    <t>PERFILERIA REDONDA 3/4" CAL 16</t>
  </si>
  <si>
    <t>PERFILERIA RECTANGULAR 2" X 1" CAL 16</t>
  </si>
  <si>
    <t>PERFILERIA RECTANGULAR 3" X 11/2" CAL 16</t>
  </si>
  <si>
    <t>MACILLA - HUESO DURO</t>
  </si>
  <si>
    <t>VISAGRAS</t>
  </si>
  <si>
    <t>CHAPAS CON MANIJA</t>
  </si>
  <si>
    <t>VARILLA LISA 3/8"</t>
  </si>
  <si>
    <t>FORMALETERIA METALICA</t>
  </si>
  <si>
    <t>RETROEXCAVADORA DE ORUGA</t>
  </si>
  <si>
    <t>RETROEXCAVADORA DE LLANTA</t>
  </si>
  <si>
    <t>VIBROCOMPACTADOR CANGURO</t>
  </si>
  <si>
    <t>VIBRO-COMPACTADOR- CANGURO</t>
  </si>
  <si>
    <t>VIBRO DE PUNTA</t>
  </si>
  <si>
    <t>CORDON DE ESPUMA EN POLIURETANO</t>
  </si>
  <si>
    <t>U</t>
  </si>
  <si>
    <t>BLOQUE No 6 - 40 X 20 X 9 cms</t>
  </si>
  <si>
    <t>ESTUCO PLASTICO</t>
  </si>
  <si>
    <t>PEGANTE CERAMICA</t>
  </si>
  <si>
    <t>PIEDRA GRANITO</t>
  </si>
  <si>
    <t>PINTURA TRAFICO</t>
  </si>
  <si>
    <t>PERFILERIA REDONDA 2" X 2 MM</t>
  </si>
  <si>
    <t>GRUA</t>
  </si>
  <si>
    <t>BULTO</t>
  </si>
  <si>
    <t>HELICOPTERO</t>
  </si>
  <si>
    <t>PINTURA EPOXICA</t>
  </si>
  <si>
    <t>LAMINA YESO CARTON</t>
  </si>
  <si>
    <t>ANGULO OMEGAL Y OTROS</t>
  </si>
  <si>
    <t>CODOS 1"</t>
  </si>
  <si>
    <t>TEE 1"</t>
  </si>
  <si>
    <t>REFLECTOR LED 250 VATIOS</t>
  </si>
  <si>
    <t>cubierta metalica autoportante STEEL-ROOF a base de arcos de acero galvanizado, pre pintados por ambas caras</t>
  </si>
  <si>
    <t>MES</t>
  </si>
  <si>
    <t>COSTO DIRECTO</t>
  </si>
  <si>
    <t>PERSONAL TECNICO</t>
  </si>
  <si>
    <t>CANT</t>
  </si>
  <si>
    <t>CONCEPTO</t>
  </si>
  <si>
    <t>E</t>
  </si>
  <si>
    <t>F</t>
  </si>
  <si>
    <t>G</t>
  </si>
  <si>
    <t>SUELDO MES BASICO X PERSONA</t>
  </si>
  <si>
    <t>SUELDO MES BASICO</t>
  </si>
  <si>
    <t>% DEDICACION</t>
  </si>
  <si>
    <t>F.M.</t>
  </si>
  <si>
    <t>VALOR MES (AXBXC)</t>
  </si>
  <si>
    <t>No DE MESES</t>
  </si>
  <si>
    <t>TOTAL (DXE)</t>
  </si>
  <si>
    <t>Profesional SISO</t>
  </si>
  <si>
    <t>,</t>
  </si>
  <si>
    <t>Presupuesto - Interventoria Tecnica</t>
  </si>
  <si>
    <t>SALARIOS PERSONAL DE OBRA, OFICINA Y VIGILANCIA</t>
  </si>
  <si>
    <t>PERSONAL PROFESIONAL</t>
  </si>
  <si>
    <t>Director de Interventoria</t>
  </si>
  <si>
    <t>Residente de Interventoria</t>
  </si>
  <si>
    <t>SUBTOTAL COSTO PERSONAL PROFESIONAL (4)</t>
  </si>
  <si>
    <t>PERSONAL TECNICO Y ADMINISTRATIVO</t>
  </si>
  <si>
    <t>Topografo</t>
  </si>
  <si>
    <t>SUBTOTAL COSTO PERSONAL TECNICO (2)</t>
  </si>
  <si>
    <t>GASTOS OPERACIONALES</t>
  </si>
  <si>
    <t>ENSAYOS DE LABORATORIO (Densidades)</t>
  </si>
  <si>
    <t>ENSAYOS DE LABORATORIO (concreto)</t>
  </si>
  <si>
    <t>TOMADO DEL COSTO DIRECTO OBRA</t>
  </si>
  <si>
    <t>PORCENTAJE VALOR</t>
  </si>
  <si>
    <t>VALOR POLIZA O RETENCION</t>
  </si>
  <si>
    <t xml:space="preserve">GASTOS DE LEGALIZACIÓN </t>
  </si>
  <si>
    <t>Estampillas Pro-desarrollo y Pro-cultura</t>
  </si>
  <si>
    <t>Póliza Anticipo</t>
  </si>
  <si>
    <t>Póliza Cumplimiento</t>
  </si>
  <si>
    <t>Póliza Prestaciones</t>
  </si>
  <si>
    <t>Póliza Responsabilidad Civil</t>
  </si>
  <si>
    <t>Póliza Estabilidad</t>
  </si>
  <si>
    <t>COSTO TOTAL (1+2+3)</t>
  </si>
  <si>
    <t>IVA (19%)</t>
  </si>
  <si>
    <t>TOTAL INTERVENTORIA TECNICA</t>
  </si>
  <si>
    <t xml:space="preserve">FACTOR MULTIPLICADOR </t>
  </si>
  <si>
    <t>FACTOR MULTIPLICADOR ( Suma E )</t>
  </si>
  <si>
    <t>SUBTOTAL C + D</t>
  </si>
  <si>
    <t>E.</t>
  </si>
  <si>
    <t>Subtotal D</t>
  </si>
  <si>
    <t>(%A)</t>
  </si>
  <si>
    <t>HONORARIOS</t>
  </si>
  <si>
    <t>D.</t>
  </si>
  <si>
    <t>SUMA A + B</t>
  </si>
  <si>
    <t>C.</t>
  </si>
  <si>
    <t>Subtotal B</t>
  </si>
  <si>
    <t>Implementos de Seguridad</t>
  </si>
  <si>
    <t>Dotación</t>
  </si>
  <si>
    <t>Otros (Auxilios varios, Incapacidades no cubierta EPS)</t>
  </si>
  <si>
    <t>Subsidio Familiar</t>
  </si>
  <si>
    <t>indemnizacion de ley</t>
  </si>
  <si>
    <t>Fondo de Solidaridad Pensional</t>
  </si>
  <si>
    <t>Caja de Compensación Familiar</t>
  </si>
  <si>
    <t>ICBF</t>
  </si>
  <si>
    <t>SENA</t>
  </si>
  <si>
    <t>ARL</t>
  </si>
  <si>
    <t>Seguridad Social (pensión)</t>
  </si>
  <si>
    <t>Seguridad Social (salud)</t>
  </si>
  <si>
    <t>Vacaciones</t>
  </si>
  <si>
    <t>Prima anual (legal)</t>
  </si>
  <si>
    <t>Intereses sobre las cesantías</t>
  </si>
  <si>
    <t>Cesantías</t>
  </si>
  <si>
    <t>PRESTACIONES SOCIALES</t>
  </si>
  <si>
    <t>SUELDOS O SALARIOS</t>
  </si>
  <si>
    <t>VALOR (%)</t>
  </si>
  <si>
    <t>CALCULO</t>
  </si>
  <si>
    <t>DESCRIPCIÓN</t>
  </si>
  <si>
    <t>COMPONENTE</t>
  </si>
  <si>
    <t>CALCULO DEL FACTOR MULTIPLICADOR</t>
  </si>
  <si>
    <t>U.</t>
  </si>
  <si>
    <t>CANTIDAD EN U</t>
  </si>
  <si>
    <t>Instalación  de Puntos electricos 220v (incluye acometida)</t>
  </si>
  <si>
    <t>Suministro e Instalación  de lamparas  tipo LED -  tortuga</t>
  </si>
  <si>
    <t>Instalación  de puntos sanitarios de 4" - Aguas Lluvias</t>
  </si>
  <si>
    <t>1.3</t>
  </si>
  <si>
    <t>DESCUENTO M3</t>
  </si>
  <si>
    <t>Relleno con material comun de excavacion (Zapatas)</t>
  </si>
  <si>
    <t>1.4</t>
  </si>
  <si>
    <t>volumen de Expansion %</t>
  </si>
  <si>
    <t>Cargue, transporte y disposición final de material sobrante en sitio autorizado</t>
  </si>
  <si>
    <t>DESC M3 ESTRUCTURAS</t>
  </si>
  <si>
    <t>MATERIAL DE EXCAVACIONES MANUALES</t>
  </si>
  <si>
    <t>MEZCLADOR DE CONCRETO (CARMIX)</t>
  </si>
  <si>
    <t>HERRAMIENTAS MENORES (5%M.O)</t>
  </si>
  <si>
    <t>INSTALACIONES SANITARIAS</t>
  </si>
  <si>
    <t>INSTALACIONES ELECTRICAS</t>
  </si>
  <si>
    <t>UND</t>
  </si>
  <si>
    <t>DISCO DE CORTE  DIAMANTADO 7"</t>
  </si>
  <si>
    <t>ADOQUIN COLORES VARIADOS 10 X 20 CMS</t>
  </si>
  <si>
    <t>PEGANTE TIPO BOXER</t>
  </si>
  <si>
    <t>TORNILLERIA PAQUETE</t>
  </si>
  <si>
    <t xml:space="preserve">PISO DE CAUCHO GRANULADO </t>
  </si>
  <si>
    <t>GRAMA SINTETICA</t>
  </si>
  <si>
    <t>PERNOS DE ANCLAJE 5/8"</t>
  </si>
  <si>
    <t>PERFL REDONDO DE 3" (2MM)</t>
  </si>
  <si>
    <t>PERFL REDONDO DE 8" (8MM)</t>
  </si>
  <si>
    <t>Perfil rectangular estructural PHR negro de 250 x 150 x 5 mm</t>
  </si>
  <si>
    <t>PERFL REDONDO DE 4" (4MM)</t>
  </si>
  <si>
    <t>PERFL REDONDO DE 3" (4MM)</t>
  </si>
  <si>
    <t>PERFL REDONDO DE 3" (3MM)</t>
  </si>
  <si>
    <t>ANTICORROSIVO EPOXICO</t>
  </si>
  <si>
    <t xml:space="preserve">U </t>
  </si>
  <si>
    <t>OBREROS (4)</t>
  </si>
  <si>
    <t>DOTACION Y MOBILIARIO</t>
  </si>
  <si>
    <t>2,2 Relleno con material comun de excavacion (Zapatas)</t>
  </si>
  <si>
    <t>ITEM 2,2 Relleno con material comun de excavacion (Zapatas)</t>
  </si>
  <si>
    <t>DEPARTAMENTO DE BOLIVAR</t>
  </si>
  <si>
    <t>SECRETARIA DE PLANEACION Y OBRAS PUBLICAS</t>
  </si>
  <si>
    <t>Secretario de Planeación y Obras Públicas</t>
  </si>
  <si>
    <t xml:space="preserve">PIEDRA 3 PULGADAS </t>
  </si>
  <si>
    <t>PIEDRA SELECCIONADA 3/4"</t>
  </si>
  <si>
    <t>SELLALON PARA JUNTAS</t>
  </si>
  <si>
    <t xml:space="preserve">SACO DE LONA O LONA </t>
  </si>
  <si>
    <t>PRECIO MERCADO 2021</t>
  </si>
  <si>
    <t>VALOR AJUSTADO 2022</t>
  </si>
  <si>
    <t>PERFL REDONDO DE 4" (3MM)</t>
  </si>
  <si>
    <t>VIBRO-COMPACTADOR 3 TON</t>
  </si>
  <si>
    <t>VIBRO-COMPACTADOR 8 TON</t>
  </si>
  <si>
    <t>FORMALETA METALICA (Paneles)</t>
  </si>
  <si>
    <t>$UNIDAD/DIA</t>
  </si>
  <si>
    <t>PULIDORA PROFESIONAL</t>
  </si>
  <si>
    <t>EQUIPO DE SOLDADURA 110/220 V</t>
  </si>
  <si>
    <t>EQUIPO DE PERFORACION ROTACIONAL</t>
  </si>
  <si>
    <t>FORMALETA METALICA (D=50 CMS/LONG. 3ML)</t>
  </si>
  <si>
    <t>EQUIPO TERMOFUSION</t>
  </si>
  <si>
    <t>MOTOBOMBA</t>
  </si>
  <si>
    <t>FORMALETA METALICA (TABLEROS X 6)</t>
  </si>
  <si>
    <t>AJUSTADO NORMAL</t>
  </si>
  <si>
    <t>AJUSTADO DIFICIL ACCESO</t>
  </si>
  <si>
    <t>TRANSPORTE</t>
  </si>
  <si>
    <t>PIEDRA 3/4" SELECCIONADA</t>
  </si>
  <si>
    <t>ARENA GRUESA</t>
  </si>
  <si>
    <t>CONCRETO  - 3500 P.S.I.</t>
  </si>
  <si>
    <t>ACERO DE REFUERZO DE 420 Mpa (1)</t>
  </si>
  <si>
    <t>ACERO DE REFUERZO DE 420 Mpa (2)</t>
  </si>
  <si>
    <t xml:space="preserve">PERFILACION </t>
  </si>
  <si>
    <t>2,1 Excavaciones manuales (No Incluye retiro de material sobrante)</t>
  </si>
  <si>
    <t>2,5 - Cargue, transporte y disposición final de material sobrante en sitio autorizado</t>
  </si>
  <si>
    <t>2.5</t>
  </si>
  <si>
    <t>UTILIDAD 5%</t>
  </si>
  <si>
    <t>PIEDRA SELECCCIONADA 3/4"</t>
  </si>
  <si>
    <t>3,1 Solado en concreto pobre 1500 p.s.i. (Estructura de Zapatas)</t>
  </si>
  <si>
    <t>ITEM 3,1 Solado en concreto pobre 1500 p.s.i. (Estructura de Zapatas)</t>
  </si>
  <si>
    <t>Solado en concreto pobre 1500 p.s.i. (Estructura de Zapatas)</t>
  </si>
  <si>
    <t xml:space="preserve">Ancho </t>
  </si>
  <si>
    <t>MALLA CERRAMIENTO ESLABONADA ENCAUCHETADA</t>
  </si>
  <si>
    <t>VALOR TOTAL COSTO TOTAL OBRA</t>
  </si>
  <si>
    <t>PAPELERIA</t>
  </si>
  <si>
    <t>BLOQUE No 6  0,40 x 0,20 x 0,15 mts</t>
  </si>
  <si>
    <t>BLOQUES</t>
  </si>
  <si>
    <t>TRANSPORTE MATERIALES</t>
  </si>
  <si>
    <t>ADMINISTRACION 22%</t>
  </si>
  <si>
    <t>COSTO A.U.I. 30%</t>
  </si>
  <si>
    <t>6.1</t>
  </si>
  <si>
    <t>6.2</t>
  </si>
  <si>
    <t>6.3</t>
  </si>
  <si>
    <t>Subtotal Items 6</t>
  </si>
  <si>
    <t>8.12</t>
  </si>
  <si>
    <t>REMATE TIPO L  GALVANIZADO PINTADO</t>
  </si>
  <si>
    <t>MAT-Km</t>
  </si>
  <si>
    <t>3.6</t>
  </si>
  <si>
    <t>3.13</t>
  </si>
  <si>
    <t>LISTADO DE MATERIALES DE OBRA REFERENTES DE LA REGION - AJUSTADOS A 2023</t>
  </si>
  <si>
    <t>DILUYENTE TIPO TINNER</t>
  </si>
  <si>
    <t xml:space="preserve">PINTURA TIPO ESMALTE </t>
  </si>
  <si>
    <t>LAMINA GALVANIZADA CALIBRE 20 (122 X 244 MM)</t>
  </si>
  <si>
    <t>PERFL REDONDO DE 6" (6MM)</t>
  </si>
  <si>
    <t>LAMINA EN CALIENTE HR 1/4" (6MM)</t>
  </si>
  <si>
    <t>PLATINA HR 60 X 60 12MM</t>
  </si>
  <si>
    <t>PLATINA HR 40 X 40 12MM</t>
  </si>
  <si>
    <t>PLATINA HR 30 X 30 12MM</t>
  </si>
  <si>
    <t>PERFL REDONDO DE 3" (2,5MM)</t>
  </si>
  <si>
    <t>PERFILERIA REDONDA 2" X 2,5 MM</t>
  </si>
  <si>
    <t>PERFILERIA REDONDA GALVANIZADA  2" X 2,5 MM</t>
  </si>
  <si>
    <t xml:space="preserve">UNIDAD  </t>
  </si>
  <si>
    <t>Perfil Tipo C Estructural PHR negro 120 x 60 x 2 mm</t>
  </si>
  <si>
    <t>Perfil Tipo C Estructural PHR negro 220 x 80 x 2 mm</t>
  </si>
  <si>
    <t>Perfil Tipo C Estructural PHR negro 100 x 50 x 2 mm</t>
  </si>
  <si>
    <t>CUBIERTA ARQUITECTONICA ALUZINC</t>
  </si>
  <si>
    <t>REMATE TIPO L ALUZINC</t>
  </si>
  <si>
    <t>MANO DE OBRA - AJUSTADA 2023</t>
  </si>
  <si>
    <t>1.5</t>
  </si>
  <si>
    <t>Tarifa/Hora</t>
  </si>
  <si>
    <t>Area M2</t>
  </si>
  <si>
    <t xml:space="preserve"> </t>
  </si>
  <si>
    <t>Presupuesto de Obra - Ajustado a 2023</t>
  </si>
  <si>
    <t xml:space="preserve">Construcción  de Zapatas en concreto 3000 p.s.i. modulacion 1,00 mts x 1,00 mts x alto 0,30 mts, incluye acero: en ambos sentidos de  1/2" cada 0,18 mts </t>
  </si>
  <si>
    <t>RIELES METALICOS (Unidad) X 6</t>
  </si>
  <si>
    <t>3.14</t>
  </si>
  <si>
    <t>3.15</t>
  </si>
  <si>
    <t>PERNOS DE ANCLAJE 1/2"</t>
  </si>
  <si>
    <t>COSTO TOTAL PROYECTO</t>
  </si>
  <si>
    <t>FORMALETA METALICA (Paneles) X4</t>
  </si>
  <si>
    <t>10.2</t>
  </si>
  <si>
    <t>ARQ. CHEDID PABA PIÑERES</t>
  </si>
  <si>
    <t>11.1</t>
  </si>
  <si>
    <t>11.2</t>
  </si>
  <si>
    <t>Subtotal Items 11</t>
  </si>
  <si>
    <t>ARBOL TIPO OITI</t>
  </si>
  <si>
    <t>GRAMA NATURAL</t>
  </si>
  <si>
    <t>ABONO ORGANICO</t>
  </si>
  <si>
    <t>CANTIDAD M2</t>
  </si>
  <si>
    <t>Area Irregular m2</t>
  </si>
  <si>
    <t>Espesor</t>
  </si>
  <si>
    <t>3.16</t>
  </si>
  <si>
    <t>3.17</t>
  </si>
  <si>
    <t>OFICIAL (2)</t>
  </si>
  <si>
    <t>ANTISOL ROJO</t>
  </si>
  <si>
    <t>5.5</t>
  </si>
  <si>
    <t>5.6</t>
  </si>
  <si>
    <t>CONCRETE COLOR (Color endurecedor de cuarzo)</t>
  </si>
  <si>
    <t>DESMOL CONCRETE - (Desmoldante en polvo)</t>
  </si>
  <si>
    <t>SELLA CONCRETE - (SELLADOR ACRILICO TRANSPARENTE BASESOLVENTE) SEMILUSTRE</t>
  </si>
  <si>
    <t>MOLDE EN POLIURETANO PARA ESTAMPAR CONCRETO,MODULACION MINIMA PARA ESTAMPAR 4UND</t>
  </si>
  <si>
    <t xml:space="preserve">
PISON PARA ESTAMPADO
MEDIDAS BASE 28 CM X 28 CM ALTURA 1.14 MTS</t>
  </si>
  <si>
    <t>CUÑETE</t>
  </si>
  <si>
    <t>GARRAFA</t>
  </si>
  <si>
    <t>ELLA CONCRETE - (SELLADOR ACRILICO TRANSPARENTE BASESOLVENTE) SEMILUSTRE</t>
  </si>
  <si>
    <t>PISON PARA ESTAMPADO
MEDIDAS BASE 28 CM X 28 CM ALTURA 1.14 MTS</t>
  </si>
  <si>
    <t>INSTALACIONES HIDRAULICAS</t>
  </si>
  <si>
    <t>PEGANTE DE CERAMICA</t>
  </si>
  <si>
    <t>SELLANTE DE  JUNTAS</t>
  </si>
  <si>
    <t>CEMENTO GRIS</t>
  </si>
  <si>
    <t>CERAMICA PARA FACHADAS</t>
  </si>
  <si>
    <t>SUMINISTRO E INSTALACION  RED SECA CONTRA INCENDIOS</t>
  </si>
  <si>
    <t xml:space="preserve">Suministro e Instalación  de extintores </t>
  </si>
  <si>
    <t>6.4</t>
  </si>
  <si>
    <t>ADAPTADOR</t>
  </si>
  <si>
    <t xml:space="preserve">SOLDADURA PVC </t>
  </si>
  <si>
    <t>OBRERO (4)</t>
  </si>
  <si>
    <t>10.3</t>
  </si>
  <si>
    <t>10.4</t>
  </si>
  <si>
    <t>12.1</t>
  </si>
  <si>
    <t>Subtotal Items 12</t>
  </si>
  <si>
    <t>10.5</t>
  </si>
  <si>
    <t>PALMERA TIPO MANILA O KEYLA</t>
  </si>
  <si>
    <t>MES 01</t>
  </si>
  <si>
    <t>MES 02</t>
  </si>
  <si>
    <t>MES 03</t>
  </si>
  <si>
    <t>MES 04</t>
  </si>
  <si>
    <t>ADMINISTRACION 23%</t>
  </si>
  <si>
    <t>UTILIDAD 4%</t>
  </si>
  <si>
    <t>ACTIVIDADES - 6 MESES</t>
  </si>
  <si>
    <t>VALOR PRESUPUESTO DE OBRA</t>
  </si>
  <si>
    <t>SUB-TOTAL CAPITILO 01</t>
  </si>
  <si>
    <t>SUB-TOTAL CAPITILO 02</t>
  </si>
  <si>
    <t>SUB-TOTAL CAPITILO 03</t>
  </si>
  <si>
    <t>SUB-TOTAL CAPITILO 04</t>
  </si>
  <si>
    <t>SUB-TOTAL CAPITILO 05</t>
  </si>
  <si>
    <t>INTERVENTORIA TECNICA 7% - 6 MESES</t>
  </si>
  <si>
    <t>TOTAL PROYECTO</t>
  </si>
  <si>
    <t>FLUJO DE INVERSION MENSUAL</t>
  </si>
  <si>
    <t>TOTAL FLUJO DE INVERSIONES AL FINALIZAR EL PROYECTO</t>
  </si>
  <si>
    <t>6.5</t>
  </si>
  <si>
    <t>SUB-TOTAL CAPITILO 06</t>
  </si>
  <si>
    <t>SUB-TOTAL CAPITILO 07</t>
  </si>
  <si>
    <t>SUB-TOTAL CAPITILO 08</t>
  </si>
  <si>
    <t>SUB-TOTAL CAPITILO 09</t>
  </si>
  <si>
    <t>SUB-TOTAL CAPITILO 10</t>
  </si>
  <si>
    <t>SUB-TOTAL CAPITILO 11</t>
  </si>
  <si>
    <t>SUB-TOTAL CAPITILO 12</t>
  </si>
  <si>
    <t>Presupuesto Administracion (A.I.U)</t>
  </si>
  <si>
    <t xml:space="preserve">VALOR TOTAL COSTO DIRECTO OBRA </t>
  </si>
  <si>
    <t>Director de Obra</t>
  </si>
  <si>
    <t>Residente de Obra</t>
  </si>
  <si>
    <t>Ingeniero Hidarulico</t>
  </si>
  <si>
    <t>Ingeniero Estructural</t>
  </si>
  <si>
    <t>Trabajadora Social</t>
  </si>
  <si>
    <t>Contador Publico</t>
  </si>
  <si>
    <t>Secretaria</t>
  </si>
  <si>
    <t>Almacenista</t>
  </si>
  <si>
    <t>PERSONAL DE SEGURIDAD Y SERVICIOS</t>
  </si>
  <si>
    <t>SUBTOTAL COSTO PERSONAL DE SEGURIDAD (1)</t>
  </si>
  <si>
    <t>Suministro y consumo de servicios Públicos durante la ejecución del proyecto</t>
  </si>
  <si>
    <t>Ensayos de Control de Calidad</t>
  </si>
  <si>
    <t>Papelería/Empastes</t>
  </si>
  <si>
    <t>Copias/ planos/ Fotocopias</t>
  </si>
  <si>
    <t>Mantenimiento Equipos/Herramientas</t>
  </si>
  <si>
    <t>2.6</t>
  </si>
  <si>
    <t>Registro Fotográfico/Videos/Informes</t>
  </si>
  <si>
    <t>2.7</t>
  </si>
  <si>
    <t>Registro y Elaboración Planos Récord</t>
  </si>
  <si>
    <t>2.8</t>
  </si>
  <si>
    <t>Transportes / almacenamiento</t>
  </si>
  <si>
    <t>2.9</t>
  </si>
  <si>
    <t>Costo Proporcional Oficina Central</t>
  </si>
  <si>
    <t>2.10</t>
  </si>
  <si>
    <t>Valla informativa</t>
  </si>
  <si>
    <t>2.11</t>
  </si>
  <si>
    <t>Campamento Temporal</t>
  </si>
  <si>
    <t>VALOR POLIZA</t>
  </si>
  <si>
    <t>Impuesto de Seguridad</t>
  </si>
  <si>
    <t>ADMINISTRACION</t>
  </si>
  <si>
    <t>UTILIDAD</t>
  </si>
  <si>
    <t>IMPREVISTOS</t>
  </si>
  <si>
    <t>TOTAL A.I.U.</t>
  </si>
  <si>
    <t>Analisis Unitario - Prestaciones Sociales Obra</t>
  </si>
  <si>
    <t>CALCULO DEL FACTOR PRESTACIONAL</t>
  </si>
  <si>
    <t>Seguridad Social (salud )</t>
  </si>
  <si>
    <t xml:space="preserve">Indemnización de ley </t>
  </si>
  <si>
    <t xml:space="preserve">Subsidio familiar </t>
  </si>
  <si>
    <t>Otros (Incapacidad no cubierta EPS , Auxilios varios)</t>
  </si>
  <si>
    <t>DOTACION</t>
  </si>
  <si>
    <t xml:space="preserve">Dotacion </t>
  </si>
  <si>
    <t>FACTOR MULTIPLICADOR (SUMA A + B)</t>
  </si>
  <si>
    <t>Suministro e instalación de cielo raso en PVC</t>
  </si>
  <si>
    <t>Suministro e instalación de enchape ceramico para piso</t>
  </si>
  <si>
    <t>Pintura tipo 1 para exteriores e interiores (2 manos)</t>
  </si>
  <si>
    <t>Suministro e instalación de puertas en Aluminio</t>
  </si>
  <si>
    <t>Suministro e instalación de combo sanitario + accesorios sanitarios</t>
  </si>
  <si>
    <t>Suministro e instalación de tanque plastico de almacenamiento 1.000 lt (incluye flotador, accesorios y tuberias para su instalacion y funcionamiento)</t>
  </si>
  <si>
    <t>Suministro e instalación de ventiladores de Giro Horizontal</t>
  </si>
  <si>
    <t>Suministro e Instalación de toma corriente doble</t>
  </si>
  <si>
    <t>Suministro e Instalación de interruptor sencillo</t>
  </si>
  <si>
    <t>Suministro e Instalación de Salida para luces (incluye lamparas led redondas 18W)</t>
  </si>
  <si>
    <t>Suministro e instalacion de tablero 8 circuitos</t>
  </si>
  <si>
    <t xml:space="preserve">Suministro e instalación de cubierta arquitectonica </t>
  </si>
  <si>
    <t>Cenefa en color azul con Pintura tipo 1 para interiores (2 manos)</t>
  </si>
  <si>
    <t>ASEO Y LIMPIEZA</t>
  </si>
  <si>
    <t>Limpieza general</t>
  </si>
  <si>
    <t>Perfilacion y nivelacion del terreno - Manual</t>
  </si>
  <si>
    <t xml:space="preserve">Excavaciones manuales  (No Incluye retiro de material sobrante) </t>
  </si>
  <si>
    <t xml:space="preserve">ITEM 2,1  - Excavaciones manuales  (No Incluye retiro de material sobrante) </t>
  </si>
  <si>
    <t>ITEM 2,4 - Cargue, transporte y disposición final de material sobrante en sitio autorizado</t>
  </si>
  <si>
    <t xml:space="preserve">ITEM 3,2 Construcción  de Zapatas en concreto 3000 p.s.i. modulacion 1,00 mts x 1,00 mts x alto 0,30 mts, incluye acero: en ambos sentidos de  1/2" cada 0,18 mts </t>
  </si>
  <si>
    <t>Construcción  de Pedestal en concreto de 3000 p.s.i, modulacion 0,45 mts x 0,45 mts, incluye acero: longitudinal 8 Fe= 5/8" - Estnbos 3/8" cada 0,10 mts</t>
  </si>
  <si>
    <t>ITEM 5,1 Estuco para muros tipo 1 (estructuras y Muros)</t>
  </si>
  <si>
    <t>ITEM 5,2 Pintura tipo 1 para exteriores e interiores (2 manos)</t>
  </si>
  <si>
    <t>5.7</t>
  </si>
  <si>
    <t>ITEM 5,3 Estampado de concreto de Placas de pisos de Anden exterior</t>
  </si>
  <si>
    <t>Estampado de concreto de Placas de pisos de Anden exterior</t>
  </si>
  <si>
    <t>ITEM 5,4 Cenefa en color azul con Pintura tipo 1 para interiores (2 manos)</t>
  </si>
  <si>
    <t>ITEM 5,5 Suministro e instalación de cielo raso en PVC</t>
  </si>
  <si>
    <t>LAMINA PVC 0,25 x 6,00 m</t>
  </si>
  <si>
    <t>PERFIL DE ALUMINIO EN T</t>
  </si>
  <si>
    <t>PERFIL DE ALUMINIO EN L</t>
  </si>
  <si>
    <t>REMACHES</t>
  </si>
  <si>
    <t>PUNTILLAS</t>
  </si>
  <si>
    <t xml:space="preserve"> ZOCALOS MEDIA CAÑA</t>
  </si>
  <si>
    <t>CERAMICA PARA PISOS</t>
  </si>
  <si>
    <t>MORTERO - NIVELACION</t>
  </si>
  <si>
    <t>ITEM 5,6 Suministro e instalación de enchape ceramico para piso</t>
  </si>
  <si>
    <t>ITEM 5,7 Suministro e Instalación  de Zocalo  tipo media caña</t>
  </si>
  <si>
    <t>Suministro e Instalación de Zocalo tipo media caña</t>
  </si>
  <si>
    <t>ZOCALO MEDIA CAÑA</t>
  </si>
  <si>
    <t xml:space="preserve">ADAPTADOR </t>
  </si>
  <si>
    <t>TANQUE DE 1000 LTS</t>
  </si>
  <si>
    <t>COMBO SANITARIO , (Inc. Lavamanos y Sanitario)</t>
  </si>
  <si>
    <t>TANQUE SEPTICO 2000 LTS</t>
  </si>
  <si>
    <t>TUBERIA 4" PVC</t>
  </si>
  <si>
    <t>TANQUE SEPTICO COMPLETO 2000 LTS</t>
  </si>
  <si>
    <t>ITEM 7,3 Suministro e instalacion de tanque septico de capacidad total 2000 lts incluye acometida de 4" y campo de infiltracion</t>
  </si>
  <si>
    <t>CABLE DE COBRE No 12</t>
  </si>
  <si>
    <t>CURVA PVC CONDUIT 1/2"</t>
  </si>
  <si>
    <t>CINTA AISLANTE X 3 MTS</t>
  </si>
  <si>
    <t>CURVA 1/2"</t>
  </si>
  <si>
    <t>ITEM 8,1 Suministro e instalacion de cableado electrico</t>
  </si>
  <si>
    <t>ITEM 8,2 Suministro e instalacion de tablero 8 circuitos</t>
  </si>
  <si>
    <t>TABLERO MONOFASICO DE 8 CIRCUITOS INCLUYE ACCESORIOS (CAJA,Y BRAKER)</t>
  </si>
  <si>
    <t>ITEM 8,3 Reparacion de Puntos electricos 110v</t>
  </si>
  <si>
    <t>TOMA CORRIENTE DOBLE</t>
  </si>
  <si>
    <t>ITEM 8,4 Suministro e Instalación  de toma corriente doble</t>
  </si>
  <si>
    <t>ITEM 8,5 Suministro e Instalación de interruptor sencillo</t>
  </si>
  <si>
    <t>INTERRUPTOR SENCILLO</t>
  </si>
  <si>
    <t>LAMPARA REDONDA LED DE 18 WT</t>
  </si>
  <si>
    <t>ITEM 8,6 Suministro e Instalación de Salida para luces (incluye lamparas led redondas 18W)</t>
  </si>
  <si>
    <t>ITEM 8,7 Suministro e instalación de ventiladores de Giro Horizontal</t>
  </si>
  <si>
    <t>VENTILADOR DE GIRO HORIZONTAL</t>
  </si>
  <si>
    <t>SOLDADOR(1)</t>
  </si>
  <si>
    <t>CUBIERTA ARQUITECTONICA MASTER 1000</t>
  </si>
  <si>
    <t>SILLA TANDEM 4 PUESTOS</t>
  </si>
  <si>
    <t xml:space="preserve">PUERTA EN ALUMINIO </t>
  </si>
  <si>
    <t>TECNICO - INSTALADOR</t>
  </si>
  <si>
    <t>PUERTAS EN ALUMINIO</t>
  </si>
  <si>
    <t>ITEM 11,1 Suministro e instalación silla Tandem 4 puestos</t>
  </si>
  <si>
    <t>Suministro e instalación silla Tandem 4 puestos</t>
  </si>
  <si>
    <t>OBRERO (2)</t>
  </si>
  <si>
    <t>ITEM 12,1 Limpieza y desmanche de enchape de baños</t>
  </si>
  <si>
    <t>DETERGENTE EN POLVO</t>
  </si>
  <si>
    <t>CLORO LIQUIDO</t>
  </si>
  <si>
    <t>ACIDO CLORHIDRICO</t>
  </si>
  <si>
    <t>OBRERO (3)</t>
  </si>
  <si>
    <t>CUADRO DE CANTIDADES DE OBRA</t>
  </si>
  <si>
    <t>AREA CONSTRUCCION NUEVA PATIO</t>
  </si>
  <si>
    <t xml:space="preserve">TANQUE SEPTICO - 2,30 X 1,25 X 1,15 MTS </t>
  </si>
  <si>
    <t xml:space="preserve">3,2 Construcción  de Zapatas en concreto 3000 p.s.i. modulacion 1,00 mts x 1,00 mts x alto 0,30 mts, incluye acero: en ambos sentidos de  1/2" cada 0,18 mts </t>
  </si>
  <si>
    <t>PLACA TANQUE ELEVADO</t>
  </si>
  <si>
    <t>5,1 Estuco para muros tipo 1 (estructuras y Muros)</t>
  </si>
  <si>
    <t>Pañete para muros   mortero: 1:4 imp . Esp = 2 cms (Muros)</t>
  </si>
  <si>
    <t>4,2 Pañete para muros   mortero: 1:4 imp . Esp = 2 cms (Muros)</t>
  </si>
  <si>
    <t>5,3 Estampado de concreto de Placas de pisos de Anden exterior</t>
  </si>
  <si>
    <t>5,4 Cenefa en color azul con Pintura tipo 1 para interiores (2 manos)</t>
  </si>
  <si>
    <t>5,5 Suministro e instalación de cielo raso en PVC</t>
  </si>
  <si>
    <t>5,2 Pintura tipo 1 para exteriores e interiores (2 manos)</t>
  </si>
  <si>
    <t>5,6 Suministro e instalación de enchape ceramico para piso</t>
  </si>
  <si>
    <t>TANQUE ELEVADO 1000 LTS</t>
  </si>
  <si>
    <t>GENERAL</t>
  </si>
  <si>
    <t>COMBO SANITARIO COMPLETO</t>
  </si>
  <si>
    <t>TABLERO 8 CIRCUITOS COMPLETO</t>
  </si>
  <si>
    <t>TOMA CORRIENTE</t>
  </si>
  <si>
    <t>INTERRUPTORES</t>
  </si>
  <si>
    <t>SALIDA DE LUCES</t>
  </si>
  <si>
    <t>AREA CUBIERTA</t>
  </si>
  <si>
    <t>11,1 Suministro e instalación silla Tandem 4 puestos</t>
  </si>
  <si>
    <t>SILLA PARA SAL DE ESPERA TIPO TANDEM</t>
  </si>
  <si>
    <t>12,2 Limpieza general</t>
  </si>
  <si>
    <t>Suministro e instalación cortina Enrrollable Tipo Black out</t>
  </si>
  <si>
    <t>Pañete para muros   mortero: 1:4 imp . Esp = 2 cms (Lineal)</t>
  </si>
  <si>
    <t>MURO CERRAMIENTO</t>
  </si>
  <si>
    <t>Alto/Alto</t>
  </si>
  <si>
    <t>4,3 Pañete para muros   mortero: 1:4 imp . Esp = 2 cms (Lineal)</t>
  </si>
  <si>
    <t>CANTIDAD EN ML</t>
  </si>
  <si>
    <t>ITEM 4,2 Pañete para muros   mortero: 1:4 imp . Esp = 2 cms (Muros)</t>
  </si>
  <si>
    <t>ITEM 4,3 Pañete para muros   mortero: 1:4 imp . Esp = 2 cms (Lineal)</t>
  </si>
  <si>
    <t>ITEM 5,8 Pintura en Cal para exteriores (2 manos) - Muro de Cerramiento</t>
  </si>
  <si>
    <t>ACRONAL</t>
  </si>
  <si>
    <t>ALUMOL O MANTO ASFALTICO</t>
  </si>
  <si>
    <t>LAMINA O TELA DE PROTECCION</t>
  </si>
  <si>
    <t>MORTERO DE NIVELACION</t>
  </si>
  <si>
    <t>LAMINA O TELA DE PROTECCION ROLLO POR 10 ML</t>
  </si>
  <si>
    <t>PUERTAS INTERIORES</t>
  </si>
  <si>
    <t>TECNICO - SOLDADOR</t>
  </si>
  <si>
    <t>ITEM 11,2 Suministro e instalación cortina Enrrollable Tipo Black out</t>
  </si>
  <si>
    <t>CORTINA ENRROLLABLE BLACK OUT</t>
  </si>
  <si>
    <t>11,2 Suministro e instalación cortina Enrrollable Tipo Black out</t>
  </si>
  <si>
    <t>5,7 Suministro e Instalación de Zocalo tipo media caña</t>
  </si>
  <si>
    <t>TABLERO EN LAMINA GALVANIZADA CAL. 22</t>
  </si>
  <si>
    <t>VENTANAS 1</t>
  </si>
  <si>
    <t>VIGA CULATA - 0,10 X 0,20 MTS (CUBIERTA)</t>
  </si>
  <si>
    <t xml:space="preserve">Suministro e instalación de Ventanas en Aluminio </t>
  </si>
  <si>
    <t>PUERTAS EN ALUMINIO TIPO 762</t>
  </si>
  <si>
    <t xml:space="preserve">VENTANA EN ALUMINIO </t>
  </si>
  <si>
    <t>VENTANAS EN ALUMINIO</t>
  </si>
  <si>
    <t>VENTANAS 2</t>
  </si>
  <si>
    <t>VENTANAS 3</t>
  </si>
  <si>
    <t>PUERTAS EXTERIOR</t>
  </si>
  <si>
    <t>MURO CERRAMIENTO FRONTAL</t>
  </si>
  <si>
    <t>CIMENTACION 02 - 0,25 X 0,25 MTS (CERRAMIENTO)</t>
  </si>
  <si>
    <t>3.18</t>
  </si>
  <si>
    <t>Construcción de Sobre-cimentacion con Muro en Bloque No 6 relleno en concreto de 3000 p.s.i.</t>
  </si>
  <si>
    <t>3.19</t>
  </si>
  <si>
    <t xml:space="preserve">Construcción de Viga Canal en concreto 3000 p.s.i. espesor 10 cms, incluye acero: ambos sentidos de  1/2" cada 0,15 mts. </t>
  </si>
  <si>
    <t>CIRCULACION PEATONAL</t>
  </si>
  <si>
    <t>DESCUENTO VENTANAS Y PUERTAS M2</t>
  </si>
  <si>
    <t>MURO EDIFICIO CUBIERTAS</t>
  </si>
  <si>
    <t>VIGA CANAL EDIFICIO 1</t>
  </si>
  <si>
    <t>VIGA CANAL EDIFICIO 2</t>
  </si>
  <si>
    <t>CERAMICA PARA PISOS BAÑOS</t>
  </si>
  <si>
    <t>CERAMICA PARA PISOS DE BAÑOS</t>
  </si>
  <si>
    <t>CERAMICA PARA MUROS DE BAÑOS</t>
  </si>
  <si>
    <t>BAÑO 01</t>
  </si>
  <si>
    <t>BAÑO 02</t>
  </si>
  <si>
    <t>BAÑO 03</t>
  </si>
  <si>
    <t>BAÑO 04</t>
  </si>
  <si>
    <t>Suministro e instalación de enchape ceramico para Pisos de Baños</t>
  </si>
  <si>
    <t>Suministro e instalación de enchape ceramico para Muros de Baños</t>
  </si>
  <si>
    <t>ITEM 5,9 Suministro e instalación de enchape ceramico para Pisos de Baños</t>
  </si>
  <si>
    <t>5.9</t>
  </si>
  <si>
    <t>5.10</t>
  </si>
  <si>
    <t>5,9 Suministro e instalación de enchape ceramico para Pisos de Baños</t>
  </si>
  <si>
    <t>5,10 Suministro e instalación de enchape ceramico para Muros de Baños</t>
  </si>
  <si>
    <t>ITEM 5,10 Suministro e instalación de enchape ceramico para Muros de Baños</t>
  </si>
  <si>
    <t>CERAMICA PARA MUROS BAÑOS</t>
  </si>
  <si>
    <t>Instalación  de puntos hidraulicos 1/2"</t>
  </si>
  <si>
    <t xml:space="preserve">Suministro e Instalación  de acometida hidraulica en tuberia de 1/2" </t>
  </si>
  <si>
    <t xml:space="preserve">Suministro e Instalación  de acometida hidraulica en tuberia de 3/4" </t>
  </si>
  <si>
    <t>TANQUE A RED DE 1/2"</t>
  </si>
  <si>
    <t>DE RED A TANQUE</t>
  </si>
  <si>
    <t>BAÑOS</t>
  </si>
  <si>
    <t xml:space="preserve">PUNTO BAJANTE CUBIERTA </t>
  </si>
  <si>
    <t>4"</t>
  </si>
  <si>
    <t>2"</t>
  </si>
  <si>
    <t>3"</t>
  </si>
  <si>
    <t>TUBERIA SANITARIA - CUBIERTAS</t>
  </si>
  <si>
    <t>PUNTO 2"</t>
  </si>
  <si>
    <t>PUNTO 3"</t>
  </si>
  <si>
    <t>TUBERIA SANITARIA - BAÑOS</t>
  </si>
  <si>
    <t>TUBERIA SANITARIA - REGISTRO AGUAS LLUVIAS</t>
  </si>
  <si>
    <t>TUBERIA SANITARIA - REGISTRO A TANQUE SEPTICO</t>
  </si>
  <si>
    <t>PUNTO BAÑOS</t>
  </si>
  <si>
    <t>7.5</t>
  </si>
  <si>
    <t>7.6</t>
  </si>
  <si>
    <t>7.7</t>
  </si>
  <si>
    <t>7.8</t>
  </si>
  <si>
    <t>7.9</t>
  </si>
  <si>
    <t>7.10</t>
  </si>
  <si>
    <t>7.11</t>
  </si>
  <si>
    <t>Instalación  de puntos sanitarios de 2"</t>
  </si>
  <si>
    <t>Instalación  de puntos sanitarios de 3" (incluye sifon)</t>
  </si>
  <si>
    <t>Instalación  de puntos sanitarios de 4" - Sanitario</t>
  </si>
  <si>
    <t>Suministro e Instalación de tuberia sanitaria de 2"</t>
  </si>
  <si>
    <t>Suministro e Instalación de tuberia sanitaria de 3"</t>
  </si>
  <si>
    <t xml:space="preserve">Suministro e instalación de tubería sanitaria de 2" - Tubería de ventilación húmeda </t>
  </si>
  <si>
    <t>Suministro e Instalación de tuberia de pvc 4" - Generales</t>
  </si>
  <si>
    <t>TAPON DE PRUEBA DE 2</t>
  </si>
  <si>
    <t>YEE DE 2</t>
  </si>
  <si>
    <t>7.12</t>
  </si>
  <si>
    <t>FORMALETERIA METALICA x 6</t>
  </si>
  <si>
    <t>FORMALETAS</t>
  </si>
  <si>
    <t>ITEM 7,13 Construcción  de Registro Sanitario en concreto de 3000 p.s.i. (control y limpieza)</t>
  </si>
  <si>
    <t>Construcción  de Registro Sanitario en concreto de 3000 p.s.i. (control y limpieza)</t>
  </si>
  <si>
    <t>REGISTRO SANITARIO</t>
  </si>
  <si>
    <t>7.13</t>
  </si>
  <si>
    <t>Instalación  de Puntos electricos 110v (incluye acometida)</t>
  </si>
  <si>
    <t>Suministro e Instalación de toma mirada china</t>
  </si>
  <si>
    <t>Suministro e Instalación  de Interruptores dobles</t>
  </si>
  <si>
    <t xml:space="preserve">Suministro e instalacion de aire mini split 2 hp  </t>
  </si>
  <si>
    <t>Registro Electrico en concreto de 3000 p.s.i. - Control electrico</t>
  </si>
  <si>
    <t>LAMPARA TIPO TORTUGA</t>
  </si>
  <si>
    <t>TOMA MIRADA CHINA</t>
  </si>
  <si>
    <t>ALAMBRE No 12</t>
  </si>
  <si>
    <t>AIRE MINI SPLIT 12000 BTU</t>
  </si>
  <si>
    <t>ITEM 8,8 Instalación  de Puntos electricos 110v (incluye acometida)</t>
  </si>
  <si>
    <t>ITEM 8,9 Instalación  de Puntos electricos 220v (incluye acometida)</t>
  </si>
  <si>
    <t>ITEM 8,10 Suministro e Instalación  de toma mirada china</t>
  </si>
  <si>
    <t>ITEM 8,11 Suministro e Instalación  de lamparas  tipo LED -  tortuga</t>
  </si>
  <si>
    <t>ITEM 8,12 Suministro e Instalación  de Interruptores dobles</t>
  </si>
  <si>
    <t xml:space="preserve">ITEM 8,13 Suministro e instalacion de aire mini split 2 hp  </t>
  </si>
  <si>
    <t>INTERRUPTOR DOBLE</t>
  </si>
  <si>
    <t>ITEM 8,14 Registro Electrico en concreto de 3000 p.s.i. - Control electrico</t>
  </si>
  <si>
    <t>LUMINARIAS</t>
  </si>
  <si>
    <t>INTERRUPTORES DOBLES</t>
  </si>
  <si>
    <t>INTERRUPTORES SENCILLOS</t>
  </si>
  <si>
    <t>AIRE ACONDICIONADO 2 hp</t>
  </si>
  <si>
    <t>REGISTRO ELECTRICO</t>
  </si>
  <si>
    <t>Impermeabilizacion de Placa de Viga Canal, Incluye Mortero de Nivelacion</t>
  </si>
  <si>
    <t>Suministro e instalación de Correas de cubierta en Perfil de 3" x 1 1/2" Cal. 16</t>
  </si>
  <si>
    <t>Suministro e Instalacion de Porton para acceso Administracion</t>
  </si>
  <si>
    <t>TRANSPORTE - AJUSTADO A 2023</t>
  </si>
  <si>
    <t>VENTANAS EN VIDRIO DE SEGURIDAD 12 MM</t>
  </si>
  <si>
    <t>LAMINA EN CALIENTE HR (3MM)</t>
  </si>
  <si>
    <t xml:space="preserve">GENERALES </t>
  </si>
  <si>
    <t>LAVADERO EN GRANITO 80X60X20</t>
  </si>
  <si>
    <t xml:space="preserve">LAMPARA TIPO TORTUGA </t>
  </si>
  <si>
    <t>CORREAS CUBIERTA</t>
  </si>
  <si>
    <t>VIGA AMARRE 02 - 0,10 X 0,25 MTS MTS (CERRAMIENTO)</t>
  </si>
  <si>
    <t>COLUMNAS - 0,20 X 0,25 MTS (CERRAMIENTO)</t>
  </si>
  <si>
    <t xml:space="preserve">Construcción  de Zapatas en concreto 3000 p.s.i. modulacion 0,40 mts x 0,40 mts x alto 0,25 mts, incluye acero: en ambos sentidos de  1/2" cada 0,18 mts  </t>
  </si>
  <si>
    <t>Construcción de Viga de Cimentacion en concreto de 3000 p.s.i, modulacion 0,25 mts x 0,25 mts, incluye acero: longitudinal 4 3/8" - Estnbos 3/8" cada 0,15 mts</t>
  </si>
  <si>
    <t>Construcción de Columnas en concreto de 3000 p.s.i, modulacion 0,20 mts x 0,25 mts, incluye acero: longitudinal 4 Fe=  3/8" - Estnbos 3/8" cada 0,15 mts</t>
  </si>
  <si>
    <t xml:space="preserve">Construcción de Placa de Tanque elevado en concreto 3000 p.s.i.  espesor 10 cms, incluye acero: ambos sentidos de  1/2" cada 0,15 mts. </t>
  </si>
  <si>
    <t>Construcción de Plantilla para pisos esp. 0,10 mts en concreto 3000 p.s.i. - Fe=1/4" temperatura  Cada 0.40 mts ambos sentidos</t>
  </si>
  <si>
    <t>Construcción de Viga Dintel en concreto de 3000 p.s.i, modulacion 0,10 mts x 0,15 mts, incluye acero: longitudinal 2 3/8" - Estnbos 3/8" cada 0,20 mts</t>
  </si>
  <si>
    <t>ALQUILER RIELES METALICOS(6)</t>
  </si>
  <si>
    <t xml:space="preserve">ITEM 3,3 Construcción  de Zapatas en concreto 3000 p.s.i. modulacion 0,60 mts x 0,60 mts x alto 0,25 mts, incluye acero: en ambos sentidos de  1/2" cada 0,18 mts </t>
  </si>
  <si>
    <t>Construcción de Columnas en concreto de 3000 p.s.i, modulacion 0,30 mts x 0,30 mts, incluye acero: longitudinal 6 Fe=  1/2" - Estnbos 3/8" cada 0,10 mts</t>
  </si>
  <si>
    <t>3,6 Construcción de Viga de Cimentacion en concreto de 3000 p.s.i, modulacion 0,25 mts x 0,25 mts, incluye acero: longitudinal 4 3/8" - Estnbos 3/8" cada 0,15 mts</t>
  </si>
  <si>
    <t xml:space="preserve">ITEM 3,4 Construcción  de Zapatas en concreto 3000 p.s.i. modulacion 0,40 mts x 0,40 mts x alto 0,25 mts, incluye acero: en ambos sentidos de  1/2" cada 0,18 mts  </t>
  </si>
  <si>
    <t>ITEM 3,6 Construcción de Viga de Cimentacion en concreto de 3000 p.s.i, modulacion 0,25 mts x 0,25 mts, incluye acero: longitudinal 4 3/8" - Estnbos 3/8" cada 0,15 mts</t>
  </si>
  <si>
    <t xml:space="preserve">3,4 Construcción  de Zapatas en concreto 3000 p.s.i. modulacion 0,40 mts x 0,40 mts x alto 0,25 mts, incluye acero: en ambos sentidos de  1/2" cada 0,18 mts </t>
  </si>
  <si>
    <t>PROYECTO: CONSTRUCCION DEL PUESTO DE SALUD DEL CORREGIMIENTO DE ARMENIA, ZONA RURAL DEL MUNICIPIO DE PINILLOS, DEPARTAMENTO DE BOLIVAR</t>
  </si>
  <si>
    <t>AREA CONSTRUCCION NUEVA TOTAL</t>
  </si>
  <si>
    <t>1.2 - Demolición de Estructura existente</t>
  </si>
  <si>
    <t>1.3 - Perfilacion y nivelacion del terreno - Manual</t>
  </si>
  <si>
    <t>DEMOLICIONES</t>
  </si>
  <si>
    <t>1,4 - Relleno con material granular transportado compactado al 90%, Manual- (Relleno para Nivelacion de Terreno de Proyecto)</t>
  </si>
  <si>
    <t>1.5 - Cargue, transporte y disposición final de material sobrante en sitio autorizado</t>
  </si>
  <si>
    <t>Demolición de Estructura existente</t>
  </si>
  <si>
    <t>Relleno con material granular transportado compactado al 90%, Manual- (Relleno para Nivelacion de Terreno de Proyecto)</t>
  </si>
  <si>
    <t>ITEM 1,2 - Demolición de Estructura existente</t>
  </si>
  <si>
    <t>ITEM 1,3 - Perfilacion y nivelacion del terreno - Manual</t>
  </si>
  <si>
    <t>ITEM 1,4 - Relleno con material granular transportado compactado al 90%, Manual- (Relleno para Nivelacion de Terreno de Proyecto)</t>
  </si>
  <si>
    <t>VIBROCOMPACTADOR RANA</t>
  </si>
  <si>
    <t>ITEM 1,5 - Cargue, transporte y disposición final de material sobrante en sitio autorizado</t>
  </si>
  <si>
    <t>ZAPATAS 02 - 0,6 X 0,6 MTS -      (OBRA)</t>
  </si>
  <si>
    <t>ZAPATAS 01 - 1,0 X 1,0 MTS -      (OBRA)</t>
  </si>
  <si>
    <t>ZAPATAS 03 - 0,4 X 0,4 MTS -      (CERRAMIENTO)</t>
  </si>
  <si>
    <t>CIMENTACION 01 - 0,30 X 0,30 MTS (OBRA)</t>
  </si>
  <si>
    <t>CIMENTACION 02 - 0,25 X 0,25 MTS (ANDEN INTERNO)</t>
  </si>
  <si>
    <t>CIMENTACION 02 - 0,25 X 0,25 MTS (VOLUMEN EXTERNO)</t>
  </si>
  <si>
    <t>CIMENTACION 03 - 0,15 X 0,25 MTS (ANDEN EXTERIOR)</t>
  </si>
  <si>
    <t xml:space="preserve">AREA CONSTRUCCION NUEVA </t>
  </si>
  <si>
    <t>AREA ANDEN INTERNO</t>
  </si>
  <si>
    <t>AREA ANDEN EXTERIOR</t>
  </si>
  <si>
    <t>Relleno con material granular transportado compactado al 90%, Manual con Canguro - (Relleno para Nivelacion de Area Construccion)</t>
  </si>
  <si>
    <t>2,3 Relleno con material granular transportado compactado al 90%, Manual con Canguro - (Relleno para Nivelacion de Area Construccion)</t>
  </si>
  <si>
    <t>ITEM 2,3 - Relleno con material granular transportado compactado al 90%, Manual con Canguro - (Relleno para Nivelacion de Area Construccion)</t>
  </si>
  <si>
    <t xml:space="preserve">Construcción  de Zapatas en concreto 3000 p.s.i. modulacion 0,60 mts x 0,60 mts x alto 0,25 mts, incluye acero: en ambos sentidos de  1/2" cada 0,18 mts  </t>
  </si>
  <si>
    <t xml:space="preserve">3,2 Construcción  de Zapatas en concreto 3000 p.s.i. modulacion 0,60 mts x 0,60 mts x alto 0,25 mts, incluye acero: en ambos sentidos de  1/2" cada 0,18 mts </t>
  </si>
  <si>
    <t>ITEM 3,5 Construcción  de Viga de Cimentacion en concreto de 3000 p.s.i, modulacion 0,30 mts x 0,30 mts, incluye acero: longitudinal 6 1/2" - Estnbos 3/8" cada 0,20 mts</t>
  </si>
  <si>
    <t>3,5 Construcción  de Viga de Cimentacion en concreto de 3000 p.s.i, modulacion 0,30 mts x 0,30 mts, incluye acero: longitudinal 6 1/2" - Estnbos 3/8" cada 0,20 mts</t>
  </si>
  <si>
    <t>ITEM 3,7 Construcción de Viga de Cimentacion en concreto de 3000 p.s.i, modulacion 0,15 mts x 0,25 mts, incluye acero: longitudinal 4 3/8" - Estnbos 3/8" cada 0,20 mts</t>
  </si>
  <si>
    <t>3,7 Construcción de Viga de Cimentacion en concreto de 3000 p.s.i, modulacion 0,15 mts x 0,25 mts, incluye acero: longitudinal 4 3/8" - Estnbos 3/8" cada 0,20 mts</t>
  </si>
  <si>
    <t>Construcción de Viga de Cimentacion en concreto de 3000 p.s.i, modulacion 0,15 mts x 0,25 mts, incluye acero: longitudinal 4 3/8" - Estnbos 3/8" cada 0,20 mts</t>
  </si>
  <si>
    <t>PEDESTAL COLUMNAS PRINCIPALES</t>
  </si>
  <si>
    <t>COLUMNAS PRINCIPALES</t>
  </si>
  <si>
    <t>3,8 Construcción  de Pedestal en concreto de 3000 p.s.i, modulacion 0,45 mts x 0,45 mts, incluye acero: longitudinal 8 Fe= 5/8" - Estnbos 3/8" cada 0,10 mts</t>
  </si>
  <si>
    <t>3,9 Construcción de Columnas en concreto de 3000 p.s.i, modulacion 0,30 mts x 0,30 mts, incluye acero: longitudinal 6 Fe=  1/2" - Estnbos 3/8" cada 0,10 mts</t>
  </si>
  <si>
    <t>ITEM 3,8 Construcción  de Pedestal en concreto de 3000 p.s.i, modulacion 0,45 mts x 0,45 mts, incluye acero: longitudinal 8 Fe= 1/2" - Estnbos 3/8" cada 0,10 mts</t>
  </si>
  <si>
    <t>ITEM 3,9 Construcción de Columnas en concreto de 3000 p.s.i, modulacion 0,30 mts x 0,30 mts, incluye acero: longitudinal 6 Fe=  1/2" - Estnbos 3/8" cada 0,10 mts</t>
  </si>
  <si>
    <t xml:space="preserve">COLUMNAS - 0,25 X 0,25 MTS (OBRA) </t>
  </si>
  <si>
    <t>3,10 Construcción de Columnas en concreto de 3000 p.s.i, modulacion 0,25 mts x 0,25 mts, incluye acero: longitudinal 4 Fe=  1/2" - Estnbos 3/8" cada 0,15 mts</t>
  </si>
  <si>
    <t>Construcción de Columnas en concreto de 3000 p.s.i, modulacion 0,25 mts x 0,25 mts, incluye acero: longitudinal 4 Fe=  1/2" - Estnbos 3/8" cada 0,15 mts</t>
  </si>
  <si>
    <t>ITEM 3,10 Construcción de Columnas en concreto de 3000 p.s.i, modulacion 0,25 mts x 0,25 mts, incluye acero: longitudinal 4 Fe=  1/2" - Estnbos 3/8" cada 0,15 mts</t>
  </si>
  <si>
    <t>ITEM 3,11 Construcción de Columnas en concreto de 3000 p.s.i, modulacion 0,20 mts x 0,25 mts, incluye acero: longitudinal 4 Fe=  3/8" - Estnbos 3/8" cada 0,15 mts</t>
  </si>
  <si>
    <t xml:space="preserve">ITEM 3,12 Construcción de Viga Amarre en concreto 3000 p.s.i. 0.25 X 0.25 mts  -  4 Fe= 3/8" - Estribos y ganchos Fe= 3/8 C/. 0,20 mts  </t>
  </si>
  <si>
    <t xml:space="preserve">ITEM 3,13 Construcción de Viga Amarre en concreto 3000 p.s.i. 0.20 X 0.25 mts  -  4 Fe= 3/8" - Estribos y ganchos Fe= 3/8 C/. 0,20 mts </t>
  </si>
  <si>
    <t xml:space="preserve">Construcción de Viga Amarre en concreto 3000 p.s.i. 0.25 X 0.25 mts  -  4 Fe= 3/8" - Estribos y ganchos Fe= 3/8 C/. 0,20 mts  </t>
  </si>
  <si>
    <t xml:space="preserve">Construcción de Viga Amarre en concreto 3000 p.s.i. 0.20 X 0.25 mts  -  4 Fe= 3/8" - Estribos y ganchos Fe= 3/8 C/. 0,20 mts </t>
  </si>
  <si>
    <t xml:space="preserve">Construcción de Viga Superior en concreto 3000 p.s.i. 0.10 X 0.20 mts  -  2 Fe= 3/8" - Estribos y ganchos Fe= 3/8 C/. 0,15 mts </t>
  </si>
  <si>
    <t>3,11 Construcción de Columnas en concreto de 3000 p.s.i, modulacion 0,20 mts x 0,25 mts, incluye acero: longitudinal 4 Fe=  3/8" - Estnbos 3/8" cada 0,15 mts</t>
  </si>
  <si>
    <t xml:space="preserve">3,12 Construcción de Viga Amarre en concreto 3000 p.s.i. 0.25 X 0.25 mts  -  4 Fe= 3/8" - Estribos y ganchos Fe= 3/8 C/. 0,20 mts  </t>
  </si>
  <si>
    <t xml:space="preserve">VIGA AMARRE 01 - 0,25 X 0,25 MTS (OBRA) </t>
  </si>
  <si>
    <t xml:space="preserve">3,13 Construcción de Viga Amarre en concreto 3000 p.s.i. 0.20 X 0.25 mts  -  4 Fe= 3/8" - Estribos y ganchos Fe= 3/8 C/. 0,20 mts </t>
  </si>
  <si>
    <t>COLUMNAS TANQUE ELEVADO</t>
  </si>
  <si>
    <t>ITEM 3,14 Construcción de Viga Dintel en concreto de 3000 p.s.i, modulacion 0,10 mts x 0,15 mts, incluye acero: longitudinal 2 3/8" - Estnbos 3/8" cada 0,20 mts</t>
  </si>
  <si>
    <t xml:space="preserve">ITEM 3,15 Construcción de Viga Superior en concreto 3000 p.s.i. 0.10 X 0.20 mts  -  2 Fe= 3/8" - Estribos y ganchos Fe= 3/8 C/. 0,15 mts </t>
  </si>
  <si>
    <t>ITEM 3,16 Construcción  de Plantilla para pisos esp. 0,10 mts en concreto 3000 p.s.i. - Fe=1/4" temperatura  Cada 0.40 mts ambos sentidos</t>
  </si>
  <si>
    <t>ITEM 3,17 Construcción de Sobre-cimentacion con Muro en Bloque No 6 relleno en concreto de 3000 p.s.i.</t>
  </si>
  <si>
    <t xml:space="preserve">ITEM 3,18 Construcción de Viga Canal en concreto 3000 p.s.i. espesor 10 cms, incluye acero: ambos sentidos de  1/2" cada 0,15 mts. </t>
  </si>
  <si>
    <t xml:space="preserve">ITEM 3,19 Construcción de Placa de Tanque elevado en concreto 3000 p.s.i.  espesor 10 cms, incluye acero: ambos sentidos de  1/2" cada 0,15 mts. </t>
  </si>
  <si>
    <t>DINTELES PUERTA PRINCIPAL</t>
  </si>
  <si>
    <t>DINTELES PUERTA SALIDA</t>
  </si>
  <si>
    <t>DINTELES VENTANA FACHADA</t>
  </si>
  <si>
    <t>DINTELES PUERTA INTERNAS</t>
  </si>
  <si>
    <t>DINTELES VENTANAS INTERNAS 1</t>
  </si>
  <si>
    <t>DINTELES VENTANAS INTERNAS 2</t>
  </si>
  <si>
    <t>DINTELES VENTANAS INTERNAS 3</t>
  </si>
  <si>
    <t>DINTELES PUERTA BANOS</t>
  </si>
  <si>
    <t>3,14 Construcción de Viga Dintel en concreto de 3000 p.s.i, modulacion 0,10 mts x 0,15 mts, incluye acero: longitudinal 2 3/8" - Estnbos 3/8" cada 0,20 mts</t>
  </si>
  <si>
    <t xml:space="preserve">3,15 Construcción de Viga Superior en concreto 3000 p.s.i. 0.10 X 0.20 mts  -  2 Fe= 3/8" - Estribos y ganchos Fe= 3/8 C/. 0,15 mts </t>
  </si>
  <si>
    <t>VIGA CULATA - 0,10 X 0,20 MTS (VOLUMEN EXTERNO)</t>
  </si>
  <si>
    <t>AREA EDIFICIO</t>
  </si>
  <si>
    <t>AREA TERRAZA</t>
  </si>
  <si>
    <t>3,16 Construcción de Plantilla para pisos esp. 0,10 mts en concreto 3000 p.s.i. - Fe=1/4" temperatura  Cada 0.40 mts ambos sentidos</t>
  </si>
  <si>
    <t>3,17 Construcción de Sobre-cimentacion con Muro en Bloque No 6 relleno en concreto de 3000 p.s.i.</t>
  </si>
  <si>
    <t xml:space="preserve">3,18 Construcción de Viga Canal en concreto 3000 p.s.i. espesor 10 cms, incluye acero: ambos sentidos de  1/2" cada 0,15 mts. </t>
  </si>
  <si>
    <t xml:space="preserve">3,19 Construcción de Placa de Tanque elevado en concreto 3000 p.s.i.  espesor 10 cms, incluye acero: ambos sentidos de  1/2" cada 0,15 mts. </t>
  </si>
  <si>
    <t>MUROS EDIFICIO JARDINERA</t>
  </si>
  <si>
    <t>CIRCULACION TERRAZA</t>
  </si>
  <si>
    <t>PUESTO DE SALUD</t>
  </si>
  <si>
    <t>DESCUENTO ML</t>
  </si>
  <si>
    <t>BAÑO 05</t>
  </si>
  <si>
    <t>BAÑO 06</t>
  </si>
  <si>
    <t>BAÑO 07</t>
  </si>
  <si>
    <t>BAÑO 08</t>
  </si>
  <si>
    <t>BAÑO 09</t>
  </si>
  <si>
    <t>items 6,1 Suministro e instalación de tanque plastico de almacenamiento 1.000 lt (incluye flotador, accesorios y tuberias para su instalacion y funcionamiento)</t>
  </si>
  <si>
    <t>5.8</t>
  </si>
  <si>
    <t>MUROS EDIFICIO EXTERIORES</t>
  </si>
  <si>
    <t>MUROS EDIFICIO INTERIORES</t>
  </si>
  <si>
    <t>MURO CERRAMIENTO 1</t>
  </si>
  <si>
    <t>MURO CERRAMIENTO 2</t>
  </si>
  <si>
    <t>MURO EDIFICIO CUBIERTAS 1</t>
  </si>
  <si>
    <t>MURO EDIFICIO CUBIERTAS 2</t>
  </si>
  <si>
    <t>MURO EDIFICIO CUBIERTAS 3</t>
  </si>
  <si>
    <t>MURO EDIFICIO CUBIERTAS 4</t>
  </si>
  <si>
    <t>MUROS EDIFICIO EXTERIORES - LINEALES</t>
  </si>
  <si>
    <t>MUROS EDIFICIO INTERIORES - LINEALES</t>
  </si>
  <si>
    <t>5,8 Pintura en Cal para exteriores (2 manos) - Muro de Cerramiento</t>
  </si>
  <si>
    <t>Pintura en Cal para exteriores (2 manos) - Muro de Cerramiento</t>
  </si>
  <si>
    <t>ITEM 6,2 Instalación  de puntos hidraulicos 1/2"</t>
  </si>
  <si>
    <t xml:space="preserve">items 6,3 Suministro e Instalación  de acometida hidraulica en tuberia de 1/2" </t>
  </si>
  <si>
    <t xml:space="preserve">items 6,4 Suministro e Instalación  de acometida hidraulica en tuberia de 3/4" </t>
  </si>
  <si>
    <t xml:space="preserve">items 6,5 Suministro e Instalación  de extintores </t>
  </si>
  <si>
    <t>6,1 Suministro e instalación de tanque plastico de almacenamiento 1.000 lt (incluye flotador, accesorios y tuberias para su instalacion y funcionamiento)</t>
  </si>
  <si>
    <t xml:space="preserve">6,2 Instalación  de puntos hidraulicos 1/2" </t>
  </si>
  <si>
    <t xml:space="preserve">6,3 Suministro e Instalación  de acometida hidraulica en tuberia de 1/2" </t>
  </si>
  <si>
    <t>6,4 Suministro e Instalación  de acometida hidraulica en tuberia de 3/4"</t>
  </si>
  <si>
    <t xml:space="preserve">6,5 Suministro e Instalación  de extintores </t>
  </si>
  <si>
    <t>Items 7,1 Suministro e instalación de combo sanitario + accesorios sanitarios</t>
  </si>
  <si>
    <t>Suministro e instalacion de tanque septico de capacidad total 2000 lts incluye acometida de 4" y campo de infiltracion</t>
  </si>
  <si>
    <t>Suministro e instalación de Lavamanos en Acero Inoxidable</t>
  </si>
  <si>
    <t>Items 7,2 Suministro e instalación de Lavamanos en Acero Inoxidable</t>
  </si>
  <si>
    <t>LAVAMANOS EN ACERO INOXIDABLE</t>
  </si>
  <si>
    <t>Items 7,4 Instalación  de puntos sanitarios de 2"</t>
  </si>
  <si>
    <t>Items 7,5 Instalación  de puntos sanitarios de 3" (incluye sifon)</t>
  </si>
  <si>
    <t>Items 7,6 Instalación  de puntos sanitarios de 4" - Sanitario</t>
  </si>
  <si>
    <t>Items 7,7 Instalación  de puntos sanitarios de 4" - Aguas Lluvias</t>
  </si>
  <si>
    <t>Items 7,8 Suministro e Instalación  de tuberia sanitaria de 2"</t>
  </si>
  <si>
    <t>Items 7,9 Suministro e Instalación de tuberia sanitaria de 3"</t>
  </si>
  <si>
    <t xml:space="preserve">Items 7,10 Suministro e instalación de tubería sanitaria de 2" - Tubería de ventilación húmeda </t>
  </si>
  <si>
    <t>ITEM 7,11 Suministro e Instalación de tuberia de pvc 4" - Generales</t>
  </si>
  <si>
    <t>Items 7,12 Suministro e instalación de Poceta o Lavadero</t>
  </si>
  <si>
    <t>7.4</t>
  </si>
  <si>
    <t>Suministro e instalación de Poceta o Lavadero</t>
  </si>
  <si>
    <t>7,1 Suministro e instalación de combo sanitario + accesorios sanitarios</t>
  </si>
  <si>
    <t>7,2 Suministro e instalación de Lavamanos en Acero Inoxidable</t>
  </si>
  <si>
    <t>7,3  Suministro e instalacion de tanque septico de capacidad total 2000 lts incluye acometida de 4" y campo de infiltracion</t>
  </si>
  <si>
    <t>TANQUE SEPTICO</t>
  </si>
  <si>
    <t>7,4 Instalación  de puntos sanitarios de 2"</t>
  </si>
  <si>
    <t>7,5 Instalación  de puntos sanitarios de 3" (incluye sifon)</t>
  </si>
  <si>
    <t>7,6 Instalación  de puntos sanitarios de 4" - Sanitario</t>
  </si>
  <si>
    <t>7,7 Instalación  de puntos sanitarios de 4" - Aguas Lluvias</t>
  </si>
  <si>
    <t>7,8 Suministro e Instalación de tuberia sanitaria de 2"</t>
  </si>
  <si>
    <t>7,9 Suministro e Instalación de tuberia sanitaria de 3"</t>
  </si>
  <si>
    <t xml:space="preserve">7,10 Suministro e instalación de tubería sanitaria de 2" - Tubería de ventilación húmeda </t>
  </si>
  <si>
    <t>7,11 Suministro e Instalación de tuberia de pvc 4" - Generales</t>
  </si>
  <si>
    <t>POCETA O LAVADERO</t>
  </si>
  <si>
    <t>7,13 Construcción  de Registro Sanitario en concreto de 3000 p.s.i. (control y limpieza)</t>
  </si>
  <si>
    <t>7,12 Suministro e instalación de Poceta o Lavadero</t>
  </si>
  <si>
    <t>REGISTRO AGUAS LLUVIAS</t>
  </si>
  <si>
    <t>8,1 Suministro e instalacion de tablero 8 circuitos</t>
  </si>
  <si>
    <t>8,2 Suministro e Instalación de toma corriente doble</t>
  </si>
  <si>
    <t>8,3 Suministro e Instalación de interruptor sencillo</t>
  </si>
  <si>
    <t>8,4 Suministro e Instalación de Salida para luces (incluye lamparas led redondas 18W)</t>
  </si>
  <si>
    <t>8,5 Suministro e instalación de ventiladores de Giro Horizontal</t>
  </si>
  <si>
    <t>8,6 Instalación  de Puntos electricos 110v (incluye acometida)</t>
  </si>
  <si>
    <t>8,7 Instalación  de Puntos electricos 220v (incluye acometida)</t>
  </si>
  <si>
    <t>8,8 Suministro e Instalación  de toma mirada china</t>
  </si>
  <si>
    <t>8,9 Suministro e Instalación  de lamparas  tipo LED -  tortuga</t>
  </si>
  <si>
    <t>8,10 Suministro e Instalación  de Interruptores dobles</t>
  </si>
  <si>
    <t xml:space="preserve">8,11 Suministro e instalacion de aire mini split 2 hp  </t>
  </si>
  <si>
    <t>8,12 Registro Electrico en concreto de 3000 p.s.i. - Control electrico</t>
  </si>
  <si>
    <t xml:space="preserve">9,1 Suministro e instalación de cubierta arquitectonica </t>
  </si>
  <si>
    <t>9,2 Impermeabilizacion de Placa de Viga Canal, Incluye Mortero de Nivelacion</t>
  </si>
  <si>
    <t>9,3 Suministro e instalación de Correas de cubierta en Perfil de 3" x 1 1/2" Cal. 16</t>
  </si>
  <si>
    <t>ITEM 9,3 Suministro e instalación de Correas de cubierta en Perfil de 3" x 1 1/2" Cal. 16</t>
  </si>
  <si>
    <t>ITEM 9,2 Impermeabilizacion de Placa de Viga Canal, Incluye Mortero de Nivelacion</t>
  </si>
  <si>
    <t xml:space="preserve">ITEM 9,1 Suministro e instalación de cubierta arquitectonica </t>
  </si>
  <si>
    <t>ITEM 10,1 Suministro e instalación de puertas Exteriores en Aluminio TIPO 762</t>
  </si>
  <si>
    <t>Suministro e instalación de puertas Exteriores en Aluminio TIPO 762</t>
  </si>
  <si>
    <t>10,1 Suministro e instalación de puertas Exteriores en Aluminio TIPO 762</t>
  </si>
  <si>
    <t xml:space="preserve">10,2 Suministro e instalación de puertas en Aluminio </t>
  </si>
  <si>
    <t>ITEM 10,2 Suministro e instalación de puertas en Aluminio</t>
  </si>
  <si>
    <t xml:space="preserve">ITEM 10,3 Suministro e instalación de Ventanas en Aluminio </t>
  </si>
  <si>
    <t>ITEM 10,5 Suministro e Instalacion de Porton para acceso Posterior</t>
  </si>
  <si>
    <t>ITEM 10,4 Suministro e instalación de Ventanas en Vidrio de seguridad 12mm</t>
  </si>
  <si>
    <t>Suministro e instalación de Ventanas en Vidrio de seguridad 12mm</t>
  </si>
  <si>
    <t xml:space="preserve">10,3 Suministro e instalación de Ventanas en Aluminio </t>
  </si>
  <si>
    <t>10,5  Suministro e Instalacion de Porton para acceso Administracion</t>
  </si>
  <si>
    <t>PORTON ACCESO POSTERIOR</t>
  </si>
  <si>
    <t>10,4  Suministro e instalación de Ventanas en Vidrio de seguridad 12mm</t>
  </si>
  <si>
    <t>VENTANA SEGURIDAD</t>
  </si>
  <si>
    <t>INTERVENTORIA 6,5%</t>
  </si>
  <si>
    <t>ALCALDIA MUNICIPAL DE PINILLOS</t>
  </si>
  <si>
    <t>COSTO TOTAL OBRA CIVIL</t>
  </si>
  <si>
    <t>Vigilante Nocturno</t>
  </si>
  <si>
    <t>HERRAMIENTA Y EQUIPOS - AJUSTADOS A 2023</t>
  </si>
  <si>
    <t>Cronograma de Actividasdes y Flujos de Inversion</t>
  </si>
  <si>
    <t xml:space="preserve">PROYECTO: CONSTRUCCION DEL PUESTO DE SALUD DEL CORREGIMIENTO DE ARMENIA, ZONA RURAL DEL MUNICIPIO DE PINILLOS, DEPARTAMENTO DE BOLIVAR   </t>
  </si>
  <si>
    <t>VALOR TOTAL COSTO INTERVENTORIA TECNICA 6,5%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</si>
</sst>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7">
    <numFmt numFmtId="42" formatCode="_-&quot;$&quot;* #,##0_-;\-&quot;$&quot;* #,##0_-;_-&quot;$&quot;* &quot;-&quot;_-;_-@_-"/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\ &quot;€&quot;;\-#,##0\ &quot;€&quot;"/>
    <numFmt numFmtId="169" formatCode="#,##0.00\ &quot;€&quot;;\-#,##0.00\ &quot;€&quot;"/>
    <numFmt numFmtId="170" formatCode="_ * #,##0.00_ ;_ * \-#,##0.00_ ;_ * &quot;-&quot;??_ ;_ @_ "/>
    <numFmt numFmtId="171" formatCode="_ &quot;$&quot;\ * #,##0.00_ ;_ &quot;$&quot;\ * \-#,##0.00_ ;_ &quot;$&quot;\ * &quot;-&quot;??_ ;_ @_ "/>
    <numFmt numFmtId="172" formatCode="#,##0.000"/>
    <numFmt numFmtId="173" formatCode="#,##0.0"/>
    <numFmt numFmtId="174" formatCode="&quot;$&quot;\ #,##0.00"/>
    <numFmt numFmtId="175" formatCode="_-* #,##0.00\ [$€]_-;\-* #,##0.00\ [$€]_-;_-* &quot;-&quot;??\ [$€]_-;_-@_-"/>
    <numFmt numFmtId="176" formatCode="_-[$$-240A]\ * #,##0.00_ ;_-[$$-240A]\ * \-#,##0.00\ ;_-[$$-240A]\ * &quot;-&quot;??_ ;_-@_ "/>
    <numFmt numFmtId="177" formatCode="_(&quot;$&quot;\ * #,##0.000000000000_);_(&quot;$&quot;\ * \(#,##0.000000000000\);_(&quot;$&quot;\ * &quot;-&quot;??_);_(@_)"/>
    <numFmt numFmtId="178" formatCode="_ * #,##0.00000000000000000_ ;_ * \-#,##0.00000000000000000_ ;_ * &quot;-&quot;??_ ;_ @_ "/>
    <numFmt numFmtId="179" formatCode="_([$$-240A]\ * #,##0.00_);_([$$-240A]\ * \(#,##0.00\);_([$$-240A]\ * &quot;-&quot;??_);_(@_)"/>
    <numFmt numFmtId="180" formatCode="_(&quot;$&quot;\ * #,##0.0_);_(&quot;$&quot;\ * \(#,##0.0\);_(&quot;$&quot;\ * &quot;-&quot;????????????_);_(@_)"/>
    <numFmt numFmtId="181" formatCode="_-[$$-240A]\ * #,##0.0000_ ;_-[$$-240A]\ * \-#,##0.0000\ ;_-[$$-240A]\ * &quot;-&quot;??_ ;_-@_ "/>
    <numFmt numFmtId="182" formatCode="_(* #,##0.000_);_(* \(#,##0.000\);_(* &quot;-&quot;??_);_(@_)"/>
    <numFmt numFmtId="183" formatCode="0.0"/>
    <numFmt numFmtId="184" formatCode="#,##0.0000"/>
    <numFmt numFmtId="185" formatCode="_(&quot;$&quot;* #.##0.00_);_(&quot;$&quot;* \(#.##0.00\);_(&quot;$&quot;* &quot;-&quot;??_);_(@_)"/>
    <numFmt numFmtId="186" formatCode="_(&quot;$&quot;* #,##0.00_);_(&quot;$&quot;* \(#,##0.00\);_(&quot;$&quot;* &quot;-&quot;??_);_(@_)"/>
    <numFmt numFmtId="187" formatCode="_-* #,##0.00\ &quot;€&quot;_-;\-* #,##0.00\ &quot;€&quot;_-;_-* &quot;-&quot;??\ &quot;€&quot;_-;_-@_-"/>
  </numFmts>
  <fonts count="6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name val="Arial Narrow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12"/>
      <color indexed="8"/>
      <name val="Arial Narrow"/>
      <family val="2"/>
    </font>
    <font>
      <b/>
      <sz val="14"/>
      <name val="Arial"/>
      <family val="2"/>
    </font>
    <font>
      <b/>
      <sz val="11"/>
      <name val="Arial"/>
      <family val="2"/>
    </font>
    <font>
      <sz val="12"/>
      <name val="Times New Roman"/>
      <family val="1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8"/>
      <name val="Candara"/>
      <family val="2"/>
    </font>
    <font>
      <b/>
      <sz val="12"/>
      <name val="Candara"/>
      <family val="2"/>
    </font>
    <font>
      <sz val="11"/>
      <color theme="1"/>
      <name val="Candara"/>
      <family val="2"/>
    </font>
    <font>
      <b/>
      <sz val="10"/>
      <name val="Candara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b/>
      <sz val="9"/>
      <name val="Arial Narrow"/>
      <family val="2"/>
    </font>
    <font>
      <sz val="12"/>
      <name val="Arial Narrow"/>
      <family val="2"/>
    </font>
    <font>
      <b/>
      <sz val="10"/>
      <color theme="1"/>
      <name val="Arial Narrow"/>
      <family val="2"/>
    </font>
    <font>
      <sz val="11"/>
      <name val="Arial Narrow"/>
      <family val="2"/>
    </font>
    <font>
      <sz val="8"/>
      <color theme="1"/>
      <name val="Arial Narrow"/>
      <family val="2"/>
    </font>
    <font>
      <b/>
      <u/>
      <sz val="10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sz val="11"/>
      <name val="Arial"/>
      <family val="2"/>
    </font>
    <font>
      <b/>
      <sz val="9"/>
      <color theme="1"/>
      <name val="Arial Narrow"/>
      <family val="2"/>
    </font>
    <font>
      <sz val="11"/>
      <name val="Candara"/>
      <family val="2"/>
    </font>
    <font>
      <b/>
      <u/>
      <sz val="9"/>
      <name val="Arial"/>
      <family val="2"/>
    </font>
    <font>
      <b/>
      <sz val="11"/>
      <name val="Candara"/>
      <family val="2"/>
    </font>
    <font>
      <b/>
      <sz val="8"/>
      <color theme="1"/>
      <name val="Arial Narrow"/>
      <family val="2"/>
    </font>
    <font>
      <b/>
      <sz val="9"/>
      <color rgb="FFC00000"/>
      <name val="Arial"/>
      <family val="2"/>
    </font>
    <font>
      <sz val="10"/>
      <name val="Arial"/>
      <family val="2"/>
    </font>
    <font>
      <sz val="9"/>
      <color theme="1"/>
      <name val="Tahoma"/>
      <family val="2"/>
    </font>
    <font>
      <b/>
      <sz val="9"/>
      <color theme="1"/>
      <name val="Tahoma"/>
      <family val="2"/>
    </font>
    <font>
      <b/>
      <sz val="8"/>
      <color theme="1"/>
      <name val="Tahoma"/>
      <family val="2"/>
    </font>
    <font>
      <sz val="8"/>
      <color theme="1"/>
      <name val="Tahoma"/>
      <family val="2"/>
    </font>
    <font>
      <sz val="12"/>
      <name val="Arial"/>
      <family val="2"/>
    </font>
    <font>
      <sz val="9"/>
      <color theme="1"/>
      <name val="Arial Narrow"/>
      <family val="2"/>
    </font>
    <font>
      <b/>
      <sz val="11"/>
      <color indexed="8"/>
      <name val="Arial Narrow"/>
      <family val="2"/>
    </font>
    <font>
      <b/>
      <sz val="11"/>
      <color rgb="FFC00000"/>
      <name val="Arial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sz val="10"/>
      <color rgb="FF000000"/>
      <name val="Tahoma"/>
      <family val="2"/>
    </font>
    <font>
      <sz val="10"/>
      <color theme="1"/>
      <name val="Tahoma"/>
      <family val="2"/>
    </font>
    <font>
      <b/>
      <sz val="12"/>
      <name val="Arial"/>
      <family val="2"/>
    </font>
    <font>
      <b/>
      <sz val="8"/>
      <name val="Arial Narrow"/>
      <family val="2"/>
    </font>
    <font>
      <sz val="10"/>
      <color rgb="FFC00000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0"/>
      <color rgb="FFC0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0E46E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170" fontId="5" fillId="0" borderId="0" applyFont="0" applyFill="0" applyBorder="0" applyAlignment="0" applyProtection="0"/>
    <xf numFmtId="0" fontId="9" fillId="0" borderId="0"/>
    <xf numFmtId="168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0" fontId="5" fillId="0" borderId="0"/>
    <xf numFmtId="0" fontId="5" fillId="0" borderId="0"/>
    <xf numFmtId="0" fontId="2" fillId="0" borderId="0"/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5" fillId="0" borderId="0">
      <alignment wrapText="1"/>
    </xf>
    <xf numFmtId="0" fontId="5" fillId="0" borderId="0"/>
    <xf numFmtId="0" fontId="1" fillId="0" borderId="0"/>
    <xf numFmtId="9" fontId="1" fillId="0" borderId="0" applyFont="0" applyFill="0" applyBorder="0" applyAlignment="0" applyProtection="0"/>
    <xf numFmtId="186" fontId="5" fillId="0" borderId="0">
      <alignment wrapText="1"/>
    </xf>
    <xf numFmtId="0" fontId="5" fillId="0" borderId="0">
      <alignment wrapText="1"/>
    </xf>
    <xf numFmtId="0" fontId="1" fillId="0" borderId="0"/>
    <xf numFmtId="0" fontId="1" fillId="0" borderId="0"/>
    <xf numFmtId="0" fontId="5" fillId="0" borderId="0"/>
    <xf numFmtId="187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</cellStyleXfs>
  <cellXfs count="762">
    <xf numFmtId="0" fontId="0" fillId="0" borderId="0" xfId="0"/>
    <xf numFmtId="0" fontId="13" fillId="0" borderId="0" xfId="0" applyFont="1"/>
    <xf numFmtId="173" fontId="13" fillId="0" borderId="4" xfId="0" applyNumberFormat="1" applyFont="1" applyBorder="1" applyAlignment="1">
      <alignment horizontal="center"/>
    </xf>
    <xf numFmtId="3" fontId="13" fillId="0" borderId="4" xfId="0" applyNumberFormat="1" applyFont="1" applyBorder="1" applyAlignment="1">
      <alignment horizontal="center"/>
    </xf>
    <xf numFmtId="0" fontId="13" fillId="0" borderId="6" xfId="0" applyFont="1" applyBorder="1"/>
    <xf numFmtId="3" fontId="13" fillId="0" borderId="16" xfId="0" applyNumberFormat="1" applyFont="1" applyBorder="1" applyAlignment="1">
      <alignment horizontal="center"/>
    </xf>
    <xf numFmtId="0" fontId="13" fillId="0" borderId="15" xfId="0" applyFont="1" applyBorder="1"/>
    <xf numFmtId="0" fontId="10" fillId="0" borderId="0" xfId="0" applyFont="1"/>
    <xf numFmtId="170" fontId="10" fillId="0" borderId="4" xfId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5" fillId="0" borderId="0" xfId="0" applyFont="1"/>
    <xf numFmtId="0" fontId="8" fillId="0" borderId="0" xfId="0" applyFont="1"/>
    <xf numFmtId="170" fontId="0" fillId="0" borderId="0" xfId="1" applyFont="1" applyFill="1"/>
    <xf numFmtId="170" fontId="0" fillId="0" borderId="0" xfId="1" applyFont="1"/>
    <xf numFmtId="0" fontId="14" fillId="0" borderId="0" xfId="0" applyFont="1" applyAlignment="1">
      <alignment horizontal="centerContinuous"/>
    </xf>
    <xf numFmtId="0" fontId="13" fillId="0" borderId="0" xfId="0" applyFont="1" applyAlignment="1">
      <alignment horizontal="centerContinuous"/>
    </xf>
    <xf numFmtId="0" fontId="8" fillId="0" borderId="13" xfId="0" applyFont="1" applyBorder="1" applyAlignment="1">
      <alignment horizontal="center" vertical="center"/>
    </xf>
    <xf numFmtId="0" fontId="14" fillId="0" borderId="0" xfId="0" applyFont="1"/>
    <xf numFmtId="0" fontId="13" fillId="0" borderId="33" xfId="0" quotePrefix="1" applyFont="1" applyBorder="1" applyAlignment="1">
      <alignment horizontal="center"/>
    </xf>
    <xf numFmtId="4" fontId="13" fillId="0" borderId="4" xfId="0" applyNumberFormat="1" applyFont="1" applyBorder="1"/>
    <xf numFmtId="3" fontId="13" fillId="0" borderId="12" xfId="0" applyNumberFormat="1" applyFont="1" applyBorder="1" applyAlignment="1">
      <alignment horizontal="center"/>
    </xf>
    <xf numFmtId="3" fontId="13" fillId="0" borderId="12" xfId="0" applyNumberFormat="1" applyFont="1" applyBorder="1"/>
    <xf numFmtId="4" fontId="13" fillId="0" borderId="12" xfId="0" applyNumberFormat="1" applyFont="1" applyBorder="1"/>
    <xf numFmtId="0" fontId="13" fillId="0" borderId="7" xfId="0" applyFont="1" applyBorder="1"/>
    <xf numFmtId="0" fontId="13" fillId="0" borderId="17" xfId="0" applyFont="1" applyBorder="1"/>
    <xf numFmtId="0" fontId="13" fillId="0" borderId="20" xfId="0" applyFont="1" applyBorder="1"/>
    <xf numFmtId="0" fontId="13" fillId="0" borderId="43" xfId="0" applyFont="1" applyBorder="1"/>
    <xf numFmtId="0" fontId="8" fillId="0" borderId="20" xfId="0" applyFont="1" applyBorder="1"/>
    <xf numFmtId="0" fontId="13" fillId="0" borderId="34" xfId="0" applyFont="1" applyBorder="1"/>
    <xf numFmtId="0" fontId="13" fillId="0" borderId="29" xfId="0" applyFont="1" applyBorder="1"/>
    <xf numFmtId="0" fontId="13" fillId="0" borderId="2" xfId="0" applyFont="1" applyBorder="1" applyAlignment="1">
      <alignment horizontal="center"/>
    </xf>
    <xf numFmtId="174" fontId="13" fillId="0" borderId="4" xfId="4" applyNumberFormat="1" applyFont="1" applyFill="1" applyBorder="1"/>
    <xf numFmtId="0" fontId="13" fillId="0" borderId="36" xfId="0" applyFont="1" applyBorder="1"/>
    <xf numFmtId="0" fontId="13" fillId="0" borderId="37" xfId="0" applyFont="1" applyBorder="1"/>
    <xf numFmtId="0" fontId="8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170" fontId="14" fillId="0" borderId="0" xfId="0" applyNumberFormat="1" applyFont="1"/>
    <xf numFmtId="0" fontId="8" fillId="0" borderId="0" xfId="0" applyFont="1" applyAlignment="1">
      <alignment horizontal="left"/>
    </xf>
    <xf numFmtId="170" fontId="8" fillId="0" borderId="0" xfId="0" applyNumberFormat="1" applyFont="1"/>
    <xf numFmtId="170" fontId="0" fillId="0" borderId="0" xfId="0" applyNumberFormat="1"/>
    <xf numFmtId="0" fontId="13" fillId="0" borderId="41" xfId="0" applyFont="1" applyBorder="1"/>
    <xf numFmtId="0" fontId="13" fillId="0" borderId="42" xfId="0" applyFont="1" applyBorder="1"/>
    <xf numFmtId="3" fontId="13" fillId="0" borderId="4" xfId="0" applyNumberFormat="1" applyFont="1" applyBorder="1"/>
    <xf numFmtId="3" fontId="13" fillId="0" borderId="16" xfId="0" applyNumberFormat="1" applyFont="1" applyBorder="1"/>
    <xf numFmtId="4" fontId="13" fillId="0" borderId="40" xfId="0" applyNumberFormat="1" applyFont="1" applyBorder="1"/>
    <xf numFmtId="0" fontId="13" fillId="0" borderId="18" xfId="0" applyFont="1" applyBorder="1"/>
    <xf numFmtId="4" fontId="13" fillId="0" borderId="19" xfId="0" applyNumberFormat="1" applyFont="1" applyBorder="1"/>
    <xf numFmtId="172" fontId="13" fillId="0" borderId="4" xfId="0" applyNumberFormat="1" applyFont="1" applyBorder="1"/>
    <xf numFmtId="0" fontId="13" fillId="0" borderId="31" xfId="0" applyFont="1" applyBorder="1"/>
    <xf numFmtId="0" fontId="13" fillId="0" borderId="33" xfId="0" applyFont="1" applyBorder="1"/>
    <xf numFmtId="0" fontId="13" fillId="0" borderId="4" xfId="0" applyFont="1" applyBorder="1" applyAlignment="1">
      <alignment horizontal="center"/>
    </xf>
    <xf numFmtId="0" fontId="13" fillId="0" borderId="38" xfId="0" applyFont="1" applyBorder="1"/>
    <xf numFmtId="4" fontId="13" fillId="0" borderId="10" xfId="0" applyNumberFormat="1" applyFont="1" applyBorder="1"/>
    <xf numFmtId="4" fontId="13" fillId="0" borderId="14" xfId="0" applyNumberFormat="1" applyFont="1" applyBorder="1"/>
    <xf numFmtId="4" fontId="8" fillId="0" borderId="0" xfId="0" applyNumberFormat="1" applyFont="1"/>
    <xf numFmtId="4" fontId="13" fillId="0" borderId="4" xfId="0" applyNumberFormat="1" applyFont="1" applyBorder="1" applyAlignment="1">
      <alignment horizontal="right"/>
    </xf>
    <xf numFmtId="0" fontId="13" fillId="0" borderId="44" xfId="0" applyFont="1" applyBorder="1" applyAlignment="1">
      <alignment horizontal="center"/>
    </xf>
    <xf numFmtId="4" fontId="13" fillId="0" borderId="4" xfId="0" applyNumberFormat="1" applyFont="1" applyBorder="1" applyAlignment="1">
      <alignment horizontal="center"/>
    </xf>
    <xf numFmtId="0" fontId="13" fillId="0" borderId="0" xfId="0" applyFont="1" applyAlignment="1">
      <alignment horizontal="center"/>
    </xf>
    <xf numFmtId="171" fontId="8" fillId="0" borderId="0" xfId="5" applyNumberFormat="1" applyFont="1" applyFill="1" applyBorder="1"/>
    <xf numFmtId="0" fontId="8" fillId="0" borderId="0" xfId="0" applyFont="1" applyAlignment="1">
      <alignment wrapText="1"/>
    </xf>
    <xf numFmtId="0" fontId="8" fillId="0" borderId="11" xfId="0" applyFont="1" applyBorder="1" applyAlignment="1">
      <alignment horizontal="center" vertical="center"/>
    </xf>
    <xf numFmtId="4" fontId="13" fillId="0" borderId="16" xfId="0" applyNumberFormat="1" applyFont="1" applyBorder="1"/>
    <xf numFmtId="0" fontId="13" fillId="0" borderId="35" xfId="0" applyFont="1" applyBorder="1"/>
    <xf numFmtId="0" fontId="13" fillId="0" borderId="16" xfId="0" applyFont="1" applyBorder="1" applyAlignment="1">
      <alignment horizontal="center"/>
    </xf>
    <xf numFmtId="173" fontId="13" fillId="0" borderId="16" xfId="0" applyNumberFormat="1" applyFont="1" applyBorder="1" applyAlignment="1">
      <alignment horizontal="center"/>
    </xf>
    <xf numFmtId="4" fontId="13" fillId="0" borderId="39" xfId="0" applyNumberFormat="1" applyFont="1" applyBorder="1" applyAlignment="1">
      <alignment horizontal="center"/>
    </xf>
    <xf numFmtId="170" fontId="10" fillId="0" borderId="4" xfId="1" applyFont="1" applyFill="1" applyBorder="1" applyAlignment="1">
      <alignment horizontal="center"/>
    </xf>
    <xf numFmtId="170" fontId="0" fillId="0" borderId="0" xfId="1" applyFont="1" applyBorder="1"/>
    <xf numFmtId="4" fontId="13" fillId="2" borderId="12" xfId="0" applyNumberFormat="1" applyFont="1" applyFill="1" applyBorder="1"/>
    <xf numFmtId="4" fontId="13" fillId="2" borderId="16" xfId="0" applyNumberFormat="1" applyFont="1" applyFill="1" applyBorder="1"/>
    <xf numFmtId="3" fontId="13" fillId="2" borderId="4" xfId="0" applyNumberFormat="1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4" fontId="13" fillId="2" borderId="4" xfId="0" applyNumberFormat="1" applyFont="1" applyFill="1" applyBorder="1"/>
    <xf numFmtId="0" fontId="13" fillId="2" borderId="6" xfId="0" applyFont="1" applyFill="1" applyBorder="1"/>
    <xf numFmtId="0" fontId="13" fillId="2" borderId="7" xfId="0" applyFont="1" applyFill="1" applyBorder="1"/>
    <xf numFmtId="0" fontId="21" fillId="0" borderId="0" xfId="0" applyFont="1" applyAlignment="1">
      <alignment horizontal="center" vertical="center"/>
    </xf>
    <xf numFmtId="0" fontId="23" fillId="0" borderId="0" xfId="0" applyFont="1"/>
    <xf numFmtId="0" fontId="23" fillId="0" borderId="0" xfId="0" applyFont="1" applyAlignment="1">
      <alignment horizontal="center"/>
    </xf>
    <xf numFmtId="177" fontId="0" fillId="0" borderId="0" xfId="0" applyNumberFormat="1"/>
    <xf numFmtId="0" fontId="13" fillId="0" borderId="32" xfId="0" applyFont="1" applyBorder="1"/>
    <xf numFmtId="4" fontId="13" fillId="0" borderId="13" xfId="0" applyNumberFormat="1" applyFont="1" applyBorder="1"/>
    <xf numFmtId="9" fontId="13" fillId="0" borderId="4" xfId="9" applyFont="1" applyFill="1" applyBorder="1" applyAlignment="1">
      <alignment horizontal="center"/>
    </xf>
    <xf numFmtId="0" fontId="24" fillId="0" borderId="0" xfId="0" applyFont="1"/>
    <xf numFmtId="0" fontId="26" fillId="0" borderId="0" xfId="0" applyFont="1"/>
    <xf numFmtId="0" fontId="27" fillId="0" borderId="0" xfId="0" applyFont="1" applyAlignment="1">
      <alignment wrapText="1"/>
    </xf>
    <xf numFmtId="0" fontId="8" fillId="0" borderId="0" xfId="0" applyFont="1" applyAlignment="1">
      <alignment horizontal="center" vertical="center"/>
    </xf>
    <xf numFmtId="170" fontId="13" fillId="0" borderId="4" xfId="6" applyNumberFormat="1" applyFont="1" applyBorder="1"/>
    <xf numFmtId="0" fontId="28" fillId="0" borderId="42" xfId="0" applyFont="1" applyBorder="1"/>
    <xf numFmtId="178" fontId="0" fillId="0" borderId="0" xfId="0" applyNumberFormat="1"/>
    <xf numFmtId="0" fontId="13" fillId="0" borderId="2" xfId="0" applyFont="1" applyBorder="1"/>
    <xf numFmtId="0" fontId="13" fillId="0" borderId="12" xfId="0" applyFont="1" applyBorder="1"/>
    <xf numFmtId="173" fontId="13" fillId="0" borderId="12" xfId="0" applyNumberFormat="1" applyFont="1" applyBorder="1"/>
    <xf numFmtId="172" fontId="13" fillId="2" borderId="16" xfId="0" applyNumberFormat="1" applyFont="1" applyFill="1" applyBorder="1"/>
    <xf numFmtId="179" fontId="0" fillId="0" borderId="0" xfId="0" applyNumberFormat="1"/>
    <xf numFmtId="0" fontId="22" fillId="0" borderId="0" xfId="0" applyFont="1"/>
    <xf numFmtId="180" fontId="23" fillId="0" borderId="0" xfId="0" applyNumberFormat="1" applyFont="1"/>
    <xf numFmtId="181" fontId="22" fillId="0" borderId="0" xfId="0" applyNumberFormat="1" applyFont="1" applyAlignment="1">
      <alignment vertical="center"/>
    </xf>
    <xf numFmtId="3" fontId="13" fillId="2" borderId="12" xfId="0" applyNumberFormat="1" applyFont="1" applyFill="1" applyBorder="1"/>
    <xf numFmtId="166" fontId="0" fillId="0" borderId="0" xfId="0" applyNumberFormat="1"/>
    <xf numFmtId="0" fontId="13" fillId="0" borderId="26" xfId="0" applyFont="1" applyBorder="1"/>
    <xf numFmtId="0" fontId="13" fillId="0" borderId="12" xfId="0" applyFont="1" applyBorder="1" applyAlignment="1">
      <alignment horizontal="center"/>
    </xf>
    <xf numFmtId="173" fontId="13" fillId="0" borderId="12" xfId="0" applyNumberFormat="1" applyFont="1" applyBorder="1" applyAlignment="1">
      <alignment horizontal="center"/>
    </xf>
    <xf numFmtId="4" fontId="13" fillId="0" borderId="18" xfId="0" applyNumberFormat="1" applyFont="1" applyBorder="1"/>
    <xf numFmtId="174" fontId="13" fillId="0" borderId="12" xfId="4" applyNumberFormat="1" applyFont="1" applyFill="1" applyBorder="1"/>
    <xf numFmtId="0" fontId="13" fillId="0" borderId="22" xfId="0" applyFont="1" applyBorder="1"/>
    <xf numFmtId="0" fontId="13" fillId="0" borderId="21" xfId="0" applyFont="1" applyBorder="1"/>
    <xf numFmtId="9" fontId="13" fillId="0" borderId="12" xfId="9" applyFont="1" applyFill="1" applyBorder="1" applyAlignment="1">
      <alignment horizontal="center"/>
    </xf>
    <xf numFmtId="0" fontId="10" fillId="0" borderId="4" xfId="0" applyFont="1" applyBorder="1" applyAlignment="1">
      <alignment vertical="center"/>
    </xf>
    <xf numFmtId="0" fontId="0" fillId="0" borderId="0" xfId="0" applyAlignment="1">
      <alignment vertical="center"/>
    </xf>
    <xf numFmtId="176" fontId="22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21" fillId="0" borderId="0" xfId="0" applyFont="1"/>
    <xf numFmtId="0" fontId="21" fillId="0" borderId="0" xfId="12" applyFont="1"/>
    <xf numFmtId="0" fontId="37" fillId="0" borderId="0" xfId="12" applyFont="1"/>
    <xf numFmtId="0" fontId="21" fillId="0" borderId="45" xfId="12" applyFont="1" applyBorder="1"/>
    <xf numFmtId="0" fontId="35" fillId="3" borderId="39" xfId="12" applyFont="1" applyFill="1" applyBorder="1" applyAlignment="1">
      <alignment vertical="center" wrapText="1"/>
    </xf>
    <xf numFmtId="0" fontId="35" fillId="3" borderId="27" xfId="12" applyFont="1" applyFill="1" applyBorder="1" applyAlignment="1">
      <alignment vertical="center" wrapText="1"/>
    </xf>
    <xf numFmtId="0" fontId="35" fillId="3" borderId="35" xfId="12" applyFont="1" applyFill="1" applyBorder="1" applyAlignment="1">
      <alignment vertical="center" wrapText="1"/>
    </xf>
    <xf numFmtId="0" fontId="21" fillId="0" borderId="0" xfId="12" applyFont="1" applyAlignment="1">
      <alignment vertical="center"/>
    </xf>
    <xf numFmtId="0" fontId="35" fillId="3" borderId="46" xfId="12" applyFont="1" applyFill="1" applyBorder="1" applyAlignment="1">
      <alignment vertical="center" wrapText="1"/>
    </xf>
    <xf numFmtId="0" fontId="35" fillId="3" borderId="0" xfId="12" applyFont="1" applyFill="1" applyAlignment="1">
      <alignment vertical="center" wrapText="1"/>
    </xf>
    <xf numFmtId="0" fontId="35" fillId="3" borderId="45" xfId="12" applyFont="1" applyFill="1" applyBorder="1" applyAlignment="1">
      <alignment vertical="center" wrapText="1"/>
    </xf>
    <xf numFmtId="0" fontId="21" fillId="0" borderId="0" xfId="12" applyFont="1" applyAlignment="1">
      <alignment horizontal="center" vertical="center"/>
    </xf>
    <xf numFmtId="14" fontId="23" fillId="0" borderId="4" xfId="12" applyNumberFormat="1" applyFont="1" applyBorder="1" applyAlignment="1">
      <alignment horizontal="center" vertical="center"/>
    </xf>
    <xf numFmtId="0" fontId="22" fillId="0" borderId="4" xfId="12" applyFont="1" applyBorder="1" applyAlignment="1">
      <alignment horizontal="center" vertical="center"/>
    </xf>
    <xf numFmtId="0" fontId="35" fillId="3" borderId="47" xfId="12" applyFont="1" applyFill="1" applyBorder="1" applyAlignment="1">
      <alignment vertical="center" wrapText="1"/>
    </xf>
    <xf numFmtId="0" fontId="35" fillId="3" borderId="29" xfId="12" applyFont="1" applyFill="1" applyBorder="1" applyAlignment="1">
      <alignment vertical="center" wrapText="1"/>
    </xf>
    <xf numFmtId="0" fontId="35" fillId="3" borderId="48" xfId="12" applyFont="1" applyFill="1" applyBorder="1" applyAlignment="1">
      <alignment vertical="center" wrapText="1"/>
    </xf>
    <xf numFmtId="0" fontId="35" fillId="0" borderId="0" xfId="13" applyFont="1"/>
    <xf numFmtId="0" fontId="21" fillId="0" borderId="0" xfId="13" applyFont="1"/>
    <xf numFmtId="170" fontId="30" fillId="0" borderId="0" xfId="7" applyFont="1" applyFill="1" applyBorder="1"/>
    <xf numFmtId="0" fontId="30" fillId="0" borderId="0" xfId="14" applyFont="1"/>
    <xf numFmtId="0" fontId="38" fillId="0" borderId="0" xfId="13" applyFont="1" applyAlignment="1">
      <alignment horizontal="left" vertical="center"/>
    </xf>
    <xf numFmtId="0" fontId="35" fillId="0" borderId="0" xfId="13" applyFont="1" applyAlignment="1">
      <alignment wrapText="1"/>
    </xf>
    <xf numFmtId="167" fontId="22" fillId="0" borderId="4" xfId="1" applyNumberFormat="1" applyFont="1" applyFill="1" applyBorder="1" applyAlignment="1">
      <alignment horizontal="center" vertical="center"/>
    </xf>
    <xf numFmtId="182" fontId="22" fillId="0" borderId="4" xfId="1" applyNumberFormat="1" applyFont="1" applyBorder="1" applyAlignment="1">
      <alignment horizontal="center" vertical="center"/>
    </xf>
    <xf numFmtId="0" fontId="21" fillId="4" borderId="0" xfId="12" applyFont="1" applyFill="1"/>
    <xf numFmtId="0" fontId="8" fillId="0" borderId="51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14" fontId="21" fillId="0" borderId="4" xfId="12" applyNumberFormat="1" applyFont="1" applyBorder="1" applyAlignment="1">
      <alignment horizontal="center" vertical="center"/>
    </xf>
    <xf numFmtId="0" fontId="21" fillId="0" borderId="15" xfId="12" applyFont="1" applyBorder="1" applyAlignment="1">
      <alignment horizontal="center" vertical="center" wrapText="1"/>
    </xf>
    <xf numFmtId="0" fontId="39" fillId="0" borderId="0" xfId="0" applyFont="1"/>
    <xf numFmtId="0" fontId="39" fillId="0" borderId="0" xfId="0" applyFont="1" applyAlignment="1">
      <alignment horizontal="center"/>
    </xf>
    <xf numFmtId="0" fontId="40" fillId="0" borderId="0" xfId="0" applyFont="1"/>
    <xf numFmtId="0" fontId="40" fillId="0" borderId="0" xfId="0" applyFont="1" applyAlignment="1">
      <alignment horizontal="center"/>
    </xf>
    <xf numFmtId="0" fontId="40" fillId="0" borderId="0" xfId="12" applyFont="1"/>
    <xf numFmtId="0" fontId="8" fillId="0" borderId="0" xfId="0" applyFont="1" applyAlignment="1">
      <alignment horizontal="center"/>
    </xf>
    <xf numFmtId="0" fontId="36" fillId="0" borderId="0" xfId="0" applyFont="1"/>
    <xf numFmtId="170" fontId="41" fillId="0" borderId="0" xfId="15" applyFont="1"/>
    <xf numFmtId="0" fontId="41" fillId="0" borderId="0" xfId="0" applyFont="1" applyAlignment="1">
      <alignment horizontal="right" vertical="center"/>
    </xf>
    <xf numFmtId="0" fontId="41" fillId="0" borderId="0" xfId="0" applyFont="1"/>
    <xf numFmtId="0" fontId="32" fillId="0" borderId="0" xfId="0" applyFont="1"/>
    <xf numFmtId="9" fontId="13" fillId="0" borderId="0" xfId="0" applyNumberFormat="1" applyFont="1"/>
    <xf numFmtId="171" fontId="13" fillId="0" borderId="16" xfId="16" applyNumberFormat="1" applyFont="1" applyFill="1" applyBorder="1"/>
    <xf numFmtId="171" fontId="13" fillId="0" borderId="19" xfId="16" applyNumberFormat="1" applyFont="1" applyFill="1" applyBorder="1"/>
    <xf numFmtId="171" fontId="13" fillId="0" borderId="4" xfId="16" applyNumberFormat="1" applyFont="1" applyFill="1" applyBorder="1"/>
    <xf numFmtId="171" fontId="13" fillId="0" borderId="14" xfId="16" applyNumberFormat="1" applyFont="1" applyFill="1" applyBorder="1"/>
    <xf numFmtId="171" fontId="13" fillId="2" borderId="4" xfId="16" applyNumberFormat="1" applyFont="1" applyFill="1" applyBorder="1"/>
    <xf numFmtId="171" fontId="13" fillId="0" borderId="12" xfId="16" applyNumberFormat="1" applyFont="1" applyFill="1" applyBorder="1"/>
    <xf numFmtId="9" fontId="13" fillId="0" borderId="4" xfId="17" applyFont="1" applyFill="1" applyBorder="1" applyAlignment="1">
      <alignment horizontal="center"/>
    </xf>
    <xf numFmtId="171" fontId="13" fillId="0" borderId="10" xfId="16" applyNumberFormat="1" applyFont="1" applyFill="1" applyBorder="1"/>
    <xf numFmtId="171" fontId="19" fillId="9" borderId="19" xfId="16" applyNumberFormat="1" applyFont="1" applyFill="1" applyBorder="1"/>
    <xf numFmtId="171" fontId="8" fillId="0" borderId="0" xfId="16" applyNumberFormat="1" applyFont="1" applyFill="1" applyBorder="1"/>
    <xf numFmtId="171" fontId="13" fillId="0" borderId="0" xfId="16" applyNumberFormat="1" applyFont="1" applyFill="1" applyBorder="1"/>
    <xf numFmtId="171" fontId="13" fillId="0" borderId="0" xfId="16" applyNumberFormat="1" applyFont="1" applyFill="1" applyBorder="1" applyAlignment="1">
      <alignment horizontal="center"/>
    </xf>
    <xf numFmtId="171" fontId="0" fillId="0" borderId="0" xfId="0" applyNumberFormat="1"/>
    <xf numFmtId="170" fontId="0" fillId="0" borderId="0" xfId="1" applyFont="1" applyFill="1" applyBorder="1"/>
    <xf numFmtId="0" fontId="10" fillId="0" borderId="5" xfId="0" applyFont="1" applyBorder="1" applyAlignment="1">
      <alignment horizontal="center"/>
    </xf>
    <xf numFmtId="171" fontId="13" fillId="0" borderId="18" xfId="16" applyNumberFormat="1" applyFont="1" applyFill="1" applyBorder="1"/>
    <xf numFmtId="0" fontId="38" fillId="0" borderId="0" xfId="13" applyFont="1" applyAlignment="1">
      <alignment horizontal="left"/>
    </xf>
    <xf numFmtId="167" fontId="0" fillId="0" borderId="0" xfId="0" applyNumberFormat="1"/>
    <xf numFmtId="171" fontId="13" fillId="0" borderId="4" xfId="16" applyNumberFormat="1" applyFont="1" applyBorder="1"/>
    <xf numFmtId="171" fontId="13" fillId="0" borderId="14" xfId="16" applyNumberFormat="1" applyFont="1" applyBorder="1"/>
    <xf numFmtId="172" fontId="13" fillId="0" borderId="16" xfId="0" applyNumberFormat="1" applyFont="1" applyBorder="1"/>
    <xf numFmtId="171" fontId="13" fillId="0" borderId="39" xfId="16" applyNumberFormat="1" applyFont="1" applyBorder="1"/>
    <xf numFmtId="171" fontId="13" fillId="0" borderId="12" xfId="16" applyNumberFormat="1" applyFont="1" applyBorder="1"/>
    <xf numFmtId="171" fontId="13" fillId="0" borderId="40" xfId="16" applyNumberFormat="1" applyFont="1" applyBorder="1"/>
    <xf numFmtId="171" fontId="13" fillId="0" borderId="39" xfId="16" applyNumberFormat="1" applyFont="1" applyFill="1" applyBorder="1"/>
    <xf numFmtId="171" fontId="5" fillId="0" borderId="0" xfId="16" applyNumberFormat="1" applyFont="1" applyFill="1" applyAlignment="1">
      <alignment horizontal="centerContinuous"/>
    </xf>
    <xf numFmtId="166" fontId="13" fillId="0" borderId="4" xfId="16" applyFont="1" applyBorder="1"/>
    <xf numFmtId="0" fontId="8" fillId="0" borderId="11" xfId="0" applyFont="1" applyBorder="1"/>
    <xf numFmtId="4" fontId="13" fillId="0" borderId="39" xfId="0" applyNumberFormat="1" applyFont="1" applyBorder="1"/>
    <xf numFmtId="171" fontId="13" fillId="0" borderId="42" xfId="16" applyNumberFormat="1" applyFont="1" applyFill="1" applyBorder="1"/>
    <xf numFmtId="171" fontId="19" fillId="0" borderId="0" xfId="16" applyNumberFormat="1" applyFont="1" applyFill="1" applyBorder="1" applyAlignment="1">
      <alignment horizontal="center" vertical="center"/>
    </xf>
    <xf numFmtId="171" fontId="14" fillId="0" borderId="0" xfId="16" applyNumberFormat="1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6" fillId="0" borderId="0" xfId="0" applyFont="1" applyAlignment="1" applyProtection="1">
      <alignment horizontal="left" vertical="center" wrapText="1"/>
      <protection locked="0"/>
    </xf>
    <xf numFmtId="0" fontId="15" fillId="0" borderId="0" xfId="0" applyFont="1" applyAlignment="1">
      <alignment horizontal="left" wrapText="1"/>
    </xf>
    <xf numFmtId="170" fontId="10" fillId="0" borderId="0" xfId="1" applyFont="1" applyFill="1" applyBorder="1"/>
    <xf numFmtId="170" fontId="15" fillId="0" borderId="0" xfId="1" applyFont="1" applyFill="1" applyBorder="1"/>
    <xf numFmtId="0" fontId="44" fillId="0" borderId="0" xfId="0" applyFont="1" applyAlignment="1">
      <alignment horizontal="left" wrapText="1"/>
    </xf>
    <xf numFmtId="0" fontId="34" fillId="0" borderId="0" xfId="0" applyFont="1" applyAlignment="1">
      <alignment vertical="center"/>
    </xf>
    <xf numFmtId="176" fontId="21" fillId="0" borderId="0" xfId="0" applyNumberFormat="1" applyFont="1" applyAlignment="1">
      <alignment vertical="center"/>
    </xf>
    <xf numFmtId="0" fontId="13" fillId="0" borderId="32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9" fontId="13" fillId="0" borderId="12" xfId="17" applyFont="1" applyFill="1" applyBorder="1" applyAlignment="1">
      <alignment horizontal="center"/>
    </xf>
    <xf numFmtId="171" fontId="13" fillId="0" borderId="13" xfId="16" applyNumberFormat="1" applyFont="1" applyFill="1" applyBorder="1"/>
    <xf numFmtId="4" fontId="13" fillId="0" borderId="12" xfId="0" applyNumberFormat="1" applyFont="1" applyBorder="1" applyAlignment="1">
      <alignment horizontal="center"/>
    </xf>
    <xf numFmtId="166" fontId="13" fillId="0" borderId="4" xfId="16" applyFont="1" applyBorder="1" applyAlignment="1">
      <alignment horizontal="center" vertical="center"/>
    </xf>
    <xf numFmtId="170" fontId="13" fillId="0" borderId="4" xfId="1" applyFont="1" applyBorder="1" applyAlignment="1">
      <alignment horizontal="center" vertical="center"/>
    </xf>
    <xf numFmtId="167" fontId="22" fillId="0" borderId="4" xfId="1" applyNumberFormat="1" applyFont="1" applyBorder="1" applyAlignment="1">
      <alignment vertical="center"/>
    </xf>
    <xf numFmtId="167" fontId="21" fillId="0" borderId="0" xfId="12" applyNumberFormat="1" applyFont="1"/>
    <xf numFmtId="171" fontId="13" fillId="0" borderId="41" xfId="16" applyNumberFormat="1" applyFont="1" applyFill="1" applyBorder="1"/>
    <xf numFmtId="171" fontId="13" fillId="0" borderId="40" xfId="16" applyNumberFormat="1" applyFont="1" applyFill="1" applyBorder="1"/>
    <xf numFmtId="171" fontId="14" fillId="0" borderId="0" xfId="16" applyNumberFormat="1" applyFont="1" applyFill="1" applyAlignment="1">
      <alignment horizontal="center"/>
    </xf>
    <xf numFmtId="171" fontId="13" fillId="0" borderId="0" xfId="16" applyNumberFormat="1" applyFont="1" applyFill="1"/>
    <xf numFmtId="171" fontId="13" fillId="0" borderId="32" xfId="16" applyNumberFormat="1" applyFont="1" applyFill="1" applyBorder="1" applyAlignment="1">
      <alignment horizontal="center"/>
    </xf>
    <xf numFmtId="171" fontId="13" fillId="0" borderId="44" xfId="16" applyNumberFormat="1" applyFont="1" applyFill="1" applyBorder="1" applyAlignment="1">
      <alignment horizontal="center"/>
    </xf>
    <xf numFmtId="171" fontId="13" fillId="0" borderId="20" xfId="16" applyNumberFormat="1" applyFont="1" applyFill="1" applyBorder="1"/>
    <xf numFmtId="171" fontId="13" fillId="0" borderId="0" xfId="16" applyNumberFormat="1" applyFont="1" applyFill="1" applyAlignment="1">
      <alignment horizontal="center"/>
    </xf>
    <xf numFmtId="171" fontId="13" fillId="2" borderId="14" xfId="16" applyNumberFormat="1" applyFont="1" applyFill="1" applyBorder="1"/>
    <xf numFmtId="171" fontId="19" fillId="12" borderId="19" xfId="16" applyNumberFormat="1" applyFont="1" applyFill="1" applyBorder="1"/>
    <xf numFmtId="4" fontId="0" fillId="0" borderId="0" xfId="0" applyNumberFormat="1"/>
    <xf numFmtId="166" fontId="47" fillId="0" borderId="10" xfId="5" applyFont="1" applyFill="1" applyBorder="1" applyAlignment="1"/>
    <xf numFmtId="0" fontId="0" fillId="0" borderId="0" xfId="0" applyAlignment="1">
      <alignment horizontal="right"/>
    </xf>
    <xf numFmtId="176" fontId="22" fillId="0" borderId="3" xfId="0" applyNumberFormat="1" applyFont="1" applyBorder="1"/>
    <xf numFmtId="176" fontId="22" fillId="0" borderId="10" xfId="0" applyNumberFormat="1" applyFont="1" applyBorder="1"/>
    <xf numFmtId="176" fontId="21" fillId="0" borderId="10" xfId="0" applyNumberFormat="1" applyFont="1" applyBorder="1"/>
    <xf numFmtId="176" fontId="22" fillId="13" borderId="10" xfId="0" applyNumberFormat="1" applyFont="1" applyFill="1" applyBorder="1"/>
    <xf numFmtId="167" fontId="0" fillId="0" borderId="0" xfId="0" applyNumberFormat="1" applyAlignment="1">
      <alignment horizontal="right"/>
    </xf>
    <xf numFmtId="170" fontId="0" fillId="0" borderId="0" xfId="1" applyFont="1" applyAlignment="1"/>
    <xf numFmtId="170" fontId="0" fillId="0" borderId="0" xfId="1" applyFont="1" applyBorder="1" applyAlignment="1"/>
    <xf numFmtId="0" fontId="49" fillId="0" borderId="0" xfId="0" applyFont="1"/>
    <xf numFmtId="167" fontId="23" fillId="0" borderId="0" xfId="0" applyNumberFormat="1" applyFont="1"/>
    <xf numFmtId="0" fontId="5" fillId="9" borderId="4" xfId="0" applyFont="1" applyFill="1" applyBorder="1" applyAlignment="1">
      <alignment horizontal="center" vertical="center" wrapText="1"/>
    </xf>
    <xf numFmtId="170" fontId="13" fillId="0" borderId="10" xfId="1" applyFont="1" applyBorder="1" applyAlignment="1">
      <alignment horizontal="center" vertical="center"/>
    </xf>
    <xf numFmtId="166" fontId="8" fillId="0" borderId="4" xfId="5" applyFont="1" applyFill="1" applyBorder="1" applyAlignment="1">
      <alignment vertical="center" wrapText="1"/>
    </xf>
    <xf numFmtId="166" fontId="8" fillId="9" borderId="4" xfId="5" applyFont="1" applyFill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166" fontId="15" fillId="0" borderId="4" xfId="5" applyFont="1" applyFill="1" applyBorder="1" applyAlignment="1">
      <alignment wrapText="1"/>
    </xf>
    <xf numFmtId="0" fontId="54" fillId="13" borderId="4" xfId="0" applyFont="1" applyFill="1" applyBorder="1" applyAlignment="1">
      <alignment horizontal="center" vertical="center"/>
    </xf>
    <xf numFmtId="0" fontId="50" fillId="0" borderId="4" xfId="0" applyFont="1" applyBorder="1" applyAlignment="1">
      <alignment horizontal="center" vertical="center" wrapText="1"/>
    </xf>
    <xf numFmtId="0" fontId="49" fillId="0" borderId="4" xfId="0" applyFont="1" applyBorder="1"/>
    <xf numFmtId="0" fontId="42" fillId="0" borderId="4" xfId="0" applyFont="1" applyBorder="1" applyAlignment="1">
      <alignment horizontal="center" vertical="center"/>
    </xf>
    <xf numFmtId="0" fontId="54" fillId="0" borderId="4" xfId="0" applyFont="1" applyBorder="1" applyAlignment="1">
      <alignment horizontal="justify" vertical="center" wrapText="1"/>
    </xf>
    <xf numFmtId="166" fontId="54" fillId="0" borderId="4" xfId="5" applyFont="1" applyBorder="1" applyAlignment="1">
      <alignment horizontal="center" vertical="center"/>
    </xf>
    <xf numFmtId="2" fontId="54" fillId="0" borderId="4" xfId="0" applyNumberFormat="1" applyFont="1" applyBorder="1" applyAlignment="1">
      <alignment horizontal="center" vertical="center"/>
    </xf>
    <xf numFmtId="170" fontId="42" fillId="0" borderId="4" xfId="1" applyFont="1" applyBorder="1" applyAlignment="1">
      <alignment horizontal="center" vertical="center"/>
    </xf>
    <xf numFmtId="0" fontId="54" fillId="0" borderId="4" xfId="0" applyFont="1" applyBorder="1" applyAlignment="1">
      <alignment vertical="center"/>
    </xf>
    <xf numFmtId="170" fontId="10" fillId="0" borderId="4" xfId="1" applyFont="1" applyFill="1" applyBorder="1"/>
    <xf numFmtId="183" fontId="10" fillId="0" borderId="4" xfId="0" applyNumberFormat="1" applyFont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9" fontId="16" fillId="0" borderId="4" xfId="18" applyFont="1" applyFill="1" applyBorder="1" applyAlignment="1">
      <alignment horizontal="center" vertical="center"/>
    </xf>
    <xf numFmtId="170" fontId="16" fillId="0" borderId="4" xfId="1" applyFont="1" applyFill="1" applyBorder="1" applyAlignment="1">
      <alignment horizontal="center" vertical="center" wrapText="1"/>
    </xf>
    <xf numFmtId="0" fontId="16" fillId="0" borderId="4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9" fontId="13" fillId="2" borderId="4" xfId="9" applyFont="1" applyFill="1" applyBorder="1" applyAlignment="1">
      <alignment horizontal="center" vertical="center"/>
    </xf>
    <xf numFmtId="10" fontId="13" fillId="2" borderId="4" xfId="9" applyNumberFormat="1" applyFont="1" applyFill="1" applyBorder="1" applyAlignment="1">
      <alignment horizontal="center" vertical="center"/>
    </xf>
    <xf numFmtId="10" fontId="13" fillId="2" borderId="4" xfId="9" applyNumberFormat="1" applyFont="1" applyFill="1" applyBorder="1" applyAlignment="1" applyProtection="1">
      <alignment horizontal="center" vertical="center"/>
    </xf>
    <xf numFmtId="10" fontId="15" fillId="0" borderId="4" xfId="18" applyNumberFormat="1" applyFont="1" applyFill="1" applyBorder="1" applyAlignment="1">
      <alignment horizontal="center" vertical="center" wrapText="1"/>
    </xf>
    <xf numFmtId="0" fontId="41" fillId="13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vertical="center"/>
    </xf>
    <xf numFmtId="2" fontId="15" fillId="0" borderId="0" xfId="0" applyNumberFormat="1" applyFont="1" applyAlignment="1">
      <alignment vertical="center"/>
    </xf>
    <xf numFmtId="167" fontId="0" fillId="0" borderId="0" xfId="0" applyNumberFormat="1" applyAlignment="1">
      <alignment horizontal="right" vertical="center"/>
    </xf>
    <xf numFmtId="166" fontId="56" fillId="13" borderId="4" xfId="5" applyFont="1" applyFill="1" applyBorder="1" applyAlignment="1">
      <alignment vertical="center" wrapText="1"/>
    </xf>
    <xf numFmtId="9" fontId="57" fillId="0" borderId="4" xfId="18" applyFont="1" applyBorder="1" applyAlignment="1">
      <alignment horizontal="center" vertical="center"/>
    </xf>
    <xf numFmtId="10" fontId="57" fillId="0" borderId="4" xfId="0" applyNumberFormat="1" applyFont="1" applyBorder="1" applyAlignment="1">
      <alignment horizontal="center" vertical="center"/>
    </xf>
    <xf numFmtId="10" fontId="59" fillId="0" borderId="4" xfId="0" applyNumberFormat="1" applyFont="1" applyBorder="1" applyAlignment="1">
      <alignment horizontal="center" vertical="center"/>
    </xf>
    <xf numFmtId="0" fontId="59" fillId="0" borderId="4" xfId="0" applyFont="1" applyBorder="1" applyAlignment="1">
      <alignment vertical="center" wrapText="1"/>
    </xf>
    <xf numFmtId="0" fontId="59" fillId="0" borderId="4" xfId="0" applyFont="1" applyBorder="1" applyAlignment="1">
      <alignment vertical="center"/>
    </xf>
    <xf numFmtId="0" fontId="52" fillId="0" borderId="4" xfId="0" applyFont="1" applyBorder="1" applyAlignment="1">
      <alignment horizontal="center" vertical="center"/>
    </xf>
    <xf numFmtId="0" fontId="60" fillId="0" borderId="4" xfId="0" applyFont="1" applyBorder="1" applyAlignment="1">
      <alignment horizontal="center" vertical="center"/>
    </xf>
    <xf numFmtId="0" fontId="60" fillId="0" borderId="4" xfId="0" applyFont="1" applyBorder="1" applyAlignment="1">
      <alignment vertical="center"/>
    </xf>
    <xf numFmtId="9" fontId="5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 applyProtection="1">
      <alignment horizontal="center" vertical="center"/>
      <protection locked="0"/>
    </xf>
    <xf numFmtId="0" fontId="16" fillId="0" borderId="5" xfId="0" applyFont="1" applyBorder="1" applyAlignment="1">
      <alignment horizontal="center" vertical="center"/>
    </xf>
    <xf numFmtId="170" fontId="7" fillId="0" borderId="4" xfId="1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0" fontId="21" fillId="0" borderId="0" xfId="12" applyNumberFormat="1" applyFont="1"/>
    <xf numFmtId="0" fontId="11" fillId="0" borderId="5" xfId="0" applyFont="1" applyBorder="1" applyAlignment="1">
      <alignment horizontal="center"/>
    </xf>
    <xf numFmtId="166" fontId="0" fillId="0" borderId="0" xfId="0" applyNumberFormat="1" applyAlignment="1">
      <alignment horizontal="right"/>
    </xf>
    <xf numFmtId="166" fontId="13" fillId="0" borderId="0" xfId="5" applyFont="1" applyAlignment="1">
      <alignment horizontal="right"/>
    </xf>
    <xf numFmtId="166" fontId="13" fillId="0" borderId="0" xfId="0" applyNumberFormat="1" applyFont="1" applyAlignment="1">
      <alignment horizontal="right"/>
    </xf>
    <xf numFmtId="170" fontId="13" fillId="0" borderId="0" xfId="1" applyFont="1" applyAlignment="1">
      <alignment horizontal="right"/>
    </xf>
    <xf numFmtId="166" fontId="0" fillId="0" borderId="0" xfId="5" applyFont="1" applyAlignment="1"/>
    <xf numFmtId="174" fontId="13" fillId="0" borderId="4" xfId="4" applyNumberFormat="1" applyFont="1" applyBorder="1"/>
    <xf numFmtId="9" fontId="13" fillId="0" borderId="4" xfId="17" applyFont="1" applyBorder="1" applyAlignment="1">
      <alignment horizontal="center"/>
    </xf>
    <xf numFmtId="0" fontId="13" fillId="0" borderId="25" xfId="0" applyFont="1" applyBorder="1"/>
    <xf numFmtId="0" fontId="33" fillId="0" borderId="0" xfId="0" applyFont="1" applyAlignment="1">
      <alignment vertical="center" wrapText="1"/>
    </xf>
    <xf numFmtId="176" fontId="22" fillId="0" borderId="0" xfId="0" applyNumberFormat="1" applyFont="1"/>
    <xf numFmtId="176" fontId="21" fillId="0" borderId="0" xfId="0" applyNumberFormat="1" applyFont="1"/>
    <xf numFmtId="3" fontId="10" fillId="0" borderId="4" xfId="0" applyNumberFormat="1" applyFont="1" applyBorder="1" applyAlignment="1">
      <alignment horizontal="center" vertical="center"/>
    </xf>
    <xf numFmtId="171" fontId="10" fillId="0" borderId="4" xfId="16" applyNumberFormat="1" applyFont="1" applyFill="1" applyBorder="1" applyAlignment="1">
      <alignment vertical="center"/>
    </xf>
    <xf numFmtId="171" fontId="10" fillId="0" borderId="4" xfId="5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 wrapText="1"/>
    </xf>
    <xf numFmtId="166" fontId="13" fillId="0" borderId="10" xfId="16" applyFont="1" applyBorder="1"/>
    <xf numFmtId="0" fontId="10" fillId="0" borderId="10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1" fontId="0" fillId="0" borderId="0" xfId="0" applyNumberFormat="1"/>
    <xf numFmtId="170" fontId="10" fillId="0" borderId="4" xfId="7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6" fontId="0" fillId="0" borderId="4" xfId="16" applyFont="1" applyBorder="1" applyAlignment="1">
      <alignment horizontal="center" vertical="center"/>
    </xf>
    <xf numFmtId="166" fontId="0" fillId="0" borderId="4" xfId="16" applyFont="1" applyBorder="1" applyAlignment="1">
      <alignment vertical="center"/>
    </xf>
    <xf numFmtId="166" fontId="0" fillId="0" borderId="0" xfId="5" applyFont="1" applyFill="1" applyAlignment="1">
      <alignment vertical="center"/>
    </xf>
    <xf numFmtId="166" fontId="0" fillId="0" borderId="0" xfId="0" applyNumberFormat="1" applyAlignment="1">
      <alignment vertical="center"/>
    </xf>
    <xf numFmtId="0" fontId="13" fillId="0" borderId="27" xfId="0" applyFont="1" applyBorder="1"/>
    <xf numFmtId="167" fontId="22" fillId="12" borderId="4" xfId="1" applyNumberFormat="1" applyFont="1" applyFill="1" applyBorder="1" applyAlignment="1">
      <alignment horizontal="center" vertical="center"/>
    </xf>
    <xf numFmtId="166" fontId="47" fillId="0" borderId="10" xfId="16" applyFont="1" applyFill="1" applyBorder="1" applyAlignment="1"/>
    <xf numFmtId="167" fontId="22" fillId="9" borderId="4" xfId="1" applyNumberFormat="1" applyFont="1" applyFill="1" applyBorder="1" applyAlignment="1">
      <alignment horizontal="center" vertical="center"/>
    </xf>
    <xf numFmtId="171" fontId="13" fillId="0" borderId="4" xfId="22" applyNumberFormat="1" applyFont="1" applyFill="1" applyBorder="1"/>
    <xf numFmtId="171" fontId="13" fillId="0" borderId="10" xfId="22" applyNumberFormat="1" applyFont="1" applyFill="1" applyBorder="1"/>
    <xf numFmtId="171" fontId="13" fillId="0" borderId="4" xfId="22" applyNumberFormat="1" applyFont="1" applyBorder="1"/>
    <xf numFmtId="171" fontId="13" fillId="0" borderId="18" xfId="22" applyNumberFormat="1" applyFont="1" applyFill="1" applyBorder="1"/>
    <xf numFmtId="171" fontId="13" fillId="0" borderId="12" xfId="22" applyNumberFormat="1" applyFont="1" applyFill="1" applyBorder="1"/>
    <xf numFmtId="171" fontId="13" fillId="0" borderId="14" xfId="22" applyNumberFormat="1" applyFont="1" applyFill="1" applyBorder="1"/>
    <xf numFmtId="171" fontId="13" fillId="0" borderId="40" xfId="22" applyNumberFormat="1" applyFont="1" applyFill="1" applyBorder="1"/>
    <xf numFmtId="171" fontId="13" fillId="0" borderId="19" xfId="22" applyNumberFormat="1" applyFont="1" applyFill="1" applyBorder="1"/>
    <xf numFmtId="171" fontId="13" fillId="0" borderId="14" xfId="22" applyNumberFormat="1" applyFont="1" applyBorder="1"/>
    <xf numFmtId="171" fontId="13" fillId="0" borderId="16" xfId="22" applyNumberFormat="1" applyFont="1" applyFill="1" applyBorder="1"/>
    <xf numFmtId="171" fontId="13" fillId="0" borderId="13" xfId="22" applyNumberFormat="1" applyFont="1" applyFill="1" applyBorder="1"/>
    <xf numFmtId="171" fontId="19" fillId="14" borderId="19" xfId="16" applyNumberFormat="1" applyFont="1" applyFill="1" applyBorder="1"/>
    <xf numFmtId="171" fontId="19" fillId="0" borderId="0" xfId="22" applyNumberFormat="1" applyFont="1" applyFill="1" applyBorder="1"/>
    <xf numFmtId="171" fontId="8" fillId="0" borderId="0" xfId="22" applyNumberFormat="1" applyFont="1" applyFill="1" applyBorder="1"/>
    <xf numFmtId="0" fontId="15" fillId="0" borderId="10" xfId="0" applyFont="1" applyBorder="1" applyAlignment="1">
      <alignment wrapText="1"/>
    </xf>
    <xf numFmtId="171" fontId="13" fillId="2" borderId="10" xfId="16" applyNumberFormat="1" applyFont="1" applyFill="1" applyBorder="1"/>
    <xf numFmtId="0" fontId="63" fillId="2" borderId="8" xfId="0" applyFont="1" applyFill="1" applyBorder="1" applyAlignment="1">
      <alignment horizontal="left" wrapText="1"/>
    </xf>
    <xf numFmtId="171" fontId="10" fillId="0" borderId="4" xfId="22" applyNumberFormat="1" applyFont="1" applyFill="1" applyBorder="1" applyAlignment="1">
      <alignment vertical="center"/>
    </xf>
    <xf numFmtId="0" fontId="11" fillId="0" borderId="4" xfId="0" applyFont="1" applyBorder="1" applyAlignment="1">
      <alignment wrapText="1"/>
    </xf>
    <xf numFmtId="170" fontId="10" fillId="0" borderId="4" xfId="1" applyFont="1" applyFill="1" applyBorder="1" applyAlignment="1">
      <alignment horizontal="right"/>
    </xf>
    <xf numFmtId="170" fontId="10" fillId="0" borderId="10" xfId="1" applyFont="1" applyFill="1" applyBorder="1" applyAlignment="1"/>
    <xf numFmtId="0" fontId="11" fillId="0" borderId="4" xfId="0" applyFont="1" applyBorder="1" applyAlignment="1">
      <alignment horizontal="center"/>
    </xf>
    <xf numFmtId="171" fontId="0" fillId="0" borderId="0" xfId="0" applyNumberFormat="1" applyAlignment="1">
      <alignment vertical="center"/>
    </xf>
    <xf numFmtId="170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166" fontId="5" fillId="0" borderId="4" xfId="16" applyFont="1" applyFill="1" applyBorder="1" applyAlignment="1">
      <alignment horizontal="right" vertical="center"/>
    </xf>
    <xf numFmtId="170" fontId="5" fillId="0" borderId="4" xfId="1" applyFont="1" applyFill="1" applyBorder="1" applyAlignment="1">
      <alignment horizontal="right" vertical="center"/>
    </xf>
    <xf numFmtId="170" fontId="0" fillId="0" borderId="0" xfId="0" applyNumberFormat="1" applyAlignment="1">
      <alignment vertical="center"/>
    </xf>
    <xf numFmtId="166" fontId="66" fillId="0" borderId="4" xfId="16" applyFont="1" applyFill="1" applyBorder="1" applyAlignment="1">
      <alignment horizontal="center" vertical="center" wrapText="1"/>
    </xf>
    <xf numFmtId="170" fontId="66" fillId="0" borderId="4" xfId="1" applyFont="1" applyFill="1" applyBorder="1" applyAlignment="1">
      <alignment horizontal="center" vertical="center" wrapText="1"/>
    </xf>
    <xf numFmtId="170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170" fontId="8" fillId="0" borderId="4" xfId="1" applyFont="1" applyFill="1" applyBorder="1" applyAlignment="1">
      <alignment horizontal="right" vertical="center"/>
    </xf>
    <xf numFmtId="166" fontId="8" fillId="0" borderId="4" xfId="16" applyFont="1" applyFill="1" applyBorder="1" applyAlignment="1">
      <alignment horizontal="right" vertical="center"/>
    </xf>
    <xf numFmtId="170" fontId="66" fillId="0" borderId="4" xfId="1" applyFont="1" applyFill="1" applyBorder="1" applyAlignment="1">
      <alignment horizontal="right" vertical="center"/>
    </xf>
    <xf numFmtId="0" fontId="53" fillId="0" borderId="0" xfId="0" applyFont="1" applyAlignment="1">
      <alignment horizontal="center" vertical="center"/>
    </xf>
    <xf numFmtId="170" fontId="53" fillId="0" borderId="0" xfId="0" applyNumberFormat="1" applyFont="1" applyAlignment="1">
      <alignment vertical="center"/>
    </xf>
    <xf numFmtId="0" fontId="53" fillId="0" borderId="0" xfId="0" applyFont="1" applyAlignment="1">
      <alignment vertical="center"/>
    </xf>
    <xf numFmtId="0" fontId="21" fillId="0" borderId="5" xfId="1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 wrapText="1"/>
    </xf>
    <xf numFmtId="166" fontId="66" fillId="0" borderId="2" xfId="16" applyFont="1" applyFill="1" applyBorder="1" applyAlignment="1">
      <alignment horizontal="right" vertical="center"/>
    </xf>
    <xf numFmtId="166" fontId="66" fillId="0" borderId="3" xfId="16" applyFont="1" applyFill="1" applyBorder="1" applyAlignment="1">
      <alignment horizontal="right" vertical="center"/>
    </xf>
    <xf numFmtId="0" fontId="29" fillId="0" borderId="5" xfId="0" applyFont="1" applyBorder="1" applyAlignment="1">
      <alignment vertical="center" wrapText="1"/>
    </xf>
    <xf numFmtId="170" fontId="5" fillId="0" borderId="10" xfId="1" applyFont="1" applyFill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65" fillId="0" borderId="5" xfId="10" applyFont="1" applyBorder="1" applyAlignment="1">
      <alignment horizontal="center" vertical="center"/>
    </xf>
    <xf numFmtId="170" fontId="66" fillId="0" borderId="10" xfId="1" applyFont="1" applyFill="1" applyBorder="1" applyAlignment="1">
      <alignment horizontal="center" vertical="center" wrapText="1"/>
    </xf>
    <xf numFmtId="166" fontId="8" fillId="9" borderId="4" xfId="16" applyFont="1" applyFill="1" applyBorder="1" applyAlignment="1">
      <alignment vertical="center" wrapText="1"/>
    </xf>
    <xf numFmtId="178" fontId="0" fillId="0" borderId="0" xfId="0" applyNumberFormat="1" applyAlignment="1">
      <alignment vertical="center"/>
    </xf>
    <xf numFmtId="166" fontId="15" fillId="0" borderId="4" xfId="16" applyFont="1" applyFill="1" applyBorder="1" applyAlignment="1">
      <alignment wrapText="1"/>
    </xf>
    <xf numFmtId="0" fontId="54" fillId="10" borderId="4" xfId="0" applyFont="1" applyFill="1" applyBorder="1" applyAlignment="1">
      <alignment horizontal="center" vertical="center"/>
    </xf>
    <xf numFmtId="166" fontId="49" fillId="0" borderId="0" xfId="0" applyNumberFormat="1" applyFont="1"/>
    <xf numFmtId="166" fontId="54" fillId="0" borderId="4" xfId="16" applyFont="1" applyBorder="1" applyAlignment="1">
      <alignment horizontal="center" vertical="center"/>
    </xf>
    <xf numFmtId="10" fontId="49" fillId="0" borderId="0" xfId="0" applyNumberFormat="1" applyFont="1"/>
    <xf numFmtId="0" fontId="13" fillId="0" borderId="4" xfId="0" applyFont="1" applyBorder="1" applyAlignment="1">
      <alignment horizontal="center" vertical="center"/>
    </xf>
    <xf numFmtId="170" fontId="10" fillId="0" borderId="4" xfId="1" applyFont="1" applyFill="1" applyBorder="1" applyAlignment="1">
      <alignment horizontal="center" vertical="center"/>
    </xf>
    <xf numFmtId="170" fontId="10" fillId="0" borderId="4" xfId="1" applyFont="1" applyFill="1" applyBorder="1" applyAlignment="1">
      <alignment vertical="center"/>
    </xf>
    <xf numFmtId="9" fontId="16" fillId="0" borderId="4" xfId="17" applyFont="1" applyFill="1" applyBorder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0" fontId="15" fillId="0" borderId="4" xfId="0" applyFont="1" applyBorder="1" applyAlignment="1">
      <alignment wrapText="1"/>
    </xf>
    <xf numFmtId="170" fontId="15" fillId="0" borderId="4" xfId="0" applyNumberFormat="1" applyFont="1" applyBorder="1" applyAlignment="1">
      <alignment wrapText="1"/>
    </xf>
    <xf numFmtId="170" fontId="19" fillId="13" borderId="4" xfId="0" applyNumberFormat="1" applyFont="1" applyFill="1" applyBorder="1" applyAlignment="1">
      <alignment vertical="center" wrapText="1"/>
    </xf>
    <xf numFmtId="178" fontId="41" fillId="0" borderId="0" xfId="0" applyNumberFormat="1" applyFont="1"/>
    <xf numFmtId="170" fontId="10" fillId="0" borderId="0" xfId="1" applyFont="1" applyFill="1" applyBorder="1" applyAlignment="1">
      <alignment horizontal="center"/>
    </xf>
    <xf numFmtId="0" fontId="18" fillId="0" borderId="0" xfId="11" applyFont="1" applyAlignment="1">
      <alignment vertical="center" wrapText="1"/>
    </xf>
    <xf numFmtId="0" fontId="18" fillId="0" borderId="0" xfId="11" applyFont="1" applyAlignment="1">
      <alignment horizontal="center" vertical="center" wrapText="1"/>
    </xf>
    <xf numFmtId="0" fontId="0" fillId="0" borderId="4" xfId="0" applyBorder="1"/>
    <xf numFmtId="0" fontId="68" fillId="0" borderId="4" xfId="0" applyFont="1" applyBorder="1" applyAlignment="1">
      <alignment vertical="center"/>
    </xf>
    <xf numFmtId="0" fontId="68" fillId="0" borderId="4" xfId="0" applyFont="1" applyBorder="1" applyAlignment="1">
      <alignment horizontal="center" vertical="center"/>
    </xf>
    <xf numFmtId="10" fontId="58" fillId="0" borderId="4" xfId="0" applyNumberFormat="1" applyFont="1" applyBorder="1" applyAlignment="1">
      <alignment horizontal="center" vertical="center"/>
    </xf>
    <xf numFmtId="0" fontId="58" fillId="0" borderId="4" xfId="0" applyFont="1" applyBorder="1" applyAlignment="1">
      <alignment vertical="center"/>
    </xf>
    <xf numFmtId="0" fontId="13" fillId="0" borderId="53" xfId="0" applyFont="1" applyBorder="1" applyAlignment="1">
      <alignment horizontal="center"/>
    </xf>
    <xf numFmtId="3" fontId="13" fillId="0" borderId="15" xfId="0" applyNumberFormat="1" applyFont="1" applyBorder="1" applyAlignment="1">
      <alignment horizontal="center"/>
    </xf>
    <xf numFmtId="171" fontId="13" fillId="2" borderId="4" xfId="22" applyNumberFormat="1" applyFont="1" applyFill="1" applyBorder="1"/>
    <xf numFmtId="0" fontId="13" fillId="2" borderId="15" xfId="0" applyFont="1" applyFill="1" applyBorder="1"/>
    <xf numFmtId="171" fontId="8" fillId="14" borderId="19" xfId="22" applyNumberFormat="1" applyFont="1" applyFill="1" applyBorder="1"/>
    <xf numFmtId="167" fontId="22" fillId="0" borderId="4" xfId="1" applyNumberFormat="1" applyFont="1" applyFill="1" applyBorder="1" applyAlignment="1">
      <alignment vertical="center"/>
    </xf>
    <xf numFmtId="182" fontId="22" fillId="0" borderId="4" xfId="1" applyNumberFormat="1" applyFont="1" applyFill="1" applyBorder="1" applyAlignment="1">
      <alignment horizontal="center" vertical="center"/>
    </xf>
    <xf numFmtId="4" fontId="13" fillId="2" borderId="4" xfId="0" applyNumberFormat="1" applyFont="1" applyFill="1" applyBorder="1" applyAlignment="1">
      <alignment horizontal="right"/>
    </xf>
    <xf numFmtId="0" fontId="35" fillId="3" borderId="16" xfId="12" applyFont="1" applyFill="1" applyBorder="1" applyAlignment="1">
      <alignment horizontal="center" vertical="center"/>
    </xf>
    <xf numFmtId="0" fontId="35" fillId="3" borderId="4" xfId="12" applyFont="1" applyFill="1" applyBorder="1" applyAlignment="1">
      <alignment horizontal="center" vertical="center"/>
    </xf>
    <xf numFmtId="0" fontId="35" fillId="3" borderId="16" xfId="12" applyFont="1" applyFill="1" applyBorder="1" applyAlignment="1">
      <alignment horizontal="center" vertical="center" wrapText="1"/>
    </xf>
    <xf numFmtId="0" fontId="35" fillId="3" borderId="14" xfId="12" applyFont="1" applyFill="1" applyBorder="1" applyAlignment="1">
      <alignment horizontal="center" vertical="center"/>
    </xf>
    <xf numFmtId="167" fontId="22" fillId="0" borderId="4" xfId="1" applyNumberFormat="1" applyFont="1" applyBorder="1" applyAlignment="1">
      <alignment horizontal="center" vertical="center"/>
    </xf>
    <xf numFmtId="184" fontId="13" fillId="0" borderId="16" xfId="0" applyNumberFormat="1" applyFont="1" applyBorder="1"/>
    <xf numFmtId="0" fontId="13" fillId="0" borderId="2" xfId="0" quotePrefix="1" applyFont="1" applyBorder="1" applyAlignment="1">
      <alignment horizontal="center"/>
    </xf>
    <xf numFmtId="171" fontId="19" fillId="0" borderId="0" xfId="5" applyNumberFormat="1" applyFont="1" applyFill="1" applyBorder="1"/>
    <xf numFmtId="171" fontId="13" fillId="0" borderId="18" xfId="5" applyNumberFormat="1" applyFont="1" applyFill="1" applyBorder="1"/>
    <xf numFmtId="9" fontId="13" fillId="0" borderId="4" xfId="18" applyFont="1" applyFill="1" applyBorder="1" applyAlignment="1">
      <alignment horizontal="center"/>
    </xf>
    <xf numFmtId="171" fontId="13" fillId="0" borderId="10" xfId="5" applyNumberFormat="1" applyFont="1" applyFill="1" applyBorder="1"/>
    <xf numFmtId="171" fontId="13" fillId="0" borderId="4" xfId="5" applyNumberFormat="1" applyFont="1" applyFill="1" applyBorder="1"/>
    <xf numFmtId="171" fontId="13" fillId="0" borderId="19" xfId="5" applyNumberFormat="1" applyFont="1" applyFill="1" applyBorder="1"/>
    <xf numFmtId="171" fontId="13" fillId="0" borderId="12" xfId="5" applyNumberFormat="1" applyFont="1" applyFill="1" applyBorder="1"/>
    <xf numFmtId="171" fontId="13" fillId="0" borderId="14" xfId="5" applyNumberFormat="1" applyFont="1" applyFill="1" applyBorder="1"/>
    <xf numFmtId="171" fontId="13" fillId="2" borderId="4" xfId="5" applyNumberFormat="1" applyFont="1" applyFill="1" applyBorder="1"/>
    <xf numFmtId="171" fontId="13" fillId="0" borderId="16" xfId="5" applyNumberFormat="1" applyFont="1" applyFill="1" applyBorder="1"/>
    <xf numFmtId="166" fontId="0" fillId="0" borderId="0" xfId="5" applyFont="1" applyFill="1" applyBorder="1" applyAlignment="1"/>
    <xf numFmtId="0" fontId="18" fillId="0" borderId="0" xfId="24" applyFont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176" fontId="0" fillId="0" borderId="0" xfId="0" applyNumberFormat="1"/>
    <xf numFmtId="0" fontId="61" fillId="0" borderId="4" xfId="24" applyFont="1" applyBorder="1" applyAlignment="1">
      <alignment horizontal="center" vertical="center" wrapText="1"/>
    </xf>
    <xf numFmtId="166" fontId="0" fillId="0" borderId="0" xfId="5" applyFont="1" applyFill="1" applyBorder="1"/>
    <xf numFmtId="2" fontId="13" fillId="0" borderId="4" xfId="0" applyNumberFormat="1" applyFont="1" applyBorder="1" applyAlignment="1">
      <alignment horizontal="center"/>
    </xf>
    <xf numFmtId="0" fontId="54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59" fillId="0" borderId="4" xfId="0" applyFont="1" applyBorder="1" applyAlignment="1">
      <alignment horizontal="center" vertical="center"/>
    </xf>
    <xf numFmtId="0" fontId="57" fillId="0" borderId="4" xfId="0" applyFont="1" applyBorder="1" applyAlignment="1">
      <alignment vertical="center"/>
    </xf>
    <xf numFmtId="0" fontId="57" fillId="0" borderId="4" xfId="0" applyFont="1" applyBorder="1" applyAlignment="1">
      <alignment horizontal="center" vertical="center"/>
    </xf>
    <xf numFmtId="0" fontId="58" fillId="0" borderId="4" xfId="0" applyFont="1" applyBorder="1" applyAlignment="1">
      <alignment horizontal="center" vertical="center"/>
    </xf>
    <xf numFmtId="10" fontId="57" fillId="0" borderId="4" xfId="18" applyNumberFormat="1" applyFont="1" applyBorder="1" applyAlignment="1">
      <alignment horizontal="center" vertical="center"/>
    </xf>
    <xf numFmtId="0" fontId="51" fillId="0" borderId="4" xfId="0" applyFont="1" applyBorder="1" applyAlignment="1">
      <alignment horizontal="center" vertical="center"/>
    </xf>
    <xf numFmtId="166" fontId="5" fillId="9" borderId="4" xfId="16" applyFont="1" applyFill="1" applyBorder="1" applyAlignment="1">
      <alignment horizontal="right" vertical="center"/>
    </xf>
    <xf numFmtId="170" fontId="5" fillId="15" borderId="4" xfId="1" applyFont="1" applyFill="1" applyBorder="1" applyAlignment="1">
      <alignment horizontal="right" vertical="center"/>
    </xf>
    <xf numFmtId="170" fontId="5" fillId="8" borderId="4" xfId="1" applyFont="1" applyFill="1" applyBorder="1" applyAlignment="1">
      <alignment horizontal="right" vertical="center"/>
    </xf>
    <xf numFmtId="170" fontId="5" fillId="11" borderId="10" xfId="1" applyFont="1" applyFill="1" applyBorder="1" applyAlignment="1">
      <alignment horizontal="right" vertical="center"/>
    </xf>
    <xf numFmtId="0" fontId="15" fillId="0" borderId="11" xfId="0" applyFont="1" applyBorder="1" applyAlignment="1">
      <alignment horizontal="center" wrapText="1"/>
    </xf>
    <xf numFmtId="0" fontId="15" fillId="0" borderId="12" xfId="0" applyFont="1" applyBorder="1" applyAlignment="1">
      <alignment horizontal="center" wrapText="1"/>
    </xf>
    <xf numFmtId="0" fontId="15" fillId="0" borderId="13" xfId="0" applyFont="1" applyBorder="1" applyAlignment="1">
      <alignment horizontal="center" wrapText="1"/>
    </xf>
    <xf numFmtId="0" fontId="22" fillId="0" borderId="5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15" fillId="0" borderId="4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15" fillId="0" borderId="4" xfId="0" applyFont="1" applyBorder="1" applyAlignment="1">
      <alignment horizontal="center" wrapText="1"/>
    </xf>
    <xf numFmtId="0" fontId="17" fillId="0" borderId="5" xfId="0" applyFont="1" applyBorder="1" applyAlignment="1" applyProtection="1">
      <alignment horizontal="left" vertical="center" wrapText="1"/>
      <protection locked="0"/>
    </xf>
    <xf numFmtId="0" fontId="17" fillId="0" borderId="4" xfId="0" applyFont="1" applyBorder="1" applyAlignment="1" applyProtection="1">
      <alignment horizontal="left" vertical="center" wrapText="1"/>
      <protection locked="0"/>
    </xf>
    <xf numFmtId="0" fontId="17" fillId="0" borderId="10" xfId="0" applyFont="1" applyBorder="1" applyAlignment="1" applyProtection="1">
      <alignment horizontal="left" vertical="center" wrapText="1"/>
      <protection locked="0"/>
    </xf>
    <xf numFmtId="0" fontId="18" fillId="0" borderId="1" xfId="24" applyFont="1" applyBorder="1" applyAlignment="1">
      <alignment horizontal="center" vertical="center" wrapText="1"/>
    </xf>
    <xf numFmtId="0" fontId="18" fillId="0" borderId="2" xfId="24" applyFont="1" applyBorder="1" applyAlignment="1">
      <alignment horizontal="center" vertical="center" wrapText="1"/>
    </xf>
    <xf numFmtId="0" fontId="18" fillId="0" borderId="3" xfId="24" applyFont="1" applyBorder="1" applyAlignment="1">
      <alignment horizontal="center" vertical="center" wrapText="1"/>
    </xf>
    <xf numFmtId="0" fontId="18" fillId="0" borderId="5" xfId="24" applyFont="1" applyBorder="1" applyAlignment="1">
      <alignment horizontal="center" vertical="center" wrapText="1"/>
    </xf>
    <xf numFmtId="0" fontId="18" fillId="0" borderId="4" xfId="24" applyFont="1" applyBorder="1" applyAlignment="1">
      <alignment horizontal="center" vertical="center" wrapText="1"/>
    </xf>
    <xf numFmtId="0" fontId="18" fillId="0" borderId="10" xfId="24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left" wrapText="1"/>
    </xf>
    <xf numFmtId="0" fontId="33" fillId="0" borderId="10" xfId="0" applyFont="1" applyBorder="1" applyAlignment="1">
      <alignment horizontal="left" wrapText="1"/>
    </xf>
    <xf numFmtId="0" fontId="6" fillId="0" borderId="5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17" fillId="10" borderId="5" xfId="0" applyFont="1" applyFill="1" applyBorder="1" applyAlignment="1" applyProtection="1">
      <alignment horizontal="center" vertical="center"/>
      <protection locked="0"/>
    </xf>
    <xf numFmtId="0" fontId="34" fillId="10" borderId="4" xfId="0" applyFont="1" applyFill="1" applyBorder="1" applyAlignment="1">
      <alignment vertical="center"/>
    </xf>
    <xf numFmtId="0" fontId="34" fillId="10" borderId="10" xfId="0" applyFont="1" applyFill="1" applyBorder="1" applyAlignment="1">
      <alignment vertical="center"/>
    </xf>
    <xf numFmtId="0" fontId="10" fillId="0" borderId="26" xfId="0" applyFont="1" applyBorder="1" applyAlignment="1">
      <alignment horizontal="left" vertical="center" wrapText="1"/>
    </xf>
    <xf numFmtId="0" fontId="10" fillId="0" borderId="27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21" fillId="0" borderId="5" xfId="0" applyFont="1" applyBorder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0" fontId="22" fillId="13" borderId="5" xfId="0" applyFont="1" applyFill="1" applyBorder="1" applyAlignment="1">
      <alignment horizontal="left" vertical="center"/>
    </xf>
    <xf numFmtId="0" fontId="22" fillId="13" borderId="4" xfId="0" applyFont="1" applyFill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22" fillId="0" borderId="2" xfId="0" applyFont="1" applyBorder="1" applyAlignment="1">
      <alignment horizontal="left" vertical="center"/>
    </xf>
    <xf numFmtId="0" fontId="18" fillId="0" borderId="4" xfId="11" applyFont="1" applyBorder="1" applyAlignment="1">
      <alignment horizontal="center" vertical="center" wrapText="1"/>
    </xf>
    <xf numFmtId="0" fontId="42" fillId="0" borderId="4" xfId="0" applyFont="1" applyBorder="1" applyAlignment="1">
      <alignment vertical="center"/>
    </xf>
    <xf numFmtId="0" fontId="15" fillId="0" borderId="4" xfId="0" applyFont="1" applyBorder="1" applyAlignment="1">
      <alignment horizontal="center"/>
    </xf>
    <xf numFmtId="0" fontId="42" fillId="10" borderId="4" xfId="0" applyFont="1" applyFill="1" applyBorder="1" applyAlignment="1">
      <alignment horizontal="center" vertical="center"/>
    </xf>
    <xf numFmtId="10" fontId="15" fillId="0" borderId="4" xfId="17" applyNumberFormat="1" applyFont="1" applyFill="1" applyBorder="1" applyAlignment="1">
      <alignment horizontal="center" vertical="center"/>
    </xf>
    <xf numFmtId="0" fontId="49" fillId="0" borderId="4" xfId="0" applyFont="1" applyBorder="1" applyAlignment="1">
      <alignment horizontal="center"/>
    </xf>
    <xf numFmtId="0" fontId="54" fillId="0" borderId="4" xfId="0" applyFont="1" applyBorder="1" applyAlignment="1">
      <alignment horizontal="center" vertical="center"/>
    </xf>
    <xf numFmtId="0" fontId="42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7" fillId="13" borderId="4" xfId="0" applyFont="1" applyFill="1" applyBorder="1" applyAlignment="1" applyProtection="1">
      <alignment horizontal="center" vertical="center"/>
      <protection locked="0"/>
    </xf>
    <xf numFmtId="0" fontId="34" fillId="13" borderId="4" xfId="0" applyFont="1" applyFill="1" applyBorder="1" applyAlignment="1">
      <alignment vertical="center"/>
    </xf>
    <xf numFmtId="0" fontId="54" fillId="0" borderId="4" xfId="0" applyFont="1" applyBorder="1" applyAlignment="1">
      <alignment horizontal="center"/>
    </xf>
    <xf numFmtId="0" fontId="15" fillId="10" borderId="4" xfId="0" applyFont="1" applyFill="1" applyBorder="1" applyAlignment="1">
      <alignment horizontal="left" wrapText="1"/>
    </xf>
    <xf numFmtId="0" fontId="28" fillId="0" borderId="4" xfId="0" applyFont="1" applyBorder="1" applyAlignment="1">
      <alignment horizontal="left" wrapText="1"/>
    </xf>
    <xf numFmtId="170" fontId="10" fillId="0" borderId="4" xfId="1" applyFont="1" applyFill="1" applyBorder="1" applyAlignment="1">
      <alignment horizontal="center"/>
    </xf>
    <xf numFmtId="0" fontId="16" fillId="0" borderId="4" xfId="0" applyFont="1" applyBorder="1" applyAlignment="1">
      <alignment horizontal="center" vertical="center" wrapText="1"/>
    </xf>
    <xf numFmtId="166" fontId="15" fillId="0" borderId="4" xfId="16" applyFont="1" applyFill="1" applyBorder="1" applyAlignment="1">
      <alignment horizontal="center" wrapText="1"/>
    </xf>
    <xf numFmtId="0" fontId="19" fillId="13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61" fillId="0" borderId="4" xfId="1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55" fillId="13" borderId="4" xfId="0" applyFont="1" applyFill="1" applyBorder="1" applyAlignment="1">
      <alignment horizontal="center"/>
    </xf>
    <xf numFmtId="0" fontId="67" fillId="0" borderId="4" xfId="0" applyFont="1" applyBorder="1" applyAlignment="1">
      <alignment horizontal="center"/>
    </xf>
    <xf numFmtId="0" fontId="59" fillId="0" borderId="4" xfId="0" applyFont="1" applyBorder="1" applyAlignment="1">
      <alignment horizontal="center" vertical="center"/>
    </xf>
    <xf numFmtId="0" fontId="57" fillId="0" borderId="4" xfId="0" applyFont="1" applyBorder="1" applyAlignment="1">
      <alignment vertical="center"/>
    </xf>
    <xf numFmtId="0" fontId="57" fillId="0" borderId="4" xfId="0" applyFont="1" applyBorder="1" applyAlignment="1">
      <alignment horizontal="center" vertical="center"/>
    </xf>
    <xf numFmtId="10" fontId="57" fillId="0" borderId="4" xfId="17" applyNumberFormat="1" applyFont="1" applyBorder="1" applyAlignment="1">
      <alignment horizontal="center" vertical="center"/>
    </xf>
    <xf numFmtId="0" fontId="42" fillId="13" borderId="4" xfId="0" applyFont="1" applyFill="1" applyBorder="1" applyAlignment="1">
      <alignment horizontal="center" vertical="center"/>
    </xf>
    <xf numFmtId="10" fontId="15" fillId="0" borderId="4" xfId="18" applyNumberFormat="1" applyFont="1" applyFill="1" applyBorder="1" applyAlignment="1">
      <alignment horizontal="center" vertical="center"/>
    </xf>
    <xf numFmtId="0" fontId="54" fillId="0" borderId="4" xfId="0" applyFont="1" applyBorder="1" applyAlignment="1">
      <alignment horizontal="left" vertical="center"/>
    </xf>
    <xf numFmtId="166" fontId="15" fillId="0" borderId="4" xfId="5" applyFont="1" applyFill="1" applyBorder="1" applyAlignment="1">
      <alignment horizontal="center" wrapText="1"/>
    </xf>
    <xf numFmtId="0" fontId="56" fillId="13" borderId="4" xfId="0" applyFont="1" applyFill="1" applyBorder="1" applyAlignment="1">
      <alignment horizontal="center" vertical="center" wrapText="1"/>
    </xf>
    <xf numFmtId="0" fontId="58" fillId="0" borderId="4" xfId="0" applyFont="1" applyBorder="1" applyAlignment="1">
      <alignment horizontal="center" vertical="center"/>
    </xf>
    <xf numFmtId="10" fontId="57" fillId="0" borderId="4" xfId="18" applyNumberFormat="1" applyFont="1" applyBorder="1" applyAlignment="1">
      <alignment horizontal="center" vertical="center"/>
    </xf>
    <xf numFmtId="0" fontId="47" fillId="0" borderId="5" xfId="10" applyFont="1" applyBorder="1" applyAlignment="1">
      <alignment horizontal="center" vertical="center" wrapText="1"/>
    </xf>
    <xf numFmtId="0" fontId="47" fillId="0" borderId="4" xfId="1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166" fontId="61" fillId="9" borderId="12" xfId="16" applyFont="1" applyFill="1" applyBorder="1" applyAlignment="1">
      <alignment horizontal="center" vertical="center"/>
    </xf>
    <xf numFmtId="166" fontId="61" fillId="9" borderId="13" xfId="16" applyFont="1" applyFill="1" applyBorder="1" applyAlignment="1">
      <alignment horizontal="center" vertical="center"/>
    </xf>
    <xf numFmtId="0" fontId="65" fillId="0" borderId="7" xfId="10" applyFont="1" applyBorder="1" applyAlignment="1">
      <alignment horizontal="left" vertical="center"/>
    </xf>
    <xf numFmtId="0" fontId="65" fillId="0" borderId="54" xfId="10" applyFont="1" applyBorder="1" applyAlignment="1">
      <alignment horizontal="left" vertical="center"/>
    </xf>
    <xf numFmtId="170" fontId="66" fillId="0" borderId="4" xfId="1" applyFont="1" applyFill="1" applyBorder="1" applyAlignment="1">
      <alignment horizontal="center" vertical="center"/>
    </xf>
    <xf numFmtId="170" fontId="66" fillId="0" borderId="10" xfId="1" applyFont="1" applyFill="1" applyBorder="1" applyAlignment="1">
      <alignment horizontal="center" vertical="center"/>
    </xf>
    <xf numFmtId="0" fontId="29" fillId="0" borderId="5" xfId="0" applyFont="1" applyBorder="1" applyAlignment="1">
      <alignment horizontal="left" vertical="center" wrapText="1"/>
    </xf>
    <xf numFmtId="0" fontId="29" fillId="0" borderId="4" xfId="0" applyFont="1" applyBorder="1" applyAlignment="1">
      <alignment horizontal="left" vertical="center" wrapText="1"/>
    </xf>
    <xf numFmtId="0" fontId="64" fillId="0" borderId="11" xfId="10" applyFont="1" applyBorder="1" applyAlignment="1">
      <alignment horizontal="center" vertical="center" wrapText="1"/>
    </xf>
    <xf numFmtId="0" fontId="64" fillId="0" borderId="12" xfId="10" applyFont="1" applyBorder="1" applyAlignment="1">
      <alignment horizontal="center" vertical="center" wrapText="1"/>
    </xf>
    <xf numFmtId="0" fontId="64" fillId="0" borderId="13" xfId="10" applyFont="1" applyBorder="1" applyAlignment="1">
      <alignment horizontal="center" vertical="center" wrapText="1"/>
    </xf>
    <xf numFmtId="0" fontId="47" fillId="0" borderId="6" xfId="10" applyFont="1" applyBorder="1" applyAlignment="1">
      <alignment horizontal="center" vertical="center" wrapText="1"/>
    </xf>
    <xf numFmtId="0" fontId="47" fillId="0" borderId="15" xfId="10" applyFont="1" applyBorder="1" applyAlignment="1">
      <alignment horizontal="center" vertical="center" wrapText="1"/>
    </xf>
    <xf numFmtId="0" fontId="18" fillId="0" borderId="1" xfId="11" applyFont="1" applyBorder="1" applyAlignment="1">
      <alignment horizontal="center" vertical="center" wrapText="1"/>
    </xf>
    <xf numFmtId="0" fontId="18" fillId="0" borderId="2" xfId="11" applyFont="1" applyBorder="1" applyAlignment="1">
      <alignment horizontal="center" vertical="center" wrapText="1"/>
    </xf>
    <xf numFmtId="0" fontId="18" fillId="0" borderId="3" xfId="1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35" fillId="3" borderId="4" xfId="12" applyFont="1" applyFill="1" applyBorder="1" applyAlignment="1">
      <alignment horizontal="center" vertical="center"/>
    </xf>
    <xf numFmtId="0" fontId="35" fillId="3" borderId="16" xfId="12" applyFont="1" applyFill="1" applyBorder="1" applyAlignment="1">
      <alignment horizontal="center" vertical="center" wrapText="1"/>
    </xf>
    <xf numFmtId="0" fontId="35" fillId="3" borderId="25" xfId="12" applyFont="1" applyFill="1" applyBorder="1" applyAlignment="1">
      <alignment horizontal="center" vertical="center" wrapText="1"/>
    </xf>
    <xf numFmtId="0" fontId="35" fillId="3" borderId="16" xfId="12" applyFont="1" applyFill="1" applyBorder="1" applyAlignment="1">
      <alignment horizontal="center" vertical="center"/>
    </xf>
    <xf numFmtId="0" fontId="35" fillId="3" borderId="25" xfId="12" applyFont="1" applyFill="1" applyBorder="1" applyAlignment="1">
      <alignment horizontal="center" vertical="center"/>
    </xf>
    <xf numFmtId="0" fontId="35" fillId="0" borderId="14" xfId="12" applyFont="1" applyBorder="1" applyAlignment="1">
      <alignment horizontal="center" vertical="center" wrapText="1"/>
    </xf>
    <xf numFmtId="0" fontId="35" fillId="0" borderId="15" xfId="12" applyFont="1" applyBorder="1" applyAlignment="1">
      <alignment horizontal="center" vertical="center" wrapText="1"/>
    </xf>
    <xf numFmtId="0" fontId="35" fillId="0" borderId="14" xfId="12" applyFont="1" applyBorder="1" applyAlignment="1">
      <alignment horizontal="center" vertical="center"/>
    </xf>
    <xf numFmtId="0" fontId="35" fillId="0" borderId="7" xfId="12" applyFont="1" applyBorder="1" applyAlignment="1">
      <alignment horizontal="center" vertical="center"/>
    </xf>
    <xf numFmtId="0" fontId="35" fillId="0" borderId="15" xfId="12" applyFont="1" applyBorder="1" applyAlignment="1">
      <alignment horizontal="center" vertical="center"/>
    </xf>
    <xf numFmtId="0" fontId="21" fillId="0" borderId="14" xfId="12" applyFont="1" applyBorder="1" applyAlignment="1">
      <alignment horizontal="center"/>
    </xf>
    <xf numFmtId="0" fontId="21" fillId="0" borderId="7" xfId="12" applyFont="1" applyBorder="1" applyAlignment="1">
      <alignment horizontal="center"/>
    </xf>
    <xf numFmtId="0" fontId="21" fillId="0" borderId="15" xfId="12" applyFont="1" applyBorder="1" applyAlignment="1">
      <alignment horizontal="center"/>
    </xf>
    <xf numFmtId="0" fontId="35" fillId="3" borderId="4" xfId="12" applyFont="1" applyFill="1" applyBorder="1" applyAlignment="1">
      <alignment horizontal="center" vertical="center" wrapText="1"/>
    </xf>
    <xf numFmtId="0" fontId="35" fillId="6" borderId="14" xfId="12" applyFont="1" applyFill="1" applyBorder="1" applyAlignment="1">
      <alignment horizontal="center" vertical="center"/>
    </xf>
    <xf numFmtId="0" fontId="35" fillId="6" borderId="7" xfId="12" applyFont="1" applyFill="1" applyBorder="1" applyAlignment="1">
      <alignment horizontal="center" vertical="center"/>
    </xf>
    <xf numFmtId="0" fontId="35" fillId="7" borderId="14" xfId="12" applyFont="1" applyFill="1" applyBorder="1" applyAlignment="1">
      <alignment horizontal="center" vertical="center"/>
    </xf>
    <xf numFmtId="0" fontId="35" fillId="7" borderId="7" xfId="12" applyFont="1" applyFill="1" applyBorder="1" applyAlignment="1">
      <alignment horizontal="center" vertical="center"/>
    </xf>
    <xf numFmtId="0" fontId="46" fillId="3" borderId="16" xfId="12" applyFont="1" applyFill="1" applyBorder="1" applyAlignment="1">
      <alignment horizontal="center" vertical="center" wrapText="1"/>
    </xf>
    <xf numFmtId="0" fontId="46" fillId="3" borderId="25" xfId="12" applyFont="1" applyFill="1" applyBorder="1" applyAlignment="1">
      <alignment horizontal="center" vertical="center" wrapText="1"/>
    </xf>
    <xf numFmtId="0" fontId="42" fillId="0" borderId="14" xfId="12" applyFont="1" applyBorder="1" applyAlignment="1">
      <alignment horizontal="center" vertical="center" wrapText="1"/>
    </xf>
    <xf numFmtId="0" fontId="42" fillId="0" borderId="15" xfId="12" applyFont="1" applyBorder="1" applyAlignment="1">
      <alignment horizontal="center" vertical="center" wrapText="1"/>
    </xf>
    <xf numFmtId="0" fontId="35" fillId="8" borderId="14" xfId="12" applyFont="1" applyFill="1" applyBorder="1" applyAlignment="1">
      <alignment horizontal="center" vertical="center"/>
    </xf>
    <xf numFmtId="0" fontId="35" fillId="8" borderId="7" xfId="12" applyFont="1" applyFill="1" applyBorder="1" applyAlignment="1">
      <alignment horizontal="center" vertical="center"/>
    </xf>
    <xf numFmtId="0" fontId="35" fillId="8" borderId="15" xfId="12" applyFont="1" applyFill="1" applyBorder="1" applyAlignment="1">
      <alignment horizontal="center" vertical="center"/>
    </xf>
    <xf numFmtId="0" fontId="35" fillId="3" borderId="14" xfId="12" applyFont="1" applyFill="1" applyBorder="1" applyAlignment="1">
      <alignment horizontal="center" vertical="center"/>
    </xf>
    <xf numFmtId="0" fontId="35" fillId="3" borderId="7" xfId="12" applyFont="1" applyFill="1" applyBorder="1" applyAlignment="1">
      <alignment horizontal="center" vertical="center"/>
    </xf>
    <xf numFmtId="0" fontId="35" fillId="3" borderId="15" xfId="12" applyFont="1" applyFill="1" applyBorder="1" applyAlignment="1">
      <alignment horizontal="center" vertical="center"/>
    </xf>
    <xf numFmtId="0" fontId="35" fillId="3" borderId="39" xfId="12" applyFont="1" applyFill="1" applyBorder="1" applyAlignment="1">
      <alignment horizontal="center" vertical="center" wrapText="1"/>
    </xf>
    <xf numFmtId="0" fontId="35" fillId="3" borderId="27" xfId="12" applyFont="1" applyFill="1" applyBorder="1" applyAlignment="1">
      <alignment horizontal="center" vertical="center" wrapText="1"/>
    </xf>
    <xf numFmtId="0" fontId="35" fillId="3" borderId="35" xfId="12" applyFont="1" applyFill="1" applyBorder="1" applyAlignment="1">
      <alignment horizontal="center" vertical="center" wrapText="1"/>
    </xf>
    <xf numFmtId="0" fontId="35" fillId="3" borderId="46" xfId="12" applyFont="1" applyFill="1" applyBorder="1" applyAlignment="1">
      <alignment horizontal="center" vertical="center" wrapText="1"/>
    </xf>
    <xf numFmtId="0" fontId="35" fillId="3" borderId="0" xfId="12" applyFont="1" applyFill="1" applyAlignment="1">
      <alignment horizontal="center" vertical="center" wrapText="1"/>
    </xf>
    <xf numFmtId="0" fontId="35" fillId="3" borderId="45" xfId="12" applyFont="1" applyFill="1" applyBorder="1" applyAlignment="1">
      <alignment horizontal="center" vertical="center" wrapText="1"/>
    </xf>
    <xf numFmtId="0" fontId="35" fillId="3" borderId="47" xfId="12" applyFont="1" applyFill="1" applyBorder="1" applyAlignment="1">
      <alignment horizontal="center" vertical="center" wrapText="1"/>
    </xf>
    <xf numFmtId="0" fontId="35" fillId="3" borderId="29" xfId="12" applyFont="1" applyFill="1" applyBorder="1" applyAlignment="1">
      <alignment horizontal="center" vertical="center" wrapText="1"/>
    </xf>
    <xf numFmtId="0" fontId="35" fillId="3" borderId="48" xfId="12" applyFont="1" applyFill="1" applyBorder="1" applyAlignment="1">
      <alignment horizontal="center" vertical="center" wrapText="1"/>
    </xf>
    <xf numFmtId="0" fontId="35" fillId="5" borderId="14" xfId="12" applyFont="1" applyFill="1" applyBorder="1" applyAlignment="1">
      <alignment horizontal="center" vertical="center"/>
    </xf>
    <xf numFmtId="0" fontId="35" fillId="5" borderId="7" xfId="12" applyFont="1" applyFill="1" applyBorder="1" applyAlignment="1">
      <alignment horizontal="center" vertical="center"/>
    </xf>
    <xf numFmtId="0" fontId="35" fillId="3" borderId="39" xfId="12" applyFont="1" applyFill="1" applyBorder="1" applyAlignment="1">
      <alignment horizontal="center" vertical="center"/>
    </xf>
    <xf numFmtId="0" fontId="35" fillId="3" borderId="35" xfId="12" applyFont="1" applyFill="1" applyBorder="1" applyAlignment="1">
      <alignment horizontal="center" vertical="center"/>
    </xf>
    <xf numFmtId="0" fontId="35" fillId="3" borderId="47" xfId="12" applyFont="1" applyFill="1" applyBorder="1" applyAlignment="1">
      <alignment horizontal="center" vertical="center"/>
    </xf>
    <xf numFmtId="0" fontId="35" fillId="3" borderId="48" xfId="12" applyFont="1" applyFill="1" applyBorder="1" applyAlignment="1">
      <alignment horizontal="center" vertical="center"/>
    </xf>
    <xf numFmtId="0" fontId="35" fillId="5" borderId="14" xfId="12" applyFont="1" applyFill="1" applyBorder="1" applyAlignment="1">
      <alignment horizontal="center" vertical="center" wrapText="1"/>
    </xf>
    <xf numFmtId="0" fontId="35" fillId="5" borderId="7" xfId="12" applyFont="1" applyFill="1" applyBorder="1" applyAlignment="1">
      <alignment horizontal="center" vertical="center" wrapText="1"/>
    </xf>
    <xf numFmtId="0" fontId="35" fillId="5" borderId="15" xfId="12" applyFont="1" applyFill="1" applyBorder="1" applyAlignment="1">
      <alignment horizontal="center" vertical="center" wrapText="1"/>
    </xf>
    <xf numFmtId="0" fontId="38" fillId="0" borderId="4" xfId="13" applyFont="1" applyBorder="1" applyAlignment="1">
      <alignment horizontal="center"/>
    </xf>
    <xf numFmtId="0" fontId="35" fillId="8" borderId="14" xfId="12" applyFont="1" applyFill="1" applyBorder="1" applyAlignment="1">
      <alignment horizontal="center" vertical="center" wrapText="1"/>
    </xf>
    <xf numFmtId="0" fontId="35" fillId="8" borderId="7" xfId="12" applyFont="1" applyFill="1" applyBorder="1" applyAlignment="1">
      <alignment horizontal="center" vertical="center" wrapText="1"/>
    </xf>
    <xf numFmtId="0" fontId="35" fillId="8" borderId="15" xfId="12" applyFont="1" applyFill="1" applyBorder="1" applyAlignment="1">
      <alignment horizontal="center" vertical="center" wrapText="1"/>
    </xf>
    <xf numFmtId="0" fontId="35" fillId="11" borderId="14" xfId="12" applyFont="1" applyFill="1" applyBorder="1" applyAlignment="1">
      <alignment horizontal="center" vertical="center" wrapText="1"/>
    </xf>
    <xf numFmtId="0" fontId="35" fillId="11" borderId="7" xfId="12" applyFont="1" applyFill="1" applyBorder="1" applyAlignment="1">
      <alignment horizontal="center" vertical="center" wrapText="1"/>
    </xf>
    <xf numFmtId="0" fontId="35" fillId="11" borderId="15" xfId="12" applyFont="1" applyFill="1" applyBorder="1" applyAlignment="1">
      <alignment horizontal="center" vertical="center" wrapText="1"/>
    </xf>
    <xf numFmtId="0" fontId="35" fillId="11" borderId="14" xfId="12" applyFont="1" applyFill="1" applyBorder="1" applyAlignment="1">
      <alignment horizontal="center" vertical="center"/>
    </xf>
    <xf numFmtId="0" fontId="35" fillId="11" borderId="7" xfId="12" applyFont="1" applyFill="1" applyBorder="1" applyAlignment="1">
      <alignment horizontal="center" vertical="center"/>
    </xf>
    <xf numFmtId="0" fontId="35" fillId="6" borderId="15" xfId="12" applyFont="1" applyFill="1" applyBorder="1" applyAlignment="1">
      <alignment horizontal="center" vertical="center"/>
    </xf>
    <xf numFmtId="167" fontId="22" fillId="0" borderId="4" xfId="1" applyNumberFormat="1" applyFont="1" applyBorder="1" applyAlignment="1">
      <alignment horizontal="center" vertical="center"/>
    </xf>
    <xf numFmtId="0" fontId="55" fillId="0" borderId="14" xfId="0" applyFont="1" applyBorder="1" applyAlignment="1">
      <alignment horizontal="center" vertical="center"/>
    </xf>
    <xf numFmtId="0" fontId="55" fillId="0" borderId="7" xfId="0" applyFont="1" applyBorder="1" applyAlignment="1">
      <alignment horizontal="center" vertical="center"/>
    </xf>
    <xf numFmtId="0" fontId="55" fillId="0" borderId="15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1" fillId="0" borderId="9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 wrapText="1"/>
    </xf>
    <xf numFmtId="0" fontId="31" fillId="0" borderId="21" xfId="0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0" fontId="45" fillId="0" borderId="5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 wrapText="1"/>
    </xf>
    <xf numFmtId="0" fontId="33" fillId="0" borderId="23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 wrapText="1"/>
    </xf>
    <xf numFmtId="0" fontId="33" fillId="0" borderId="24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/>
    </xf>
    <xf numFmtId="0" fontId="13" fillId="0" borderId="32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6" xfId="0" applyFont="1" applyBorder="1" applyAlignment="1">
      <alignment horizontal="left"/>
    </xf>
    <xf numFmtId="0" fontId="13" fillId="0" borderId="7" xfId="0" applyFont="1" applyBorder="1" applyAlignment="1">
      <alignment horizontal="left"/>
    </xf>
    <xf numFmtId="0" fontId="13" fillId="0" borderId="15" xfId="0" applyFont="1" applyBorder="1" applyAlignment="1">
      <alignment horizontal="left"/>
    </xf>
    <xf numFmtId="0" fontId="13" fillId="0" borderId="36" xfId="0" applyFont="1" applyBorder="1" applyAlignment="1">
      <alignment horizontal="left"/>
    </xf>
    <xf numFmtId="0" fontId="13" fillId="0" borderId="37" xfId="0" applyFont="1" applyBorder="1" applyAlignment="1">
      <alignment horizontal="left"/>
    </xf>
    <xf numFmtId="0" fontId="13" fillId="0" borderId="38" xfId="0" applyFont="1" applyBorder="1" applyAlignment="1">
      <alignment horizontal="left"/>
    </xf>
    <xf numFmtId="0" fontId="8" fillId="0" borderId="0" xfId="0" applyFont="1" applyAlignment="1">
      <alignment horizontal="center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29" fillId="0" borderId="26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34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62" fillId="0" borderId="22" xfId="0" applyFont="1" applyBorder="1" applyAlignment="1">
      <alignment horizontal="center" vertical="center" wrapText="1"/>
    </xf>
    <xf numFmtId="0" fontId="62" fillId="0" borderId="21" xfId="0" applyFont="1" applyBorder="1" applyAlignment="1">
      <alignment horizontal="center" vertical="center" wrapText="1"/>
    </xf>
    <xf numFmtId="0" fontId="62" fillId="0" borderId="23" xfId="0" applyFont="1" applyBorder="1" applyAlignment="1">
      <alignment horizontal="center" vertical="center" wrapText="1"/>
    </xf>
    <xf numFmtId="0" fontId="62" fillId="0" borderId="8" xfId="0" applyFont="1" applyBorder="1" applyAlignment="1">
      <alignment horizontal="center" vertical="center" wrapText="1"/>
    </xf>
    <xf numFmtId="0" fontId="62" fillId="0" borderId="0" xfId="0" applyFont="1" applyAlignment="1">
      <alignment horizontal="center" vertical="center" wrapText="1"/>
    </xf>
    <xf numFmtId="0" fontId="62" fillId="0" borderId="9" xfId="0" applyFont="1" applyBorder="1" applyAlignment="1">
      <alignment horizontal="center" vertical="center" wrapText="1"/>
    </xf>
    <xf numFmtId="0" fontId="62" fillId="0" borderId="17" xfId="0" applyFont="1" applyBorder="1" applyAlignment="1">
      <alignment horizontal="center" vertical="center" wrapText="1"/>
    </xf>
    <xf numFmtId="0" fontId="62" fillId="0" borderId="20" xfId="0" applyFont="1" applyBorder="1" applyAlignment="1">
      <alignment horizontal="center" vertical="center" wrapText="1"/>
    </xf>
    <xf numFmtId="0" fontId="62" fillId="0" borderId="24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justify" wrapText="1"/>
    </xf>
    <xf numFmtId="0" fontId="13" fillId="0" borderId="7" xfId="0" applyFont="1" applyBorder="1" applyAlignment="1">
      <alignment horizontal="justify" wrapText="1"/>
    </xf>
    <xf numFmtId="0" fontId="13" fillId="0" borderId="15" xfId="0" applyFont="1" applyBorder="1" applyAlignment="1">
      <alignment horizontal="justify" wrapText="1"/>
    </xf>
    <xf numFmtId="0" fontId="30" fillId="0" borderId="26" xfId="0" applyFont="1" applyBorder="1" applyAlignment="1">
      <alignment horizontal="center" vertical="center" wrapText="1"/>
    </xf>
    <xf numFmtId="0" fontId="30" fillId="0" borderId="28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30" fillId="0" borderId="34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0" fontId="36" fillId="0" borderId="26" xfId="0" applyFont="1" applyBorder="1" applyAlignment="1">
      <alignment horizontal="center" vertical="center" wrapText="1"/>
    </xf>
    <xf numFmtId="0" fontId="36" fillId="0" borderId="28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6" fillId="0" borderId="34" xfId="0" applyFont="1" applyBorder="1" applyAlignment="1">
      <alignment horizontal="center" vertical="center" wrapText="1"/>
    </xf>
    <xf numFmtId="0" fontId="36" fillId="0" borderId="3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5" fillId="0" borderId="26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3" fillId="0" borderId="6" xfId="0" applyFont="1" applyBorder="1" applyAlignment="1">
      <alignment horizontal="left" wrapText="1"/>
    </xf>
    <xf numFmtId="0" fontId="13" fillId="0" borderId="7" xfId="0" applyFont="1" applyBorder="1" applyAlignment="1">
      <alignment horizontal="left" wrapText="1"/>
    </xf>
    <xf numFmtId="0" fontId="13" fillId="0" borderId="15" xfId="0" applyFont="1" applyBorder="1" applyAlignment="1">
      <alignment horizontal="left" wrapText="1"/>
    </xf>
    <xf numFmtId="0" fontId="41" fillId="0" borderId="26" xfId="0" applyFont="1" applyBorder="1" applyAlignment="1">
      <alignment horizontal="center" vertical="center" wrapText="1"/>
    </xf>
    <xf numFmtId="0" fontId="41" fillId="0" borderId="28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1" fillId="0" borderId="9" xfId="0" applyFont="1" applyBorder="1" applyAlignment="1">
      <alignment horizontal="center" vertical="center" wrapText="1"/>
    </xf>
    <xf numFmtId="0" fontId="41" fillId="0" borderId="34" xfId="0" applyFont="1" applyBorder="1" applyAlignment="1">
      <alignment horizontal="center" vertical="center" wrapText="1"/>
    </xf>
    <xf numFmtId="0" fontId="41" fillId="0" borderId="30" xfId="0" applyFont="1" applyBorder="1" applyAlignment="1">
      <alignment horizontal="center" vertical="center" wrapText="1"/>
    </xf>
    <xf numFmtId="0" fontId="36" fillId="0" borderId="0" xfId="0" applyFont="1" applyAlignment="1">
      <alignment horizontal="left"/>
    </xf>
    <xf numFmtId="0" fontId="10" fillId="0" borderId="2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/>
    </xf>
    <xf numFmtId="0" fontId="13" fillId="0" borderId="38" xfId="0" applyFont="1" applyBorder="1" applyAlignment="1">
      <alignment horizontal="center"/>
    </xf>
    <xf numFmtId="0" fontId="13" fillId="0" borderId="6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2" borderId="6" xfId="0" applyFont="1" applyFill="1" applyBorder="1" applyAlignment="1">
      <alignment horizontal="left" vertical="center"/>
    </xf>
    <xf numFmtId="0" fontId="13" fillId="2" borderId="7" xfId="0" applyFont="1" applyFill="1" applyBorder="1" applyAlignment="1">
      <alignment horizontal="left" vertical="center"/>
    </xf>
    <xf numFmtId="0" fontId="13" fillId="2" borderId="15" xfId="0" applyFont="1" applyFill="1" applyBorder="1" applyAlignment="1">
      <alignment horizontal="left" vertical="center"/>
    </xf>
    <xf numFmtId="0" fontId="5" fillId="2" borderId="26" xfId="0" applyFont="1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0" fontId="43" fillId="0" borderId="10" xfId="0" applyFont="1" applyBorder="1" applyAlignment="1">
      <alignment horizontal="center" vertical="center" wrapText="1"/>
    </xf>
    <xf numFmtId="0" fontId="43" fillId="0" borderId="5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13" fillId="0" borderId="55" xfId="0" applyFont="1" applyBorder="1" applyAlignment="1">
      <alignment horizontal="center"/>
    </xf>
    <xf numFmtId="0" fontId="13" fillId="0" borderId="56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3" fillId="0" borderId="5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33" fillId="0" borderId="5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15" fillId="10" borderId="5" xfId="0" applyFont="1" applyFill="1" applyBorder="1" applyAlignment="1">
      <alignment horizontal="center" vertical="center"/>
    </xf>
    <xf numFmtId="0" fontId="15" fillId="10" borderId="4" xfId="0" applyFont="1" applyFill="1" applyBorder="1" applyAlignment="1">
      <alignment horizontal="center" vertical="center"/>
    </xf>
    <xf numFmtId="0" fontId="15" fillId="10" borderId="10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0" xfId="0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5" fillId="0" borderId="5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61" fillId="0" borderId="1" xfId="24" applyFont="1" applyBorder="1" applyAlignment="1">
      <alignment horizontal="center" vertical="center" wrapText="1"/>
    </xf>
    <xf numFmtId="0" fontId="61" fillId="0" borderId="2" xfId="24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8" fillId="10" borderId="14" xfId="0" applyFont="1" applyFill="1" applyBorder="1" applyAlignment="1">
      <alignment horizontal="center" vertical="center"/>
    </xf>
    <xf numFmtId="0" fontId="8" fillId="10" borderId="7" xfId="0" applyFont="1" applyFill="1" applyBorder="1" applyAlignment="1">
      <alignment horizontal="center" vertical="center"/>
    </xf>
    <xf numFmtId="0" fontId="8" fillId="10" borderId="15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8" fillId="1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8" fillId="6" borderId="4" xfId="0" applyFont="1" applyFill="1" applyBorder="1" applyAlignment="1">
      <alignment horizontal="center" vertical="center"/>
    </xf>
  </cellXfs>
  <cellStyles count="52">
    <cellStyle name="Euro" xfId="8" xr:uid="{00000000-0005-0000-0000-000000000000}"/>
    <cellStyle name="Millares" xfId="1" builtinId="3"/>
    <cellStyle name="Millares [0] 2" xfId="20" xr:uid="{00000000-0005-0000-0000-000002000000}"/>
    <cellStyle name="Millares [0] 3" xfId="32" xr:uid="{00000000-0005-0000-0000-000003000000}"/>
    <cellStyle name="Millares 2" xfId="6" xr:uid="{00000000-0005-0000-0000-000004000000}"/>
    <cellStyle name="Millares 2 10" xfId="15" xr:uid="{00000000-0005-0000-0000-000005000000}"/>
    <cellStyle name="Millares 3" xfId="7" xr:uid="{00000000-0005-0000-0000-000006000000}"/>
    <cellStyle name="Millares 4" xfId="31" xr:uid="{00000000-0005-0000-0000-000007000000}"/>
    <cellStyle name="Millares 5" xfId="21" xr:uid="{00000000-0005-0000-0000-000008000000}"/>
    <cellStyle name="Millares 5 2" xfId="27" xr:uid="{00000000-0005-0000-0000-000009000000}"/>
    <cellStyle name="Moneda" xfId="5" builtinId="4"/>
    <cellStyle name="Moneda [0] 2" xfId="47" xr:uid="{00000000-0005-0000-0000-00000B000000}"/>
    <cellStyle name="Moneda [0] 3" xfId="34" xr:uid="{00000000-0005-0000-0000-00000C000000}"/>
    <cellStyle name="Moneda [0] 3 2" xfId="28" xr:uid="{00000000-0005-0000-0000-00000D000000}"/>
    <cellStyle name="Moneda 10" xfId="22" xr:uid="{00000000-0005-0000-0000-00000E000000}"/>
    <cellStyle name="Moneda 2" xfId="3" xr:uid="{00000000-0005-0000-0000-00000F000000}"/>
    <cellStyle name="Moneda 2 2" xfId="46" xr:uid="{00000000-0005-0000-0000-000010000000}"/>
    <cellStyle name="Moneda 3" xfId="16" xr:uid="{00000000-0005-0000-0000-000011000000}"/>
    <cellStyle name="Moneda 3 2" xfId="23" xr:uid="{00000000-0005-0000-0000-000012000000}"/>
    <cellStyle name="Moneda 3 2 2" xfId="51" xr:uid="{00000000-0005-0000-0000-000013000000}"/>
    <cellStyle name="Moneda 3 3" xfId="48" xr:uid="{00000000-0005-0000-0000-000014000000}"/>
    <cellStyle name="Moneda 4" xfId="41" xr:uid="{00000000-0005-0000-0000-000015000000}"/>
    <cellStyle name="Moneda 5" xfId="50" xr:uid="{00000000-0005-0000-0000-000016000000}"/>
    <cellStyle name="Moneda 6" xfId="33" xr:uid="{00000000-0005-0000-0000-000017000000}"/>
    <cellStyle name="Moneda_Propuesta SCV-045-99" xfId="4" xr:uid="{00000000-0005-0000-0000-000018000000}"/>
    <cellStyle name="Normal" xfId="0" builtinId="0"/>
    <cellStyle name="Normal 10" xfId="12" xr:uid="{00000000-0005-0000-0000-00001A000000}"/>
    <cellStyle name="Normal 10 2" xfId="13" xr:uid="{00000000-0005-0000-0000-00001B000000}"/>
    <cellStyle name="Normal 11" xfId="44" xr:uid="{00000000-0005-0000-0000-00001C000000}"/>
    <cellStyle name="Normal 12" xfId="43" xr:uid="{00000000-0005-0000-0000-00001D000000}"/>
    <cellStyle name="Normal 13" xfId="38" xr:uid="{00000000-0005-0000-0000-00001E000000}"/>
    <cellStyle name="Normal 2" xfId="2" xr:uid="{00000000-0005-0000-0000-00001F000000}"/>
    <cellStyle name="Normal 2 10" xfId="24" xr:uid="{00000000-0005-0000-0000-000020000000}"/>
    <cellStyle name="Normal 2 2" xfId="11" xr:uid="{00000000-0005-0000-0000-000021000000}"/>
    <cellStyle name="Normal 2 2 2" xfId="49" xr:uid="{00000000-0005-0000-0000-000022000000}"/>
    <cellStyle name="Normal 2 3" xfId="37" xr:uid="{00000000-0005-0000-0000-000023000000}"/>
    <cellStyle name="Normal 3" xfId="14" xr:uid="{00000000-0005-0000-0000-000024000000}"/>
    <cellStyle name="Normal 3 2" xfId="45" xr:uid="{00000000-0005-0000-0000-000025000000}"/>
    <cellStyle name="Normal 3 3" xfId="36" xr:uid="{00000000-0005-0000-0000-000026000000}"/>
    <cellStyle name="Normal 30 3" xfId="19" xr:uid="{00000000-0005-0000-0000-000027000000}"/>
    <cellStyle name="Normal 4" xfId="10" xr:uid="{00000000-0005-0000-0000-000028000000}"/>
    <cellStyle name="Normal 4 2" xfId="25" xr:uid="{00000000-0005-0000-0000-000029000000}"/>
    <cellStyle name="Normal 5" xfId="26" xr:uid="{00000000-0005-0000-0000-00002A000000}"/>
    <cellStyle name="Normal 6" xfId="30" xr:uid="{00000000-0005-0000-0000-00002B000000}"/>
    <cellStyle name="Normal 7" xfId="42" xr:uid="{00000000-0005-0000-0000-00002C000000}"/>
    <cellStyle name="Normal 7 4" xfId="29" xr:uid="{00000000-0005-0000-0000-00002D000000}"/>
    <cellStyle name="Normal 8" xfId="39" xr:uid="{00000000-0005-0000-0000-00002E000000}"/>
    <cellStyle name="Porcentaje" xfId="18" builtinId="5"/>
    <cellStyle name="Porcentaje 2" xfId="17" xr:uid="{00000000-0005-0000-0000-000030000000}"/>
    <cellStyle name="Porcentaje 3" xfId="40" xr:uid="{00000000-0005-0000-0000-000031000000}"/>
    <cellStyle name="Porcentaje 4" xfId="35" xr:uid="{00000000-0005-0000-0000-000032000000}"/>
    <cellStyle name="Porcentual 2" xfId="9" xr:uid="{00000000-0005-0000-0000-000033000000}"/>
  </cellStyles>
  <dxfs count="0"/>
  <tableStyles count="0" defaultTableStyle="TableStyleMedium9" defaultPivotStyle="PivotStyleLight16"/>
  <colors>
    <mruColors>
      <color rgb="FF90E46E"/>
      <color rgb="FF66FF33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282466</xdr:colOff>
      <xdr:row>0</xdr:row>
      <xdr:rowOff>65691</xdr:rowOff>
    </xdr:from>
    <xdr:to>
      <xdr:col>6</xdr:col>
      <xdr:colOff>1110155</xdr:colOff>
      <xdr:row>1</xdr:row>
      <xdr:rowOff>735724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4466" y="1326932"/>
          <a:ext cx="6608379" cy="93936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785869</xdr:colOff>
      <xdr:row>0</xdr:row>
      <xdr:rowOff>74545</xdr:rowOff>
    </xdr:from>
    <xdr:to>
      <xdr:col>10</xdr:col>
      <xdr:colOff>44984</xdr:colOff>
      <xdr:row>1</xdr:row>
      <xdr:rowOff>1399762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1717" y="74545"/>
          <a:ext cx="9330767" cy="15902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278423</xdr:colOff>
      <xdr:row>0</xdr:row>
      <xdr:rowOff>109904</xdr:rowOff>
    </xdr:from>
    <xdr:to>
      <xdr:col>3</xdr:col>
      <xdr:colOff>893884</xdr:colOff>
      <xdr:row>1</xdr:row>
      <xdr:rowOff>567317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423" y="109904"/>
          <a:ext cx="4945673" cy="68454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1015729</xdr:colOff>
      <xdr:row>0</xdr:row>
      <xdr:rowOff>66262</xdr:rowOff>
    </xdr:from>
    <xdr:to>
      <xdr:col>9</xdr:col>
      <xdr:colOff>268615</xdr:colOff>
      <xdr:row>1</xdr:row>
      <xdr:rowOff>1035327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1577" y="66262"/>
          <a:ext cx="7552060" cy="123410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278423</xdr:colOff>
      <xdr:row>0</xdr:row>
      <xdr:rowOff>109903</xdr:rowOff>
    </xdr:from>
    <xdr:to>
      <xdr:col>3</xdr:col>
      <xdr:colOff>893884</xdr:colOff>
      <xdr:row>1</xdr:row>
      <xdr:rowOff>538369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423" y="109903"/>
          <a:ext cx="4806461" cy="66037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222250</xdr:colOff>
      <xdr:row>118</xdr:row>
      <xdr:rowOff>169333</xdr:rowOff>
    </xdr:from>
    <xdr:to>
      <xdr:col>2</xdr:col>
      <xdr:colOff>227965</xdr:colOff>
      <xdr:row>129</xdr:row>
      <xdr:rowOff>43095</xdr:rowOff>
    </xdr:to>
    <xdr:pic>
      <xdr:nvPicPr>
        <xdr:cNvPr id="2" name="Imagen 1" descr="Firma de Jair Caballer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3400" y="15533158"/>
          <a:ext cx="5715" cy="172948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206694</xdr:colOff>
      <xdr:row>0</xdr:row>
      <xdr:rowOff>87797</xdr:rowOff>
    </xdr:from>
    <xdr:to>
      <xdr:col>6</xdr:col>
      <xdr:colOff>460087</xdr:colOff>
      <xdr:row>0</xdr:row>
      <xdr:rowOff>1371600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269" y="87797"/>
          <a:ext cx="9254518" cy="128380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581025</xdr:colOff>
      <xdr:row>0</xdr:row>
      <xdr:rowOff>79864</xdr:rowOff>
    </xdr:from>
    <xdr:to>
      <xdr:col>16</xdr:col>
      <xdr:colOff>154598</xdr:colOff>
      <xdr:row>3</xdr:row>
      <xdr:rowOff>304801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06100" y="1603864"/>
          <a:ext cx="1002323" cy="111076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472966</xdr:colOff>
      <xdr:row>1</xdr:row>
      <xdr:rowOff>52552</xdr:rowOff>
    </xdr:from>
    <xdr:to>
      <xdr:col>4</xdr:col>
      <xdr:colOff>493766</xdr:colOff>
      <xdr:row>4</xdr:row>
      <xdr:rowOff>492672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82259" y="1372914"/>
          <a:ext cx="973300" cy="107731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523875</xdr:colOff>
      <xdr:row>0</xdr:row>
      <xdr:rowOff>66675</xdr:rowOff>
    </xdr:from>
    <xdr:to>
      <xdr:col>5</xdr:col>
      <xdr:colOff>518072</xdr:colOff>
      <xdr:row>3</xdr:row>
      <xdr:rowOff>400050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7975" y="1590675"/>
          <a:ext cx="1032422" cy="11430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610914</xdr:colOff>
      <xdr:row>2</xdr:row>
      <xdr:rowOff>59120</xdr:rowOff>
    </xdr:from>
    <xdr:to>
      <xdr:col>2</xdr:col>
      <xdr:colOff>466397</xdr:colOff>
      <xdr:row>5</xdr:row>
      <xdr:rowOff>453258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1000" y="59120"/>
          <a:ext cx="972207" cy="1031328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695740</xdr:colOff>
      <xdr:row>2</xdr:row>
      <xdr:rowOff>132522</xdr:rowOff>
    </xdr:from>
    <xdr:to>
      <xdr:col>5</xdr:col>
      <xdr:colOff>535466</xdr:colOff>
      <xdr:row>5</xdr:row>
      <xdr:rowOff>513522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2892" y="1714500"/>
          <a:ext cx="1032422" cy="117613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MONTECRISTO%202021/PROYECTOS%20NUEVOS/PROYECTO%20BETANIA/Users/Administrador/Downloads/ADM%20VIAL%2003%20-%20CORDOBA/ESTADO%20DE%20RED/2103mar%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MONTECRISTO%202021/PROYECTOS%20NUEVOS/PROYECTO%20BETANIA/KINGSTON%20(F)/PROYECTO%20MARETIRA/COMPONENTE%20PRESUPUESTAL%20MARETIRA/PRESUPUESTO%20DE%20OBRA%20-%20PAVIMENTO%20MARETIRA%20CORRECCION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MONTECRISTO%202021/PROYECTOS%20NUEVOS/RESTAURANTE%20ESCOLAR%20TIPO/PRESUPUESTO%20DE%20OBRA%20-%20RESTAURANTE%20ESCOLAR%20TIP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 "/>
      <sheetName val="MATERIALES"/>
      <sheetName val="HERRAMIENTAS Y EQUIPOS"/>
      <sheetName val="MANO DE OBRA"/>
      <sheetName val="TRANSPORTE"/>
      <sheetName val="CANTIDADES DE OBRA"/>
      <sheetName val="Hoja1"/>
      <sheetName val="EXCAVACIONES"/>
    </sheetNames>
    <sheetDataSet>
      <sheetData sheetId="0" refreshError="1"/>
      <sheetData sheetId="1" refreshError="1"/>
      <sheetData sheetId="2" refreshError="1"/>
      <sheetData sheetId="3" refreshError="1">
        <row r="20">
          <cell r="C20">
            <v>100000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 BASICOS"/>
      <sheetName val="APU "/>
      <sheetName val="MATERIALES"/>
      <sheetName val="HERRA Y EQUIPOS"/>
      <sheetName val="MANO DE OBRA"/>
      <sheetName val="TRANSPORTE"/>
      <sheetName val="CANTIDADES DE OBRA"/>
    </sheetNames>
    <sheetDataSet>
      <sheetData sheetId="0"/>
      <sheetData sheetId="1"/>
      <sheetData sheetId="2"/>
      <sheetData sheetId="3"/>
      <sheetData sheetId="4"/>
      <sheetData sheetId="5">
        <row r="12">
          <cell r="E12">
            <v>44687</v>
          </cell>
        </row>
        <row r="14">
          <cell r="E14">
            <v>81926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tabColor rgb="FFFFFF00"/>
  </sheetPr>
  <dimension ref="B1:K175"/>
  <sheetViews>
    <sheetView view="pageBreakPreview" zoomScale="145" zoomScaleNormal="145" zoomScaleSheetLayoutView="145" workbookViewId="0">
      <selection activeCell="F13" sqref="F13"/>
    </sheetView>
  </sheetViews>
  <sheetFormatPr baseColWidth="10" defaultRowHeight="13" x14ac:dyDescent="0.15"/>
  <cols>
    <col min="2" max="2" width="6.1640625" style="7" customWidth="1"/>
    <col min="3" max="3" width="49.6640625" customWidth="1"/>
    <col min="4" max="4" width="7.5" customWidth="1"/>
    <col min="5" max="5" width="9.1640625" style="231" customWidth="1"/>
    <col min="6" max="6" width="14.33203125" style="225" customWidth="1"/>
    <col min="7" max="7" width="19.5" customWidth="1"/>
    <col min="8" max="8" width="5" customWidth="1"/>
    <col min="9" max="9" width="17.1640625" bestFit="1" customWidth="1"/>
  </cols>
  <sheetData>
    <row r="1" spans="2:8" ht="21" customHeight="1" x14ac:dyDescent="0.15">
      <c r="B1" s="440"/>
      <c r="C1" s="441"/>
      <c r="D1" s="441"/>
      <c r="E1" s="441"/>
      <c r="F1" s="441"/>
      <c r="G1" s="442"/>
      <c r="H1" s="411"/>
    </row>
    <row r="2" spans="2:8" ht="63" customHeight="1" x14ac:dyDescent="0.15">
      <c r="B2" s="443"/>
      <c r="C2" s="444"/>
      <c r="D2" s="444"/>
      <c r="E2" s="444"/>
      <c r="F2" s="444"/>
      <c r="G2" s="445"/>
      <c r="H2" s="92"/>
    </row>
    <row r="3" spans="2:8" ht="14.25" customHeight="1" x14ac:dyDescent="0.15">
      <c r="B3" s="446" t="s">
        <v>447</v>
      </c>
      <c r="C3" s="447"/>
      <c r="D3" s="447"/>
      <c r="E3" s="447"/>
      <c r="F3" s="447"/>
      <c r="G3" s="448"/>
      <c r="H3" s="92"/>
    </row>
    <row r="4" spans="2:8" ht="30.75" customHeight="1" x14ac:dyDescent="0.15">
      <c r="B4" s="449" t="s">
        <v>890</v>
      </c>
      <c r="C4" s="450"/>
      <c r="D4" s="450"/>
      <c r="E4" s="450"/>
      <c r="F4" s="450"/>
      <c r="G4" s="451"/>
      <c r="H4" s="196"/>
    </row>
    <row r="5" spans="2:8" ht="8.25" customHeight="1" x14ac:dyDescent="0.15">
      <c r="B5" s="455"/>
      <c r="C5" s="456"/>
      <c r="D5" s="456"/>
      <c r="E5" s="456"/>
      <c r="F5" s="456"/>
      <c r="G5" s="457"/>
      <c r="H5" s="197"/>
    </row>
    <row r="6" spans="2:8" ht="13.5" customHeight="1" x14ac:dyDescent="0.15">
      <c r="B6" s="458" t="s">
        <v>525</v>
      </c>
      <c r="C6" s="459"/>
      <c r="D6" s="459"/>
      <c r="E6" s="459"/>
      <c r="F6" s="459"/>
      <c r="G6" s="460"/>
      <c r="H6" s="202"/>
    </row>
    <row r="7" spans="2:8" ht="8.25" customHeight="1" x14ac:dyDescent="0.15">
      <c r="B7" s="455"/>
      <c r="C7" s="456"/>
      <c r="D7" s="456"/>
      <c r="E7" s="456"/>
      <c r="F7" s="456"/>
      <c r="G7" s="457"/>
      <c r="H7" s="197"/>
    </row>
    <row r="8" spans="2:8" s="195" customFormat="1" ht="14" x14ac:dyDescent="0.15">
      <c r="B8" s="278" t="s">
        <v>0</v>
      </c>
      <c r="C8" s="10" t="s">
        <v>1</v>
      </c>
      <c r="D8" s="256" t="s">
        <v>2</v>
      </c>
      <c r="E8" s="279" t="s">
        <v>3</v>
      </c>
      <c r="F8" s="277" t="s">
        <v>8</v>
      </c>
      <c r="G8" s="280" t="s">
        <v>4</v>
      </c>
      <c r="H8" s="281"/>
    </row>
    <row r="9" spans="2:8" ht="9" customHeight="1" x14ac:dyDescent="0.15">
      <c r="B9" s="437"/>
      <c r="C9" s="438"/>
      <c r="D9" s="438"/>
      <c r="E9" s="438"/>
      <c r="F9" s="438"/>
      <c r="G9" s="439"/>
      <c r="H9" s="197"/>
    </row>
    <row r="10" spans="2:8" x14ac:dyDescent="0.15">
      <c r="B10" s="283">
        <v>1</v>
      </c>
      <c r="C10" s="453" t="s">
        <v>12</v>
      </c>
      <c r="D10" s="453"/>
      <c r="E10" s="453"/>
      <c r="F10" s="453"/>
      <c r="G10" s="454"/>
      <c r="H10" s="198"/>
    </row>
    <row r="11" spans="2:8" x14ac:dyDescent="0.15">
      <c r="B11" s="283" t="s">
        <v>219</v>
      </c>
      <c r="C11" s="332" t="s">
        <v>46</v>
      </c>
      <c r="D11" s="335" t="s">
        <v>5</v>
      </c>
      <c r="E11" s="70">
        <f>'CANT. DE OBRA '!K12</f>
        <v>616.5992</v>
      </c>
      <c r="F11" s="333">
        <f>APUS!I37</f>
        <v>2806</v>
      </c>
      <c r="G11" s="334">
        <f t="shared" ref="G11:G15" si="0">E11*F11</f>
        <v>1730177.3551999999</v>
      </c>
      <c r="H11" s="199"/>
    </row>
    <row r="12" spans="2:8" x14ac:dyDescent="0.15">
      <c r="B12" s="283" t="s">
        <v>220</v>
      </c>
      <c r="C12" s="332" t="s">
        <v>897</v>
      </c>
      <c r="D12" s="335" t="s">
        <v>5</v>
      </c>
      <c r="E12" s="70">
        <f>'CANT. DE OBRA '!K19</f>
        <v>450.25</v>
      </c>
      <c r="F12" s="333">
        <f>APUS!I92</f>
        <v>12740</v>
      </c>
      <c r="G12" s="334">
        <f t="shared" si="0"/>
        <v>5736185</v>
      </c>
      <c r="H12" s="199"/>
    </row>
    <row r="13" spans="2:8" x14ac:dyDescent="0.15">
      <c r="B13" s="283" t="s">
        <v>414</v>
      </c>
      <c r="C13" s="332" t="s">
        <v>660</v>
      </c>
      <c r="D13" s="335" t="s">
        <v>5</v>
      </c>
      <c r="E13" s="70">
        <f>'CANT. DE OBRA '!K26</f>
        <v>616.5992</v>
      </c>
      <c r="F13" s="333">
        <f>APUS!I151</f>
        <v>7166</v>
      </c>
      <c r="G13" s="334">
        <f t="shared" si="0"/>
        <v>4418549.8672000002</v>
      </c>
      <c r="H13" s="199"/>
    </row>
    <row r="14" spans="2:8" ht="26" x14ac:dyDescent="0.15">
      <c r="B14" s="283" t="s">
        <v>417</v>
      </c>
      <c r="C14" s="332" t="s">
        <v>898</v>
      </c>
      <c r="D14" s="335" t="s">
        <v>6</v>
      </c>
      <c r="E14" s="70">
        <f>'CANT. DE OBRA '!L33</f>
        <v>92.489879999999999</v>
      </c>
      <c r="F14" s="333">
        <f>APUS!I213</f>
        <v>118953</v>
      </c>
      <c r="G14" s="334">
        <f t="shared" si="0"/>
        <v>11001948.69564</v>
      </c>
      <c r="H14" s="199"/>
    </row>
    <row r="15" spans="2:8" x14ac:dyDescent="0.15">
      <c r="B15" s="283" t="s">
        <v>521</v>
      </c>
      <c r="C15" s="332" t="s">
        <v>419</v>
      </c>
      <c r="D15" s="335" t="s">
        <v>6</v>
      </c>
      <c r="E15" s="70">
        <f>'CANT. DE OBRA '!K41</f>
        <v>120.19242</v>
      </c>
      <c r="F15" s="333">
        <f>APUS!I272</f>
        <v>28815</v>
      </c>
      <c r="G15" s="334">
        <f t="shared" si="0"/>
        <v>3463344.5822999999</v>
      </c>
      <c r="H15" s="199"/>
    </row>
    <row r="16" spans="2:8" ht="16.5" customHeight="1" x14ac:dyDescent="0.15">
      <c r="B16" s="283"/>
      <c r="C16" s="452" t="s">
        <v>11</v>
      </c>
      <c r="D16" s="452"/>
      <c r="E16" s="452"/>
      <c r="F16" s="452"/>
      <c r="G16" s="224">
        <f>SUM(G11:G15)</f>
        <v>26350205.50034</v>
      </c>
      <c r="H16" s="200"/>
    </row>
    <row r="17" spans="2:8" ht="9" customHeight="1" x14ac:dyDescent="0.15">
      <c r="B17" s="437"/>
      <c r="C17" s="438"/>
      <c r="D17" s="438"/>
      <c r="E17" s="438"/>
      <c r="F17" s="438"/>
      <c r="G17" s="439"/>
      <c r="H17" s="197"/>
    </row>
    <row r="18" spans="2:8" x14ac:dyDescent="0.15">
      <c r="B18" s="283">
        <v>2</v>
      </c>
      <c r="C18" s="453" t="s">
        <v>115</v>
      </c>
      <c r="D18" s="453"/>
      <c r="E18" s="453"/>
      <c r="F18" s="453"/>
      <c r="G18" s="454"/>
      <c r="H18" s="198"/>
    </row>
    <row r="19" spans="2:8" x14ac:dyDescent="0.15">
      <c r="B19" s="283" t="s">
        <v>215</v>
      </c>
      <c r="C19" s="332" t="s">
        <v>661</v>
      </c>
      <c r="D19" s="335" t="s">
        <v>6</v>
      </c>
      <c r="E19" s="70">
        <f>'CANT. DE OBRA '!K60</f>
        <v>41.126399999999997</v>
      </c>
      <c r="F19" s="333">
        <f>APUS!I328</f>
        <v>34022</v>
      </c>
      <c r="G19" s="334">
        <f t="shared" ref="G19:G21" si="1">E19*F19</f>
        <v>1399202.3807999999</v>
      </c>
      <c r="H19" s="199"/>
    </row>
    <row r="20" spans="2:8" x14ac:dyDescent="0.15">
      <c r="B20" s="283" t="s">
        <v>216</v>
      </c>
      <c r="C20" s="332" t="s">
        <v>416</v>
      </c>
      <c r="D20" s="335" t="s">
        <v>6</v>
      </c>
      <c r="E20" s="70">
        <f>'CANT. DE OBRA '!K69</f>
        <v>5.5419999999999998</v>
      </c>
      <c r="F20" s="333">
        <f>APUS!I390</f>
        <v>30742</v>
      </c>
      <c r="G20" s="334">
        <f t="shared" si="1"/>
        <v>170372.16399999999</v>
      </c>
      <c r="H20" s="199"/>
    </row>
    <row r="21" spans="2:8" ht="26" x14ac:dyDescent="0.15">
      <c r="B21" s="283" t="s">
        <v>217</v>
      </c>
      <c r="C21" s="332" t="s">
        <v>914</v>
      </c>
      <c r="D21" s="335" t="s">
        <v>6</v>
      </c>
      <c r="E21" s="70">
        <f>'CANT. DE OBRA '!L82</f>
        <v>52.519399999999997</v>
      </c>
      <c r="F21" s="333">
        <f>APUS!I451</f>
        <v>118953</v>
      </c>
      <c r="G21" s="334">
        <f t="shared" si="1"/>
        <v>6247340.1881999997</v>
      </c>
      <c r="H21" s="199"/>
    </row>
    <row r="22" spans="2:8" x14ac:dyDescent="0.15">
      <c r="B22" s="283" t="s">
        <v>218</v>
      </c>
      <c r="C22" s="332" t="s">
        <v>419</v>
      </c>
      <c r="D22" s="335" t="s">
        <v>6</v>
      </c>
      <c r="E22" s="70">
        <f>'CANT. DE OBRA '!K89</f>
        <v>35.584399999999995</v>
      </c>
      <c r="F22" s="333">
        <f>APUS!I510</f>
        <v>28815</v>
      </c>
      <c r="G22" s="334">
        <f>E22*F22</f>
        <v>1025364.4859999999</v>
      </c>
      <c r="H22" s="199"/>
    </row>
    <row r="23" spans="2:8" ht="16.5" customHeight="1" x14ac:dyDescent="0.15">
      <c r="B23" s="283"/>
      <c r="C23" s="452" t="s">
        <v>10</v>
      </c>
      <c r="D23" s="452"/>
      <c r="E23" s="452"/>
      <c r="F23" s="452"/>
      <c r="G23" s="224">
        <f>SUM(G19:G22)</f>
        <v>8842279.2189999986</v>
      </c>
      <c r="H23" s="200"/>
    </row>
    <row r="24" spans="2:8" ht="9" customHeight="1" x14ac:dyDescent="0.15">
      <c r="B24" s="437"/>
      <c r="C24" s="438"/>
      <c r="D24" s="438"/>
      <c r="E24" s="438"/>
      <c r="F24" s="438"/>
      <c r="G24" s="439"/>
      <c r="H24" s="197"/>
    </row>
    <row r="25" spans="2:8" x14ac:dyDescent="0.15">
      <c r="B25" s="174">
        <v>3</v>
      </c>
      <c r="C25" s="434" t="s">
        <v>18</v>
      </c>
      <c r="D25" s="434"/>
      <c r="E25" s="434"/>
      <c r="F25" s="434"/>
      <c r="G25" s="435"/>
      <c r="H25" s="201"/>
    </row>
    <row r="26" spans="2:8" x14ac:dyDescent="0.15">
      <c r="B26" s="283" t="s">
        <v>209</v>
      </c>
      <c r="C26" s="332" t="s">
        <v>483</v>
      </c>
      <c r="D26" s="335" t="s">
        <v>6</v>
      </c>
      <c r="E26" s="70">
        <f>'CANT. DE OBRA '!K99</f>
        <v>0.90150000000000008</v>
      </c>
      <c r="F26" s="333">
        <f>APUS!I568</f>
        <v>602220</v>
      </c>
      <c r="G26" s="334">
        <f t="shared" ref="G26:G36" si="2">E26*F26</f>
        <v>542901.33000000007</v>
      </c>
      <c r="H26" s="199"/>
    </row>
    <row r="27" spans="2:8" ht="26" x14ac:dyDescent="0.15">
      <c r="B27" s="283" t="s">
        <v>210</v>
      </c>
      <c r="C27" s="332" t="s">
        <v>526</v>
      </c>
      <c r="D27" s="335" t="s">
        <v>316</v>
      </c>
      <c r="E27" s="70">
        <f>'CANT. DE OBRA '!K106</f>
        <v>4</v>
      </c>
      <c r="F27" s="333">
        <f>APUS!I628</f>
        <v>383673</v>
      </c>
      <c r="G27" s="334">
        <f t="shared" si="2"/>
        <v>1534692</v>
      </c>
      <c r="H27" s="199"/>
    </row>
    <row r="28" spans="2:8" ht="26" x14ac:dyDescent="0.15">
      <c r="B28" s="283" t="s">
        <v>211</v>
      </c>
      <c r="C28" s="332" t="s">
        <v>917</v>
      </c>
      <c r="D28" s="335" t="s">
        <v>316</v>
      </c>
      <c r="E28" s="70">
        <f>'CANT. DE OBRA '!K113</f>
        <v>17</v>
      </c>
      <c r="F28" s="333">
        <f>APUS!I689</f>
        <v>178991</v>
      </c>
      <c r="G28" s="334">
        <f t="shared" ref="G28" si="3">E28*F28</f>
        <v>3042847</v>
      </c>
      <c r="H28" s="199"/>
    </row>
    <row r="29" spans="2:8" ht="26" x14ac:dyDescent="0.15">
      <c r="B29" s="283" t="s">
        <v>212</v>
      </c>
      <c r="C29" s="332" t="s">
        <v>877</v>
      </c>
      <c r="D29" s="335" t="s">
        <v>316</v>
      </c>
      <c r="E29" s="70">
        <f>'CANT. DE OBRA '!K120</f>
        <v>26</v>
      </c>
      <c r="F29" s="333">
        <f>APUS!I749</f>
        <v>100877</v>
      </c>
      <c r="G29" s="334">
        <f t="shared" si="2"/>
        <v>2622802</v>
      </c>
      <c r="H29" s="199"/>
    </row>
    <row r="30" spans="2:8" ht="26" x14ac:dyDescent="0.15">
      <c r="B30" s="283" t="s">
        <v>213</v>
      </c>
      <c r="C30" s="332" t="s">
        <v>878</v>
      </c>
      <c r="D30" s="335" t="s">
        <v>193</v>
      </c>
      <c r="E30" s="70">
        <f>'CANT. DE OBRA '!K128</f>
        <v>117.61</v>
      </c>
      <c r="F30" s="333">
        <f>APUS!I810</f>
        <v>176417</v>
      </c>
      <c r="G30" s="334">
        <f t="shared" ref="G30" si="4">E30*F30</f>
        <v>20748403.370000001</v>
      </c>
      <c r="H30" s="199"/>
    </row>
    <row r="31" spans="2:8" ht="26" x14ac:dyDescent="0.15">
      <c r="B31" s="283" t="s">
        <v>500</v>
      </c>
      <c r="C31" s="332" t="s">
        <v>878</v>
      </c>
      <c r="D31" s="335" t="s">
        <v>193</v>
      </c>
      <c r="E31" s="70">
        <f>'CANT. DE OBRA '!K140</f>
        <v>154.63999999999999</v>
      </c>
      <c r="F31" s="333">
        <f>APUS!I870</f>
        <v>124341</v>
      </c>
      <c r="G31" s="334">
        <f t="shared" si="2"/>
        <v>19228092.239999998</v>
      </c>
      <c r="H31" s="199"/>
    </row>
    <row r="32" spans="2:8" ht="26" x14ac:dyDescent="0.15">
      <c r="B32" s="283" t="s">
        <v>214</v>
      </c>
      <c r="C32" s="332" t="s">
        <v>923</v>
      </c>
      <c r="D32" s="335" t="s">
        <v>193</v>
      </c>
      <c r="E32" s="70">
        <f>'CANT. DE OBRA '!K147</f>
        <v>33.08</v>
      </c>
      <c r="F32" s="333">
        <f>APUS!I931</f>
        <v>97224</v>
      </c>
      <c r="G32" s="334">
        <f t="shared" ref="G32" si="5">E32*F32</f>
        <v>3216169.92</v>
      </c>
      <c r="H32" s="199"/>
    </row>
    <row r="33" spans="2:8" ht="26" x14ac:dyDescent="0.15">
      <c r="B33" s="283" t="s">
        <v>225</v>
      </c>
      <c r="C33" s="332" t="s">
        <v>665</v>
      </c>
      <c r="D33" s="335" t="s">
        <v>193</v>
      </c>
      <c r="E33" s="70">
        <f>'CANT. DE OBRA '!K154</f>
        <v>4.8</v>
      </c>
      <c r="F33" s="333">
        <f>APUS!I990</f>
        <v>399400</v>
      </c>
      <c r="G33" s="334">
        <f t="shared" si="2"/>
        <v>1917120</v>
      </c>
      <c r="H33" s="199"/>
    </row>
    <row r="34" spans="2:8" ht="26" x14ac:dyDescent="0.15">
      <c r="B34" s="283" t="s">
        <v>226</v>
      </c>
      <c r="C34" s="332" t="s">
        <v>885</v>
      </c>
      <c r="D34" s="335" t="s">
        <v>193</v>
      </c>
      <c r="E34" s="70">
        <f>'CANT. DE OBRA '!K163</f>
        <v>18.369999999999997</v>
      </c>
      <c r="F34" s="333">
        <f>APUS!I1050</f>
        <v>215650</v>
      </c>
      <c r="G34" s="334">
        <f t="shared" ref="G34:G35" si="6">E34*F34</f>
        <v>3961490.4999999995</v>
      </c>
      <c r="H34" s="199"/>
    </row>
    <row r="35" spans="2:8" ht="26" x14ac:dyDescent="0.15">
      <c r="B35" s="283" t="s">
        <v>227</v>
      </c>
      <c r="C35" s="332" t="s">
        <v>932</v>
      </c>
      <c r="D35" s="335" t="s">
        <v>193</v>
      </c>
      <c r="E35" s="70">
        <f>'CANT. DE OBRA '!K171</f>
        <v>75.67</v>
      </c>
      <c r="F35" s="333">
        <f>APUS!I1111</f>
        <v>144471</v>
      </c>
      <c r="G35" s="334">
        <f t="shared" si="6"/>
        <v>10932120.57</v>
      </c>
      <c r="H35" s="199"/>
    </row>
    <row r="36" spans="2:8" ht="26" x14ac:dyDescent="0.15">
      <c r="B36" s="283" t="s">
        <v>228</v>
      </c>
      <c r="C36" s="332" t="s">
        <v>879</v>
      </c>
      <c r="D36" s="335" t="s">
        <v>193</v>
      </c>
      <c r="E36" s="70">
        <f>'CANT. DE OBRA '!K178</f>
        <v>63.7</v>
      </c>
      <c r="F36" s="333">
        <f>APUS!I1171</f>
        <v>122152</v>
      </c>
      <c r="G36" s="334">
        <f t="shared" si="2"/>
        <v>7781082.4000000004</v>
      </c>
      <c r="H36" s="199"/>
    </row>
    <row r="37" spans="2:8" ht="26" x14ac:dyDescent="0.15">
      <c r="B37" s="283" t="s">
        <v>229</v>
      </c>
      <c r="C37" s="332" t="s">
        <v>937</v>
      </c>
      <c r="D37" s="335" t="s">
        <v>193</v>
      </c>
      <c r="E37" s="70">
        <f>'CANT. DE OBRA '!K186</f>
        <v>117.61</v>
      </c>
      <c r="F37" s="333">
        <f>APUS!I1231</f>
        <v>122117</v>
      </c>
      <c r="G37" s="334">
        <f>E37*F37</f>
        <v>14362180.369999999</v>
      </c>
      <c r="H37" s="199"/>
    </row>
    <row r="38" spans="2:8" ht="26" x14ac:dyDescent="0.15">
      <c r="B38" s="283" t="s">
        <v>501</v>
      </c>
      <c r="C38" s="332" t="s">
        <v>938</v>
      </c>
      <c r="D38" s="335" t="s">
        <v>193</v>
      </c>
      <c r="E38" s="70">
        <f>'CANT. DE OBRA '!K193</f>
        <v>85.23</v>
      </c>
      <c r="F38" s="333">
        <f>APUS!I1291</f>
        <v>106536</v>
      </c>
      <c r="G38" s="334">
        <f>E38*F38</f>
        <v>9080063.2800000012</v>
      </c>
      <c r="H38" s="199"/>
    </row>
    <row r="39" spans="2:8" ht="26" x14ac:dyDescent="0.15">
      <c r="B39" s="283" t="s">
        <v>528</v>
      </c>
      <c r="C39" s="332" t="s">
        <v>882</v>
      </c>
      <c r="D39" s="335" t="s">
        <v>193</v>
      </c>
      <c r="E39" s="70">
        <f>'CANT. DE OBRA '!K207</f>
        <v>53.3</v>
      </c>
      <c r="F39" s="333">
        <f>APUS!I1351</f>
        <v>67957</v>
      </c>
      <c r="G39" s="334">
        <f t="shared" ref="G39" si="7">E39*F39</f>
        <v>3622108.0999999996</v>
      </c>
      <c r="H39" s="199"/>
    </row>
    <row r="40" spans="2:8" ht="26" x14ac:dyDescent="0.15">
      <c r="B40" s="283" t="s">
        <v>529</v>
      </c>
      <c r="C40" s="332" t="s">
        <v>939</v>
      </c>
      <c r="D40" s="335" t="s">
        <v>193</v>
      </c>
      <c r="E40" s="70">
        <f>'CANT. DE OBRA '!K218</f>
        <v>204.98000000000002</v>
      </c>
      <c r="F40" s="333">
        <f>APUS!I1410</f>
        <v>91737</v>
      </c>
      <c r="G40" s="334">
        <f>E40*F40</f>
        <v>18804250.260000002</v>
      </c>
      <c r="H40" s="199"/>
    </row>
    <row r="41" spans="2:8" ht="26" x14ac:dyDescent="0.15">
      <c r="B41" s="283" t="s">
        <v>544</v>
      </c>
      <c r="C41" s="332" t="s">
        <v>881</v>
      </c>
      <c r="D41" s="335" t="s">
        <v>5</v>
      </c>
      <c r="E41" s="70">
        <f>'CANT. DE OBRA '!K227</f>
        <v>281.63800000000003</v>
      </c>
      <c r="F41" s="333">
        <f>APUS!I1474</f>
        <v>119459</v>
      </c>
      <c r="G41" s="334">
        <f t="shared" ref="G41" si="8">E41*F41</f>
        <v>33644193.842000008</v>
      </c>
      <c r="H41" s="199"/>
    </row>
    <row r="42" spans="2:8" ht="26" x14ac:dyDescent="0.15">
      <c r="B42" s="283" t="s">
        <v>545</v>
      </c>
      <c r="C42" s="332" t="s">
        <v>779</v>
      </c>
      <c r="D42" s="335" t="s">
        <v>5</v>
      </c>
      <c r="E42" s="70">
        <f>'CANT. DE OBRA '!K241</f>
        <v>51.08400000000001</v>
      </c>
      <c r="F42" s="333">
        <f>APUS!I1530</f>
        <v>116756</v>
      </c>
      <c r="G42" s="334">
        <f>E42*F42</f>
        <v>5964363.5040000016</v>
      </c>
      <c r="H42" s="199"/>
    </row>
    <row r="43" spans="2:8" ht="26" x14ac:dyDescent="0.15">
      <c r="B43" s="283" t="s">
        <v>778</v>
      </c>
      <c r="C43" s="332" t="s">
        <v>781</v>
      </c>
      <c r="D43" s="335" t="s">
        <v>5</v>
      </c>
      <c r="E43" s="70">
        <f>'CANT. DE OBRA '!K249</f>
        <v>42.745000000000005</v>
      </c>
      <c r="F43" s="333">
        <f>APUS!I1591</f>
        <v>252513</v>
      </c>
      <c r="G43" s="334">
        <f t="shared" ref="G43" si="9">E43*F43</f>
        <v>10793668.185000001</v>
      </c>
      <c r="H43" s="199"/>
    </row>
    <row r="44" spans="2:8" ht="26" x14ac:dyDescent="0.15">
      <c r="B44" s="283" t="s">
        <v>780</v>
      </c>
      <c r="C44" s="332" t="s">
        <v>880</v>
      </c>
      <c r="D44" s="335" t="s">
        <v>5</v>
      </c>
      <c r="E44" s="70">
        <f>'CANT. DE OBRA '!K256</f>
        <v>1.44</v>
      </c>
      <c r="F44" s="333">
        <f>APUS!I1651</f>
        <v>252513</v>
      </c>
      <c r="G44" s="334">
        <f>E44*F44</f>
        <v>363618.72</v>
      </c>
      <c r="H44" s="199"/>
    </row>
    <row r="45" spans="2:8" ht="16.5" customHeight="1" x14ac:dyDescent="0.15">
      <c r="B45" s="283"/>
      <c r="C45" s="452" t="s">
        <v>13</v>
      </c>
      <c r="D45" s="452"/>
      <c r="E45" s="452"/>
      <c r="F45" s="452"/>
      <c r="G45" s="224">
        <f>SUM(G26:G44)</f>
        <v>172162167.59100005</v>
      </c>
      <c r="H45" s="200"/>
    </row>
    <row r="46" spans="2:8" ht="8.25" customHeight="1" x14ac:dyDescent="0.15">
      <c r="B46" s="455"/>
      <c r="C46" s="456"/>
      <c r="D46" s="456"/>
      <c r="E46" s="456"/>
      <c r="F46" s="456"/>
      <c r="G46" s="457"/>
      <c r="H46" s="197"/>
    </row>
    <row r="47" spans="2:8" x14ac:dyDescent="0.15">
      <c r="B47" s="174">
        <v>4</v>
      </c>
      <c r="C47" s="434" t="s">
        <v>80</v>
      </c>
      <c r="D47" s="434"/>
      <c r="E47" s="434"/>
      <c r="F47" s="434"/>
      <c r="G47" s="435"/>
      <c r="H47" s="198"/>
    </row>
    <row r="48" spans="2:8" x14ac:dyDescent="0.15">
      <c r="B48" s="283" t="s">
        <v>263</v>
      </c>
      <c r="C48" s="332" t="s">
        <v>167</v>
      </c>
      <c r="D48" s="335" t="s">
        <v>5</v>
      </c>
      <c r="E48" s="70">
        <f>'CANT. DE OBRA '!K270</f>
        <v>552.89199999999994</v>
      </c>
      <c r="F48" s="333">
        <f>APUS!I1710</f>
        <v>57163</v>
      </c>
      <c r="G48" s="334">
        <f>E48*F48</f>
        <v>31604965.395999998</v>
      </c>
      <c r="H48" s="199"/>
    </row>
    <row r="49" spans="2:8" x14ac:dyDescent="0.15">
      <c r="B49" s="283" t="s">
        <v>264</v>
      </c>
      <c r="C49" s="332" t="s">
        <v>728</v>
      </c>
      <c r="D49" s="335" t="s">
        <v>5</v>
      </c>
      <c r="E49" s="70">
        <f>'CANT. DE OBRA '!K284</f>
        <v>1224.1310000000001</v>
      </c>
      <c r="F49" s="333">
        <f>APUS!I1770</f>
        <v>33740</v>
      </c>
      <c r="G49" s="334">
        <f>E49*F49</f>
        <v>41302179.940000005</v>
      </c>
      <c r="H49" s="199"/>
    </row>
    <row r="50" spans="2:8" x14ac:dyDescent="0.15">
      <c r="B50" s="283" t="s">
        <v>265</v>
      </c>
      <c r="C50" s="332" t="s">
        <v>747</v>
      </c>
      <c r="D50" s="335" t="s">
        <v>193</v>
      </c>
      <c r="E50" s="70">
        <f>'CANT. DE OBRA '!K294</f>
        <v>425.46000000000004</v>
      </c>
      <c r="F50" s="333">
        <f>APUS!I1830</f>
        <v>10496</v>
      </c>
      <c r="G50" s="334">
        <f>E50*F50</f>
        <v>4465628.16</v>
      </c>
      <c r="H50" s="199"/>
    </row>
    <row r="51" spans="2:8" ht="16.5" customHeight="1" x14ac:dyDescent="0.15">
      <c r="B51" s="283"/>
      <c r="C51" s="452" t="s">
        <v>14</v>
      </c>
      <c r="D51" s="452"/>
      <c r="E51" s="452"/>
      <c r="F51" s="452"/>
      <c r="G51" s="224">
        <f>SUM(G48:G50)</f>
        <v>77372773.495999992</v>
      </c>
      <c r="H51" s="200"/>
    </row>
    <row r="52" spans="2:8" ht="9" customHeight="1" x14ac:dyDescent="0.15">
      <c r="B52" s="437"/>
      <c r="C52" s="438"/>
      <c r="D52" s="438"/>
      <c r="E52" s="438"/>
      <c r="F52" s="438"/>
      <c r="G52" s="439"/>
      <c r="H52" s="197"/>
    </row>
    <row r="53" spans="2:8" x14ac:dyDescent="0.15">
      <c r="B53" s="174">
        <v>5</v>
      </c>
      <c r="C53" s="434" t="s">
        <v>9</v>
      </c>
      <c r="D53" s="434"/>
      <c r="E53" s="434"/>
      <c r="F53" s="434"/>
      <c r="G53" s="435"/>
      <c r="H53" s="198"/>
    </row>
    <row r="54" spans="2:8" x14ac:dyDescent="0.15">
      <c r="B54" s="283" t="s">
        <v>230</v>
      </c>
      <c r="C54" s="332" t="s">
        <v>184</v>
      </c>
      <c r="D54" s="335" t="s">
        <v>5</v>
      </c>
      <c r="E54" s="70">
        <f>'CANT. DE OBRA '!K309</f>
        <v>882.70299999999997</v>
      </c>
      <c r="F54" s="333">
        <f>APUS!I1892</f>
        <v>19301</v>
      </c>
      <c r="G54" s="334">
        <f t="shared" ref="G54:G61" si="10">E54*F54</f>
        <v>17037050.603</v>
      </c>
      <c r="H54" s="199"/>
    </row>
    <row r="55" spans="2:8" x14ac:dyDescent="0.15">
      <c r="B55" s="283" t="s">
        <v>231</v>
      </c>
      <c r="C55" s="332" t="s">
        <v>647</v>
      </c>
      <c r="D55" s="335" t="s">
        <v>5</v>
      </c>
      <c r="E55" s="70">
        <f>'CANT. DE OBRA '!K324</f>
        <v>882.70299999999997</v>
      </c>
      <c r="F55" s="333">
        <f>APUS!I1953</f>
        <v>19309</v>
      </c>
      <c r="G55" s="334">
        <f t="shared" si="10"/>
        <v>17044112.226999998</v>
      </c>
      <c r="H55" s="199"/>
    </row>
    <row r="56" spans="2:8" x14ac:dyDescent="0.15">
      <c r="B56" s="283" t="s">
        <v>232</v>
      </c>
      <c r="C56" s="332" t="s">
        <v>670</v>
      </c>
      <c r="D56" s="335" t="s">
        <v>5</v>
      </c>
      <c r="E56" s="70">
        <f>'CANT. DE OBRA '!K331</f>
        <v>52.42</v>
      </c>
      <c r="F56" s="333">
        <f>APUS!I2015</f>
        <v>79821</v>
      </c>
      <c r="G56" s="334">
        <f t="shared" si="10"/>
        <v>4184216.8200000003</v>
      </c>
      <c r="H56" s="199"/>
    </row>
    <row r="57" spans="2:8" x14ac:dyDescent="0.15">
      <c r="B57" s="283" t="s">
        <v>242</v>
      </c>
      <c r="C57" s="332" t="s">
        <v>657</v>
      </c>
      <c r="D57" s="335" t="s">
        <v>193</v>
      </c>
      <c r="E57" s="70">
        <f>'CANT. DE OBRA '!K338</f>
        <v>140.69999999999999</v>
      </c>
      <c r="F57" s="333">
        <f>APUS!I2069</f>
        <v>7937</v>
      </c>
      <c r="G57" s="334">
        <f t="shared" si="10"/>
        <v>1116735.8999999999</v>
      </c>
      <c r="H57" s="199"/>
    </row>
    <row r="58" spans="2:8" x14ac:dyDescent="0.15">
      <c r="B58" s="283" t="s">
        <v>548</v>
      </c>
      <c r="C58" s="332" t="s">
        <v>645</v>
      </c>
      <c r="D58" s="335" t="s">
        <v>5</v>
      </c>
      <c r="E58" s="70">
        <f>'CANT. DE OBRA '!K345</f>
        <v>135</v>
      </c>
      <c r="F58" s="333">
        <f>APUS!I2135</f>
        <v>148535</v>
      </c>
      <c r="G58" s="334">
        <f t="shared" si="10"/>
        <v>20052225</v>
      </c>
      <c r="H58" s="199"/>
    </row>
    <row r="59" spans="2:8" x14ac:dyDescent="0.15">
      <c r="B59" s="283" t="s">
        <v>549</v>
      </c>
      <c r="C59" s="332" t="s">
        <v>646</v>
      </c>
      <c r="D59" s="335" t="s">
        <v>5</v>
      </c>
      <c r="E59" s="70">
        <f>'CANT. DE OBRA '!K352</f>
        <v>135.5</v>
      </c>
      <c r="F59" s="333">
        <f>APUS!I2195</f>
        <v>111774</v>
      </c>
      <c r="G59" s="334">
        <f t="shared" si="10"/>
        <v>15145377</v>
      </c>
      <c r="H59" s="199"/>
    </row>
    <row r="60" spans="2:8" x14ac:dyDescent="0.15">
      <c r="B60" s="283" t="s">
        <v>668</v>
      </c>
      <c r="C60" s="332" t="s">
        <v>683</v>
      </c>
      <c r="D60" s="335" t="s">
        <v>193</v>
      </c>
      <c r="E60" s="70">
        <f>'CANT. DE OBRA '!K359</f>
        <v>140.69999999999999</v>
      </c>
      <c r="F60" s="333">
        <f>APUS!I2256</f>
        <v>35553</v>
      </c>
      <c r="G60" s="334">
        <f t="shared" si="10"/>
        <v>5002307.0999999996</v>
      </c>
      <c r="H60" s="199"/>
    </row>
    <row r="61" spans="2:8" x14ac:dyDescent="0.15">
      <c r="B61" s="283" t="s">
        <v>978</v>
      </c>
      <c r="C61" s="332" t="s">
        <v>990</v>
      </c>
      <c r="D61" s="335" t="s">
        <v>5</v>
      </c>
      <c r="E61" s="70">
        <f>'CANT. DE OBRA '!K368</f>
        <v>429.81780000000003</v>
      </c>
      <c r="F61" s="333">
        <f>APUS!I2315</f>
        <v>11939</v>
      </c>
      <c r="G61" s="334">
        <f t="shared" si="10"/>
        <v>5131594.7142000003</v>
      </c>
      <c r="H61" s="199"/>
    </row>
    <row r="62" spans="2:8" x14ac:dyDescent="0.15">
      <c r="B62" s="283" t="s">
        <v>797</v>
      </c>
      <c r="C62" s="332" t="s">
        <v>794</v>
      </c>
      <c r="D62" s="335" t="s">
        <v>5</v>
      </c>
      <c r="E62" s="70">
        <f>'CANT. DE OBRA '!K383</f>
        <v>20.09</v>
      </c>
      <c r="F62" s="333">
        <f>APUS!I2380</f>
        <v>98124</v>
      </c>
      <c r="G62" s="334">
        <f t="shared" ref="G62" si="11">E62*F62</f>
        <v>1971311.16</v>
      </c>
      <c r="H62" s="199"/>
    </row>
    <row r="63" spans="2:8" x14ac:dyDescent="0.15">
      <c r="B63" s="283" t="s">
        <v>798</v>
      </c>
      <c r="C63" s="332" t="s">
        <v>795</v>
      </c>
      <c r="D63" s="335" t="s">
        <v>5</v>
      </c>
      <c r="E63" s="70">
        <f>'CANT. DE OBRA '!K398</f>
        <v>111.03400000000001</v>
      </c>
      <c r="F63" s="333">
        <f>APUS!I2442</f>
        <v>91093</v>
      </c>
      <c r="G63" s="334">
        <f t="shared" ref="G63" si="12">E63*F63</f>
        <v>10114420.162</v>
      </c>
      <c r="H63" s="199"/>
    </row>
    <row r="64" spans="2:8" x14ac:dyDescent="0.15">
      <c r="B64" s="174"/>
      <c r="C64" s="436" t="s">
        <v>15</v>
      </c>
      <c r="D64" s="436"/>
      <c r="E64" s="436"/>
      <c r="F64" s="436"/>
      <c r="G64" s="224">
        <f>SUM(G54:G63)</f>
        <v>96799350.686199993</v>
      </c>
      <c r="H64" s="200"/>
    </row>
    <row r="65" spans="2:8" ht="9" customHeight="1" x14ac:dyDescent="0.15">
      <c r="B65" s="437"/>
      <c r="C65" s="438"/>
      <c r="D65" s="438"/>
      <c r="E65" s="438"/>
      <c r="F65" s="438"/>
      <c r="G65" s="439"/>
      <c r="H65" s="197"/>
    </row>
    <row r="66" spans="2:8" x14ac:dyDescent="0.15">
      <c r="B66" s="174">
        <v>6</v>
      </c>
      <c r="C66" s="434" t="s">
        <v>559</v>
      </c>
      <c r="D66" s="434"/>
      <c r="E66" s="434"/>
      <c r="F66" s="434"/>
      <c r="G66" s="435"/>
    </row>
    <row r="67" spans="2:8" ht="29.25" customHeight="1" x14ac:dyDescent="0.15">
      <c r="B67" s="283" t="s">
        <v>493</v>
      </c>
      <c r="C67" s="332" t="s">
        <v>650</v>
      </c>
      <c r="D67" s="335" t="s">
        <v>316</v>
      </c>
      <c r="E67" s="70">
        <f>'CANT. DE OBRA '!K405</f>
        <v>1</v>
      </c>
      <c r="F67" s="333">
        <f>APUS!I2504</f>
        <v>970142</v>
      </c>
      <c r="G67" s="334">
        <f>E67*F67</f>
        <v>970142</v>
      </c>
    </row>
    <row r="68" spans="2:8" x14ac:dyDescent="0.15">
      <c r="B68" s="283" t="s">
        <v>494</v>
      </c>
      <c r="C68" s="332" t="s">
        <v>803</v>
      </c>
      <c r="D68" s="335" t="s">
        <v>316</v>
      </c>
      <c r="E68" s="70">
        <f>'CANT. DE OBRA '!K413</f>
        <v>19</v>
      </c>
      <c r="F68" s="333">
        <f>APUS!I2562</f>
        <v>35184</v>
      </c>
      <c r="G68" s="334">
        <f>E68*F68</f>
        <v>668496</v>
      </c>
      <c r="H68" s="199"/>
    </row>
    <row r="69" spans="2:8" x14ac:dyDescent="0.15">
      <c r="B69" s="283" t="s">
        <v>495</v>
      </c>
      <c r="C69" s="332" t="s">
        <v>804</v>
      </c>
      <c r="D69" s="335" t="s">
        <v>316</v>
      </c>
      <c r="E69" s="70">
        <f>'CANT. DE OBRA '!K421</f>
        <v>40</v>
      </c>
      <c r="F69" s="333">
        <f>APUS!I2621</f>
        <v>20642</v>
      </c>
      <c r="G69" s="334">
        <f>E69*F69</f>
        <v>825680</v>
      </c>
      <c r="H69" s="199"/>
    </row>
    <row r="70" spans="2:8" x14ac:dyDescent="0.15">
      <c r="B70" s="283" t="s">
        <v>566</v>
      </c>
      <c r="C70" s="332" t="s">
        <v>805</v>
      </c>
      <c r="D70" s="335" t="s">
        <v>316</v>
      </c>
      <c r="E70" s="70">
        <f>'CANT. DE OBRA '!K429</f>
        <v>71</v>
      </c>
      <c r="F70" s="333">
        <f>APUS!I2682</f>
        <v>22201</v>
      </c>
      <c r="G70" s="334">
        <f>E70*F70</f>
        <v>1576271</v>
      </c>
      <c r="H70" s="199"/>
    </row>
    <row r="71" spans="2:8" ht="12.75" customHeight="1" x14ac:dyDescent="0.15">
      <c r="B71" s="174"/>
      <c r="C71" s="434" t="s">
        <v>564</v>
      </c>
      <c r="D71" s="434"/>
      <c r="E71" s="434"/>
      <c r="F71" s="434"/>
      <c r="G71" s="328"/>
    </row>
    <row r="72" spans="2:8" x14ac:dyDescent="0.15">
      <c r="B72" s="283">
        <v>6.5</v>
      </c>
      <c r="C72" s="332" t="s">
        <v>565</v>
      </c>
      <c r="D72" s="335" t="s">
        <v>316</v>
      </c>
      <c r="E72" s="70">
        <f>'CANT. DE OBRA '!K436</f>
        <v>1</v>
      </c>
      <c r="F72" s="333">
        <f>APUS!I2741</f>
        <v>303191</v>
      </c>
      <c r="G72" s="334">
        <f t="shared" ref="G72" si="13">E72*F72</f>
        <v>303191</v>
      </c>
      <c r="H72" s="199"/>
    </row>
    <row r="73" spans="2:8" x14ac:dyDescent="0.15">
      <c r="B73" s="174"/>
      <c r="C73" s="436" t="s">
        <v>496</v>
      </c>
      <c r="D73" s="436"/>
      <c r="E73" s="436"/>
      <c r="F73" s="436"/>
      <c r="G73" s="224">
        <f>SUM(G67:G72)</f>
        <v>4343780</v>
      </c>
    </row>
    <row r="74" spans="2:8" ht="9" customHeight="1" x14ac:dyDescent="0.15">
      <c r="B74" s="437"/>
      <c r="C74" s="438"/>
      <c r="D74" s="438"/>
      <c r="E74" s="438"/>
      <c r="F74" s="438"/>
      <c r="G74" s="439"/>
      <c r="H74" s="197"/>
    </row>
    <row r="75" spans="2:8" x14ac:dyDescent="0.15">
      <c r="B75" s="174">
        <v>7</v>
      </c>
      <c r="C75" s="434" t="s">
        <v>424</v>
      </c>
      <c r="D75" s="434"/>
      <c r="E75" s="434"/>
      <c r="F75" s="434"/>
      <c r="G75" s="435"/>
    </row>
    <row r="76" spans="2:8" x14ac:dyDescent="0.15">
      <c r="B76" s="283" t="s">
        <v>234</v>
      </c>
      <c r="C76" s="332" t="s">
        <v>649</v>
      </c>
      <c r="D76" s="335" t="s">
        <v>316</v>
      </c>
      <c r="E76" s="70">
        <f>'CANT. DE OBRA '!K443</f>
        <v>9</v>
      </c>
      <c r="F76" s="333">
        <f>APUS!I2800</f>
        <v>986469</v>
      </c>
      <c r="G76" s="334">
        <f t="shared" ref="G76:G88" si="14">E76*F76</f>
        <v>8878221</v>
      </c>
      <c r="H76" s="199"/>
    </row>
    <row r="77" spans="2:8" x14ac:dyDescent="0.15">
      <c r="B77" s="283" t="s">
        <v>235</v>
      </c>
      <c r="C77" s="332" t="s">
        <v>1002</v>
      </c>
      <c r="D77" s="335" t="s">
        <v>316</v>
      </c>
      <c r="E77" s="70">
        <f>'CANT. DE OBRA '!K450</f>
        <v>1</v>
      </c>
      <c r="F77" s="333">
        <f>APUS!I2860</f>
        <v>373018</v>
      </c>
      <c r="G77" s="334">
        <f t="shared" ref="G77" si="15">E77*F77</f>
        <v>373018</v>
      </c>
      <c r="H77" s="199"/>
    </row>
    <row r="78" spans="2:8" ht="26" x14ac:dyDescent="0.15">
      <c r="B78" s="283" t="s">
        <v>243</v>
      </c>
      <c r="C78" s="332" t="s">
        <v>1001</v>
      </c>
      <c r="D78" s="335" t="s">
        <v>316</v>
      </c>
      <c r="E78" s="70">
        <f>'CANT. DE OBRA '!K457</f>
        <v>1</v>
      </c>
      <c r="F78" s="333">
        <f>APUS!I2926</f>
        <v>8676439</v>
      </c>
      <c r="G78" s="334">
        <f t="shared" ref="G78" si="16">E78*F78</f>
        <v>8676439</v>
      </c>
      <c r="H78" s="199"/>
    </row>
    <row r="79" spans="2:8" x14ac:dyDescent="0.15">
      <c r="B79" s="283" t="s">
        <v>1014</v>
      </c>
      <c r="C79" s="332" t="s">
        <v>827</v>
      </c>
      <c r="D79" s="335" t="s">
        <v>316</v>
      </c>
      <c r="E79" s="70">
        <f>'CANT. DE OBRA '!K464</f>
        <v>10</v>
      </c>
      <c r="F79" s="333">
        <f>APUS!I2986</f>
        <v>66092</v>
      </c>
      <c r="G79" s="334">
        <f t="shared" si="14"/>
        <v>660920</v>
      </c>
      <c r="H79" s="199"/>
    </row>
    <row r="80" spans="2:8" x14ac:dyDescent="0.15">
      <c r="B80" s="283" t="s">
        <v>820</v>
      </c>
      <c r="C80" s="332" t="s">
        <v>828</v>
      </c>
      <c r="D80" s="335" t="s">
        <v>316</v>
      </c>
      <c r="E80" s="70">
        <f>'CANT. DE OBRA '!K471</f>
        <v>9</v>
      </c>
      <c r="F80" s="333">
        <f>APUS!I3048</f>
        <v>103013</v>
      </c>
      <c r="G80" s="334">
        <f t="shared" si="14"/>
        <v>927117</v>
      </c>
      <c r="H80" s="199"/>
    </row>
    <row r="81" spans="2:8" x14ac:dyDescent="0.15">
      <c r="B81" s="283" t="s">
        <v>821</v>
      </c>
      <c r="C81" s="332" t="s">
        <v>829</v>
      </c>
      <c r="D81" s="335" t="s">
        <v>316</v>
      </c>
      <c r="E81" s="70">
        <f>'CANT. DE OBRA '!K478</f>
        <v>9</v>
      </c>
      <c r="F81" s="333">
        <f>APUS!I3107</f>
        <v>143749</v>
      </c>
      <c r="G81" s="334">
        <f t="shared" si="14"/>
        <v>1293741</v>
      </c>
      <c r="H81" s="199"/>
    </row>
    <row r="82" spans="2:8" x14ac:dyDescent="0.15">
      <c r="B82" s="283" t="s">
        <v>822</v>
      </c>
      <c r="C82" s="332" t="s">
        <v>413</v>
      </c>
      <c r="D82" s="335" t="s">
        <v>316</v>
      </c>
      <c r="E82" s="70">
        <f>'CANT. DE OBRA '!K485</f>
        <v>4</v>
      </c>
      <c r="F82" s="333">
        <f>APUS!I3168</f>
        <v>143749</v>
      </c>
      <c r="G82" s="334">
        <f t="shared" si="14"/>
        <v>574996</v>
      </c>
      <c r="H82" s="199"/>
    </row>
    <row r="83" spans="2:8" x14ac:dyDescent="0.15">
      <c r="B83" s="283" t="s">
        <v>823</v>
      </c>
      <c r="C83" s="332" t="s">
        <v>830</v>
      </c>
      <c r="D83" s="335" t="s">
        <v>193</v>
      </c>
      <c r="E83" s="70">
        <f>'CANT. DE OBRA '!K492</f>
        <v>15</v>
      </c>
      <c r="F83" s="333">
        <f>APUS!I3229</f>
        <v>32507</v>
      </c>
      <c r="G83" s="334">
        <f t="shared" si="14"/>
        <v>487605</v>
      </c>
      <c r="H83" s="199"/>
    </row>
    <row r="84" spans="2:8" x14ac:dyDescent="0.15">
      <c r="B84" s="283" t="s">
        <v>824</v>
      </c>
      <c r="C84" s="332" t="s">
        <v>831</v>
      </c>
      <c r="D84" s="335" t="s">
        <v>193</v>
      </c>
      <c r="E84" s="70">
        <f>'CANT. DE OBRA '!K499</f>
        <v>9</v>
      </c>
      <c r="F84" s="333">
        <f>APUS!I3289</f>
        <v>40300</v>
      </c>
      <c r="G84" s="334">
        <f t="shared" si="14"/>
        <v>362700</v>
      </c>
      <c r="H84" s="199"/>
    </row>
    <row r="85" spans="2:8" x14ac:dyDescent="0.15">
      <c r="B85" s="283" t="s">
        <v>825</v>
      </c>
      <c r="C85" s="332" t="s">
        <v>832</v>
      </c>
      <c r="D85" s="335" t="s">
        <v>193</v>
      </c>
      <c r="E85" s="70">
        <f>'CANT. DE OBRA '!K506</f>
        <v>27</v>
      </c>
      <c r="F85" s="333">
        <f>APUS!I3348</f>
        <v>32507</v>
      </c>
      <c r="G85" s="334">
        <f t="shared" si="14"/>
        <v>877689</v>
      </c>
      <c r="H85" s="199"/>
    </row>
    <row r="86" spans="2:8" x14ac:dyDescent="0.15">
      <c r="B86" s="283" t="s">
        <v>826</v>
      </c>
      <c r="C86" s="332" t="s">
        <v>833</v>
      </c>
      <c r="D86" s="335" t="s">
        <v>193</v>
      </c>
      <c r="E86" s="70">
        <f>'CANT. DE OBRA '!K516</f>
        <v>112.5</v>
      </c>
      <c r="F86" s="333">
        <f>APUS!I3408</f>
        <v>54329</v>
      </c>
      <c r="G86" s="334">
        <f t="shared" si="14"/>
        <v>6112012.5</v>
      </c>
      <c r="H86" s="199"/>
    </row>
    <row r="87" spans="2:8" x14ac:dyDescent="0.15">
      <c r="B87" s="283" t="s">
        <v>836</v>
      </c>
      <c r="C87" s="332" t="s">
        <v>1015</v>
      </c>
      <c r="D87" s="335" t="s">
        <v>316</v>
      </c>
      <c r="E87" s="70">
        <f>'CANT. DE OBRA '!K523</f>
        <v>1</v>
      </c>
      <c r="F87" s="333">
        <f>APUS!I3464</f>
        <v>278518</v>
      </c>
      <c r="G87" s="334">
        <f t="shared" ref="G87" si="17">E87*F87</f>
        <v>278518</v>
      </c>
      <c r="H87" s="199"/>
    </row>
    <row r="88" spans="2:8" x14ac:dyDescent="0.15">
      <c r="B88" s="283" t="s">
        <v>842</v>
      </c>
      <c r="C88" s="332" t="s">
        <v>840</v>
      </c>
      <c r="D88" s="335" t="s">
        <v>316</v>
      </c>
      <c r="E88" s="70">
        <f>'CANT. DE OBRA '!K531</f>
        <v>6</v>
      </c>
      <c r="F88" s="333">
        <f>APUS!I3527</f>
        <v>507152</v>
      </c>
      <c r="G88" s="334">
        <f t="shared" si="14"/>
        <v>3042912</v>
      </c>
      <c r="H88" s="199"/>
    </row>
    <row r="89" spans="2:8" x14ac:dyDescent="0.15">
      <c r="B89" s="174"/>
      <c r="C89" s="436" t="s">
        <v>16</v>
      </c>
      <c r="D89" s="436"/>
      <c r="E89" s="436"/>
      <c r="F89" s="436"/>
      <c r="G89" s="224">
        <f>SUM(G76:G88)</f>
        <v>32545888.5</v>
      </c>
    </row>
    <row r="90" spans="2:8" ht="9" customHeight="1" x14ac:dyDescent="0.15">
      <c r="B90" s="437"/>
      <c r="C90" s="438"/>
      <c r="D90" s="438"/>
      <c r="E90" s="438"/>
      <c r="F90" s="438"/>
      <c r="G90" s="439"/>
      <c r="H90" s="197"/>
    </row>
    <row r="91" spans="2:8" x14ac:dyDescent="0.15">
      <c r="B91" s="174">
        <v>8</v>
      </c>
      <c r="C91" s="434" t="s">
        <v>425</v>
      </c>
      <c r="D91" s="434"/>
      <c r="E91" s="434"/>
      <c r="F91" s="434"/>
      <c r="G91" s="435"/>
      <c r="H91" s="198"/>
    </row>
    <row r="92" spans="2:8" x14ac:dyDescent="0.15">
      <c r="B92" s="283" t="s">
        <v>236</v>
      </c>
      <c r="C92" s="332" t="s">
        <v>655</v>
      </c>
      <c r="D92" s="335" t="s">
        <v>316</v>
      </c>
      <c r="E92" s="70">
        <f>'CANT. DE OBRA '!K538</f>
        <v>1</v>
      </c>
      <c r="F92" s="333">
        <f>APUS!I3644</f>
        <v>1063574</v>
      </c>
      <c r="G92" s="334">
        <f>E92*F92</f>
        <v>1063574</v>
      </c>
      <c r="H92" s="199"/>
    </row>
    <row r="93" spans="2:8" x14ac:dyDescent="0.15">
      <c r="B93" s="283" t="s">
        <v>237</v>
      </c>
      <c r="C93" s="332" t="s">
        <v>652</v>
      </c>
      <c r="D93" s="335" t="s">
        <v>316</v>
      </c>
      <c r="E93" s="70">
        <f>'CANT. DE OBRA '!K545</f>
        <v>26</v>
      </c>
      <c r="F93" s="333">
        <f>APUS!I3764</f>
        <v>29377</v>
      </c>
      <c r="G93" s="334">
        <f>E93*F93</f>
        <v>763802</v>
      </c>
      <c r="H93" s="199"/>
    </row>
    <row r="94" spans="2:8" x14ac:dyDescent="0.15">
      <c r="B94" s="283" t="s">
        <v>238</v>
      </c>
      <c r="C94" s="332" t="s">
        <v>653</v>
      </c>
      <c r="D94" s="335" t="s">
        <v>316</v>
      </c>
      <c r="E94" s="70">
        <f>'CANT. DE OBRA '!K552</f>
        <v>14</v>
      </c>
      <c r="F94" s="333">
        <f>APUS!I3823</f>
        <v>20507</v>
      </c>
      <c r="G94" s="334">
        <f>E94*F94</f>
        <v>287098</v>
      </c>
      <c r="H94" s="199"/>
    </row>
    <row r="95" spans="2:8" x14ac:dyDescent="0.15">
      <c r="B95" s="283" t="s">
        <v>239</v>
      </c>
      <c r="C95" s="332" t="s">
        <v>654</v>
      </c>
      <c r="D95" s="335" t="s">
        <v>316</v>
      </c>
      <c r="E95" s="70">
        <f>'CANT. DE OBRA '!K559</f>
        <v>30</v>
      </c>
      <c r="F95" s="333">
        <f>APUS!I3883</f>
        <v>59163</v>
      </c>
      <c r="G95" s="334">
        <f>E95*F95</f>
        <v>1774890</v>
      </c>
      <c r="H95" s="199"/>
    </row>
    <row r="96" spans="2:8" x14ac:dyDescent="0.15">
      <c r="B96" s="283" t="s">
        <v>255</v>
      </c>
      <c r="C96" s="332" t="s">
        <v>651</v>
      </c>
      <c r="D96" s="335" t="s">
        <v>316</v>
      </c>
      <c r="E96" s="70">
        <f>'CANT. DE OBRA '!K566</f>
        <v>5</v>
      </c>
      <c r="F96" s="333">
        <f>APUS!I3944</f>
        <v>463777</v>
      </c>
      <c r="G96" s="334">
        <f t="shared" ref="G96" si="18">E96*F96</f>
        <v>2318885</v>
      </c>
      <c r="H96" s="199"/>
    </row>
    <row r="97" spans="2:8" x14ac:dyDescent="0.15">
      <c r="B97" s="283" t="s">
        <v>256</v>
      </c>
      <c r="C97" s="332" t="s">
        <v>843</v>
      </c>
      <c r="D97" s="335" t="s">
        <v>426</v>
      </c>
      <c r="E97" s="70">
        <f>'CANT. DE OBRA '!K576</f>
        <v>78</v>
      </c>
      <c r="F97" s="333">
        <f>APUS!I4010</f>
        <v>178076</v>
      </c>
      <c r="G97" s="334">
        <f>E97*F97</f>
        <v>13889928</v>
      </c>
      <c r="H97" s="199"/>
    </row>
    <row r="98" spans="2:8" x14ac:dyDescent="0.15">
      <c r="B98" s="283" t="s">
        <v>257</v>
      </c>
      <c r="C98" s="332" t="s">
        <v>411</v>
      </c>
      <c r="D98" s="335" t="s">
        <v>426</v>
      </c>
      <c r="E98" s="70">
        <f>'CANT. DE OBRA '!K584</f>
        <v>19</v>
      </c>
      <c r="F98" s="333">
        <f>APUS!I4071</f>
        <v>234853</v>
      </c>
      <c r="G98" s="334">
        <f>E98*F98</f>
        <v>4462207</v>
      </c>
      <c r="H98" s="199"/>
    </row>
    <row r="99" spans="2:8" x14ac:dyDescent="0.15">
      <c r="B99" s="283" t="s">
        <v>258</v>
      </c>
      <c r="C99" s="332" t="s">
        <v>844</v>
      </c>
      <c r="D99" s="335" t="s">
        <v>426</v>
      </c>
      <c r="E99" s="70">
        <f>'CANT. DE OBRA '!K591</f>
        <v>11</v>
      </c>
      <c r="F99" s="333">
        <f>APUS!I4127</f>
        <v>24611</v>
      </c>
      <c r="G99" s="334">
        <f t="shared" ref="G99:G103" si="19">E99*F99</f>
        <v>270721</v>
      </c>
      <c r="H99" s="199"/>
    </row>
    <row r="100" spans="2:8" x14ac:dyDescent="0.15">
      <c r="B100" s="283" t="s">
        <v>259</v>
      </c>
      <c r="C100" s="332" t="s">
        <v>412</v>
      </c>
      <c r="D100" s="335" t="s">
        <v>426</v>
      </c>
      <c r="E100" s="70">
        <f>'CANT. DE OBRA '!K598</f>
        <v>8</v>
      </c>
      <c r="F100" s="333">
        <f>APUS!I4190</f>
        <v>50601</v>
      </c>
      <c r="G100" s="334">
        <f t="shared" si="19"/>
        <v>404808</v>
      </c>
      <c r="H100" s="199"/>
    </row>
    <row r="101" spans="2:8" x14ac:dyDescent="0.15">
      <c r="B101" s="283" t="s">
        <v>260</v>
      </c>
      <c r="C101" s="332" t="s">
        <v>845</v>
      </c>
      <c r="D101" s="335" t="s">
        <v>426</v>
      </c>
      <c r="E101" s="70">
        <f>'CANT. DE OBRA '!K605</f>
        <v>8</v>
      </c>
      <c r="F101" s="333">
        <f>APUS!I4253</f>
        <v>24341</v>
      </c>
      <c r="G101" s="334">
        <f>E101*F101</f>
        <v>194728</v>
      </c>
      <c r="H101" s="199"/>
    </row>
    <row r="102" spans="2:8" x14ac:dyDescent="0.15">
      <c r="B102" s="283" t="s">
        <v>261</v>
      </c>
      <c r="C102" s="332" t="s">
        <v>846</v>
      </c>
      <c r="D102" s="335" t="s">
        <v>426</v>
      </c>
      <c r="E102" s="70">
        <f>'CANT. DE OBRA '!K612</f>
        <v>7</v>
      </c>
      <c r="F102" s="333">
        <f>APUS!I4314</f>
        <v>2835794</v>
      </c>
      <c r="G102" s="334">
        <f>E102*F102</f>
        <v>19850558</v>
      </c>
      <c r="H102" s="199"/>
    </row>
    <row r="103" spans="2:8" x14ac:dyDescent="0.15">
      <c r="B103" s="283" t="s">
        <v>497</v>
      </c>
      <c r="C103" s="332" t="s">
        <v>847</v>
      </c>
      <c r="D103" s="335" t="s">
        <v>426</v>
      </c>
      <c r="E103" s="70">
        <f>'CANT. DE OBRA '!K619</f>
        <v>2</v>
      </c>
      <c r="F103" s="333">
        <f>APUS!I4375</f>
        <v>507152</v>
      </c>
      <c r="G103" s="334">
        <f t="shared" si="19"/>
        <v>1014304</v>
      </c>
      <c r="H103" s="199"/>
    </row>
    <row r="104" spans="2:8" x14ac:dyDescent="0.15">
      <c r="B104" s="174"/>
      <c r="C104" s="436" t="s">
        <v>17</v>
      </c>
      <c r="D104" s="436"/>
      <c r="E104" s="436"/>
      <c r="F104" s="436"/>
      <c r="G104" s="224">
        <f>SUM(G92:G103)</f>
        <v>46295503</v>
      </c>
      <c r="H104" s="200"/>
    </row>
    <row r="105" spans="2:8" ht="9" customHeight="1" x14ac:dyDescent="0.15">
      <c r="B105" s="437"/>
      <c r="C105" s="438"/>
      <c r="D105" s="438"/>
      <c r="E105" s="438"/>
      <c r="F105" s="438"/>
      <c r="G105" s="439"/>
      <c r="H105" s="197"/>
    </row>
    <row r="106" spans="2:8" x14ac:dyDescent="0.15">
      <c r="B106" s="174">
        <v>9</v>
      </c>
      <c r="C106" s="434" t="s">
        <v>107</v>
      </c>
      <c r="D106" s="434"/>
      <c r="E106" s="434"/>
      <c r="F106" s="434"/>
      <c r="G106" s="435"/>
      <c r="H106" s="198"/>
    </row>
    <row r="107" spans="2:8" x14ac:dyDescent="0.15">
      <c r="B107" s="283" t="s">
        <v>247</v>
      </c>
      <c r="C107" s="332" t="s">
        <v>656</v>
      </c>
      <c r="D107" s="335" t="s">
        <v>5</v>
      </c>
      <c r="E107" s="70">
        <f>'CANT. DE OBRA '!K626</f>
        <v>167.7</v>
      </c>
      <c r="F107" s="333">
        <f>APUS!I4434</f>
        <v>150719</v>
      </c>
      <c r="G107" s="334">
        <f t="shared" ref="G107" si="20">E107*F107</f>
        <v>25275576.299999997</v>
      </c>
      <c r="H107" s="199"/>
    </row>
    <row r="108" spans="2:8" x14ac:dyDescent="0.15">
      <c r="B108" s="283" t="s">
        <v>248</v>
      </c>
      <c r="C108" s="332" t="s">
        <v>865</v>
      </c>
      <c r="D108" s="335" t="s">
        <v>5</v>
      </c>
      <c r="E108" s="70">
        <f>'CANT. DE OBRA '!K634</f>
        <v>42.745000000000005</v>
      </c>
      <c r="F108" s="333">
        <f>APUS!I4498</f>
        <v>75823</v>
      </c>
      <c r="G108" s="334">
        <f t="shared" ref="G108" si="21">E108*F108</f>
        <v>3241054.1350000002</v>
      </c>
      <c r="H108" s="199"/>
    </row>
    <row r="109" spans="2:8" x14ac:dyDescent="0.15">
      <c r="B109" s="283" t="s">
        <v>249</v>
      </c>
      <c r="C109" s="332" t="s">
        <v>866</v>
      </c>
      <c r="D109" s="335" t="s">
        <v>193</v>
      </c>
      <c r="E109" s="70">
        <f>'CANT. DE OBRA '!K641</f>
        <v>117</v>
      </c>
      <c r="F109" s="333">
        <f>APUS!I4558</f>
        <v>46128</v>
      </c>
      <c r="G109" s="334">
        <f t="shared" ref="G109" si="22">E109*F109</f>
        <v>5396976</v>
      </c>
      <c r="H109" s="199"/>
    </row>
    <row r="110" spans="2:8" x14ac:dyDescent="0.15">
      <c r="B110" s="174"/>
      <c r="C110" s="436" t="s">
        <v>95</v>
      </c>
      <c r="D110" s="436"/>
      <c r="E110" s="436"/>
      <c r="F110" s="436"/>
      <c r="G110" s="224">
        <f>SUM(G107:G109)</f>
        <v>33913606.435000002</v>
      </c>
      <c r="H110" s="200"/>
    </row>
    <row r="111" spans="2:8" ht="9" customHeight="1" x14ac:dyDescent="0.15">
      <c r="B111" s="437"/>
      <c r="C111" s="438"/>
      <c r="D111" s="438"/>
      <c r="E111" s="438"/>
      <c r="F111" s="438"/>
      <c r="G111" s="439"/>
      <c r="H111" s="197"/>
    </row>
    <row r="112" spans="2:8" x14ac:dyDescent="0.15">
      <c r="B112" s="174">
        <v>10</v>
      </c>
      <c r="C112" s="434" t="s">
        <v>233</v>
      </c>
      <c r="D112" s="434"/>
      <c r="E112" s="434"/>
      <c r="F112" s="434"/>
      <c r="G112" s="435"/>
      <c r="H112" s="198"/>
    </row>
    <row r="113" spans="2:8" x14ac:dyDescent="0.15">
      <c r="B113" s="283" t="s">
        <v>250</v>
      </c>
      <c r="C113" s="332" t="s">
        <v>1051</v>
      </c>
      <c r="D113" s="335" t="s">
        <v>316</v>
      </c>
      <c r="E113" s="70">
        <f>'CANT. DE OBRA '!K648</f>
        <v>3</v>
      </c>
      <c r="F113" s="333">
        <f>APUS!I4619</f>
        <v>1207137</v>
      </c>
      <c r="G113" s="334">
        <f t="shared" ref="G113" si="23">E113*F113</f>
        <v>3621411</v>
      </c>
      <c r="H113" s="199"/>
    </row>
    <row r="114" spans="2:8" x14ac:dyDescent="0.15">
      <c r="B114" s="283" t="s">
        <v>533</v>
      </c>
      <c r="C114" s="332" t="s">
        <v>648</v>
      </c>
      <c r="D114" s="335" t="s">
        <v>5</v>
      </c>
      <c r="E114" s="70">
        <f>'CANT. DE OBRA '!K656</f>
        <v>29.700000000000003</v>
      </c>
      <c r="F114" s="333">
        <f>APUS!I4679</f>
        <v>484769</v>
      </c>
      <c r="G114" s="334">
        <f t="shared" ref="G114" si="24">E114*F114</f>
        <v>14397639.300000001</v>
      </c>
      <c r="H114" s="199"/>
    </row>
    <row r="115" spans="2:8" x14ac:dyDescent="0.15">
      <c r="B115" s="283" t="s">
        <v>570</v>
      </c>
      <c r="C115" s="332" t="s">
        <v>769</v>
      </c>
      <c r="D115" s="335" t="s">
        <v>5</v>
      </c>
      <c r="E115" s="70">
        <f>'CANT. DE OBRA '!K666</f>
        <v>27.96</v>
      </c>
      <c r="F115" s="333">
        <f>APUS!I4739</f>
        <v>398055</v>
      </c>
      <c r="G115" s="334">
        <f t="shared" ref="G115:G116" si="25">E115*F115</f>
        <v>11129617.800000001</v>
      </c>
      <c r="H115" s="199"/>
    </row>
    <row r="116" spans="2:8" x14ac:dyDescent="0.15">
      <c r="B116" s="283" t="s">
        <v>571</v>
      </c>
      <c r="C116" s="332" t="s">
        <v>1058</v>
      </c>
      <c r="D116" s="335" t="s">
        <v>5</v>
      </c>
      <c r="E116" s="70">
        <f>'CANT. DE OBRA '!K673</f>
        <v>1.92</v>
      </c>
      <c r="F116" s="333">
        <f>APUS!I4799</f>
        <v>614055</v>
      </c>
      <c r="G116" s="334">
        <f t="shared" si="25"/>
        <v>1178985.5999999999</v>
      </c>
      <c r="H116" s="199"/>
    </row>
    <row r="117" spans="2:8" x14ac:dyDescent="0.15">
      <c r="B117" s="283" t="s">
        <v>574</v>
      </c>
      <c r="C117" s="332" t="s">
        <v>867</v>
      </c>
      <c r="D117" s="335" t="s">
        <v>316</v>
      </c>
      <c r="E117" s="70">
        <f>'CANT. DE OBRA '!K680</f>
        <v>1</v>
      </c>
      <c r="F117" s="333">
        <f>APUS!I4865</f>
        <v>1752103</v>
      </c>
      <c r="G117" s="334">
        <f t="shared" ref="G117" si="26">E117*F117</f>
        <v>1752103</v>
      </c>
      <c r="H117" s="199"/>
    </row>
    <row r="118" spans="2:8" x14ac:dyDescent="0.15">
      <c r="B118" s="174"/>
      <c r="C118" s="436" t="s">
        <v>251</v>
      </c>
      <c r="D118" s="436"/>
      <c r="E118" s="436"/>
      <c r="F118" s="436"/>
      <c r="G118" s="224">
        <f>SUM(G113:G117)</f>
        <v>32079756.700000003</v>
      </c>
      <c r="H118" s="200"/>
    </row>
    <row r="119" spans="2:8" ht="9" customHeight="1" x14ac:dyDescent="0.15">
      <c r="B119" s="437"/>
      <c r="C119" s="438"/>
      <c r="D119" s="438"/>
      <c r="E119" s="438"/>
      <c r="F119" s="438"/>
      <c r="G119" s="439"/>
      <c r="H119" s="197"/>
    </row>
    <row r="120" spans="2:8" x14ac:dyDescent="0.15">
      <c r="B120" s="174">
        <v>11</v>
      </c>
      <c r="C120" s="434" t="s">
        <v>443</v>
      </c>
      <c r="D120" s="434"/>
      <c r="E120" s="434"/>
      <c r="F120" s="434"/>
      <c r="G120" s="435"/>
      <c r="H120" s="198"/>
    </row>
    <row r="121" spans="2:8" x14ac:dyDescent="0.15">
      <c r="B121" s="283" t="s">
        <v>535</v>
      </c>
      <c r="C121" s="332" t="s">
        <v>715</v>
      </c>
      <c r="D121" s="335" t="s">
        <v>316</v>
      </c>
      <c r="E121" s="70">
        <f>'CANT. DE OBRA '!K687</f>
        <v>3</v>
      </c>
      <c r="F121" s="333">
        <f>APUS!I4918</f>
        <v>982934</v>
      </c>
      <c r="G121" s="334">
        <f t="shared" ref="G121:G122" si="27">E121*F121</f>
        <v>2948802</v>
      </c>
      <c r="H121" s="199"/>
    </row>
    <row r="122" spans="2:8" x14ac:dyDescent="0.15">
      <c r="B122" s="283" t="s">
        <v>536</v>
      </c>
      <c r="C122" s="332" t="s">
        <v>746</v>
      </c>
      <c r="D122" s="335" t="s">
        <v>5</v>
      </c>
      <c r="E122" s="70">
        <f>'CANT. DE OBRA '!K695</f>
        <v>28.8</v>
      </c>
      <c r="F122" s="333">
        <f>APUS!I4979</f>
        <v>149149.302</v>
      </c>
      <c r="G122" s="334">
        <f t="shared" si="27"/>
        <v>4295499.8975999998</v>
      </c>
      <c r="H122" s="199"/>
    </row>
    <row r="123" spans="2:8" x14ac:dyDescent="0.15">
      <c r="B123" s="283"/>
      <c r="C123" s="436" t="s">
        <v>537</v>
      </c>
      <c r="D123" s="436"/>
      <c r="E123" s="436"/>
      <c r="F123" s="436"/>
      <c r="G123" s="224">
        <f>SUM(G121:G122)</f>
        <v>7244301.8975999998</v>
      </c>
      <c r="H123" s="200"/>
    </row>
    <row r="124" spans="2:8" ht="9" customHeight="1" x14ac:dyDescent="0.15">
      <c r="B124" s="437"/>
      <c r="C124" s="438"/>
      <c r="D124" s="438"/>
      <c r="E124" s="438"/>
      <c r="F124" s="438"/>
      <c r="G124" s="439"/>
      <c r="H124" s="197"/>
    </row>
    <row r="125" spans="2:8" x14ac:dyDescent="0.15">
      <c r="B125" s="174">
        <v>12</v>
      </c>
      <c r="C125" s="434" t="s">
        <v>658</v>
      </c>
      <c r="D125" s="434"/>
      <c r="E125" s="434"/>
      <c r="F125" s="434"/>
      <c r="G125" s="435"/>
      <c r="H125" s="198"/>
    </row>
    <row r="126" spans="2:8" x14ac:dyDescent="0.15">
      <c r="B126" s="283" t="s">
        <v>572</v>
      </c>
      <c r="C126" s="332" t="s">
        <v>659</v>
      </c>
      <c r="D126" s="335" t="s">
        <v>19</v>
      </c>
      <c r="E126" s="70">
        <f>'CANT. DE OBRA '!K702</f>
        <v>1</v>
      </c>
      <c r="F126" s="333">
        <f>APUS!I5041</f>
        <v>511925.4375</v>
      </c>
      <c r="G126" s="334">
        <f t="shared" ref="G126" si="28">F126*E126</f>
        <v>511925.4375</v>
      </c>
      <c r="H126" s="199"/>
    </row>
    <row r="127" spans="2:8" x14ac:dyDescent="0.15">
      <c r="B127" s="174"/>
      <c r="C127" s="436" t="s">
        <v>573</v>
      </c>
      <c r="D127" s="436"/>
      <c r="E127" s="436"/>
      <c r="F127" s="436"/>
      <c r="G127" s="312">
        <f>SUM(G126)</f>
        <v>511925.4375</v>
      </c>
      <c r="H127" s="200"/>
    </row>
    <row r="128" spans="2:8" ht="14" thickBot="1" x14ac:dyDescent="0.2">
      <c r="B128" s="429"/>
      <c r="C128" s="430"/>
      <c r="D128" s="430"/>
      <c r="E128" s="430"/>
      <c r="F128" s="430"/>
      <c r="G128" s="431"/>
      <c r="H128" s="198"/>
    </row>
    <row r="129" spans="2:11" ht="14" thickBot="1" x14ac:dyDescent="0.2">
      <c r="E129" s="232"/>
    </row>
    <row r="130" spans="2:11" ht="14" x14ac:dyDescent="0.15">
      <c r="B130" s="82"/>
      <c r="C130" s="471" t="s">
        <v>269</v>
      </c>
      <c r="D130" s="472"/>
      <c r="E130" s="472"/>
      <c r="F130" s="472"/>
      <c r="G130" s="226">
        <f>G127+G123+G118+G110+G104+G89+G73+G64+G51+G45+G23+G16</f>
        <v>538461538.46264005</v>
      </c>
      <c r="H130" s="116"/>
    </row>
    <row r="131" spans="2:11" x14ac:dyDescent="0.15">
      <c r="B131" s="82"/>
      <c r="C131" s="467" t="s">
        <v>491</v>
      </c>
      <c r="D131" s="468"/>
      <c r="E131" s="468"/>
      <c r="F131" s="468"/>
      <c r="G131" s="228">
        <f>G130*0.22</f>
        <v>118461538.46178082</v>
      </c>
      <c r="H131" s="203"/>
      <c r="K131" t="s">
        <v>524</v>
      </c>
    </row>
    <row r="132" spans="2:11" x14ac:dyDescent="0.15">
      <c r="B132" s="82"/>
      <c r="C132" s="467" t="s">
        <v>479</v>
      </c>
      <c r="D132" s="468"/>
      <c r="E132" s="468"/>
      <c r="F132" s="468"/>
      <c r="G132" s="228">
        <f>G130*0.05</f>
        <v>26923076.923132002</v>
      </c>
      <c r="H132" s="203"/>
    </row>
    <row r="133" spans="2:11" x14ac:dyDescent="0.15">
      <c r="B133" s="82"/>
      <c r="C133" s="467" t="s">
        <v>207</v>
      </c>
      <c r="D133" s="468"/>
      <c r="E133" s="468"/>
      <c r="F133" s="468"/>
      <c r="G133" s="228">
        <f>G130*0.03</f>
        <v>16153846.153879201</v>
      </c>
      <c r="H133" s="203"/>
    </row>
    <row r="134" spans="2:11" ht="14" x14ac:dyDescent="0.15">
      <c r="B134" s="82"/>
      <c r="C134" s="432" t="s">
        <v>492</v>
      </c>
      <c r="D134" s="433"/>
      <c r="E134" s="433"/>
      <c r="F134" s="433"/>
      <c r="G134" s="227">
        <f>G131+G132+G133</f>
        <v>161538461.53879201</v>
      </c>
      <c r="H134" s="116"/>
      <c r="I134" s="413"/>
    </row>
    <row r="135" spans="2:11" ht="14" x14ac:dyDescent="0.15">
      <c r="B135" s="82"/>
      <c r="C135" s="432" t="s">
        <v>1066</v>
      </c>
      <c r="D135" s="433"/>
      <c r="E135" s="433"/>
      <c r="F135" s="433"/>
      <c r="G135" s="227">
        <f>G134+G130</f>
        <v>700000000.00143206</v>
      </c>
      <c r="H135" s="116"/>
      <c r="I135" s="413"/>
    </row>
    <row r="136" spans="2:11" ht="14" x14ac:dyDescent="0.15">
      <c r="B136" s="82"/>
      <c r="C136" s="432" t="s">
        <v>1064</v>
      </c>
      <c r="D136" s="433"/>
      <c r="E136" s="433"/>
      <c r="F136" s="433"/>
      <c r="G136" s="227">
        <f>G130*0.065</f>
        <v>35000000.000071608</v>
      </c>
      <c r="H136" s="116"/>
    </row>
    <row r="137" spans="2:11" ht="14" x14ac:dyDescent="0.15">
      <c r="B137" s="82"/>
      <c r="C137" s="469" t="s">
        <v>531</v>
      </c>
      <c r="D137" s="470"/>
      <c r="E137" s="470"/>
      <c r="F137" s="470"/>
      <c r="G137" s="229">
        <f>G136+G134+G130</f>
        <v>735000000.00150371</v>
      </c>
      <c r="H137" s="116"/>
    </row>
    <row r="138" spans="2:11" x14ac:dyDescent="0.15">
      <c r="C138" s="461"/>
      <c r="D138" s="462"/>
      <c r="E138" s="462"/>
      <c r="F138" s="462"/>
      <c r="G138" s="463"/>
    </row>
    <row r="139" spans="2:11" ht="21" customHeight="1" thickBot="1" x14ac:dyDescent="0.2">
      <c r="C139" s="464"/>
      <c r="D139" s="465"/>
      <c r="E139" s="465"/>
      <c r="F139" s="465"/>
      <c r="G139" s="466"/>
    </row>
    <row r="140" spans="2:11" x14ac:dyDescent="0.15">
      <c r="G140" s="100"/>
      <c r="H140" s="100"/>
    </row>
    <row r="141" spans="2:11" x14ac:dyDescent="0.15">
      <c r="G141" s="100"/>
      <c r="H141" s="100"/>
    </row>
    <row r="142" spans="2:11" x14ac:dyDescent="0.15">
      <c r="G142" s="100"/>
      <c r="H142" s="100"/>
    </row>
    <row r="143" spans="2:11" x14ac:dyDescent="0.15">
      <c r="G143" s="177"/>
      <c r="H143" s="177"/>
    </row>
    <row r="144" spans="2:11" x14ac:dyDescent="0.15">
      <c r="G144" s="410"/>
    </row>
    <row r="145" spans="2:9" x14ac:dyDescent="0.15">
      <c r="G145" s="100"/>
      <c r="H145" s="100"/>
      <c r="I145" s="100"/>
    </row>
    <row r="146" spans="2:9" ht="14" x14ac:dyDescent="0.15">
      <c r="B146" s="82"/>
      <c r="C146" s="101" t="s">
        <v>534</v>
      </c>
      <c r="F146" s="83"/>
      <c r="G146" s="293"/>
      <c r="H146" s="83"/>
    </row>
    <row r="147" spans="2:9" ht="14" x14ac:dyDescent="0.15">
      <c r="C147" s="83" t="s">
        <v>448</v>
      </c>
      <c r="F147" s="230"/>
      <c r="G147" s="293"/>
      <c r="H147" s="13"/>
    </row>
    <row r="148" spans="2:9" ht="14" x14ac:dyDescent="0.15">
      <c r="C148" s="83"/>
      <c r="G148" s="294"/>
    </row>
    <row r="149" spans="2:9" ht="14" x14ac:dyDescent="0.15">
      <c r="C149" s="83"/>
      <c r="G149" s="294"/>
    </row>
    <row r="150" spans="2:9" ht="14" x14ac:dyDescent="0.15">
      <c r="C150" s="83"/>
      <c r="G150" s="294"/>
    </row>
    <row r="151" spans="2:9" ht="14" x14ac:dyDescent="0.15">
      <c r="C151" s="83"/>
      <c r="G151" s="293"/>
    </row>
    <row r="152" spans="2:9" ht="14" x14ac:dyDescent="0.15">
      <c r="C152" s="83"/>
      <c r="G152" s="294"/>
    </row>
    <row r="153" spans="2:9" ht="14" x14ac:dyDescent="0.15">
      <c r="C153" s="83"/>
      <c r="G153" s="294"/>
    </row>
    <row r="154" spans="2:9" ht="14" x14ac:dyDescent="0.15">
      <c r="C154" s="83"/>
      <c r="G154" s="294"/>
    </row>
    <row r="155" spans="2:9" ht="14" x14ac:dyDescent="0.15">
      <c r="C155" s="83"/>
      <c r="G155" s="293"/>
    </row>
    <row r="156" spans="2:9" ht="14" x14ac:dyDescent="0.15">
      <c r="C156" s="83"/>
      <c r="G156" s="293"/>
    </row>
    <row r="157" spans="2:9" ht="14" x14ac:dyDescent="0.15">
      <c r="C157" s="83"/>
    </row>
    <row r="158" spans="2:9" ht="14" x14ac:dyDescent="0.15">
      <c r="C158" s="83"/>
      <c r="F158" s="285"/>
      <c r="G158" s="288"/>
    </row>
    <row r="159" spans="2:9" ht="14" x14ac:dyDescent="0.15">
      <c r="C159" s="83"/>
      <c r="F159" s="286"/>
      <c r="G159" s="288"/>
    </row>
    <row r="160" spans="2:9" ht="14" x14ac:dyDescent="0.15">
      <c r="C160" s="83"/>
      <c r="F160" s="284"/>
      <c r="G160" s="288"/>
    </row>
    <row r="161" spans="3:8" ht="14" x14ac:dyDescent="0.15">
      <c r="C161" s="83"/>
      <c r="F161" s="284"/>
      <c r="G161" s="288"/>
    </row>
    <row r="162" spans="3:8" ht="14" x14ac:dyDescent="0.15">
      <c r="C162" s="83"/>
      <c r="G162" s="288"/>
    </row>
    <row r="163" spans="3:8" ht="14" x14ac:dyDescent="0.15">
      <c r="C163" s="83"/>
      <c r="F163" s="287"/>
      <c r="G163" s="105"/>
    </row>
    <row r="164" spans="3:8" ht="14" x14ac:dyDescent="0.15">
      <c r="C164" s="83"/>
    </row>
    <row r="165" spans="3:8" ht="14" x14ac:dyDescent="0.15">
      <c r="C165" s="83"/>
    </row>
    <row r="166" spans="3:8" ht="14" x14ac:dyDescent="0.15">
      <c r="C166" s="83"/>
    </row>
    <row r="167" spans="3:8" ht="14" x14ac:dyDescent="0.15">
      <c r="C167" s="83"/>
    </row>
    <row r="168" spans="3:8" ht="14" x14ac:dyDescent="0.15">
      <c r="C168" s="83"/>
    </row>
    <row r="169" spans="3:8" ht="14" x14ac:dyDescent="0.15">
      <c r="C169" s="83"/>
    </row>
    <row r="170" spans="3:8" ht="14" x14ac:dyDescent="0.15">
      <c r="C170" s="83"/>
    </row>
    <row r="171" spans="3:8" ht="14" x14ac:dyDescent="0.15">
      <c r="C171" s="83"/>
    </row>
    <row r="175" spans="3:8" x14ac:dyDescent="0.15">
      <c r="G175" s="100"/>
      <c r="H175" s="100"/>
    </row>
  </sheetData>
  <sheetProtection algorithmName="SHA-512" hashValue="Wg8ZUqlhAYuckpu5CmT0iBEksNg3cUkGAxr8dUyNzdjBX+cykrheVhvAZMckua97n9oJl56vwoM5dlSmF6nqgQ==" saltValue="aeNXc/EiWtFqsNw060fqKg==" spinCount="100000" sheet="1" objects="1" scenarios="1" selectLockedCells="1" selectUnlockedCells="1"/>
  <mergeCells count="53">
    <mergeCell ref="C104:F104"/>
    <mergeCell ref="B105:G105"/>
    <mergeCell ref="C45:F45"/>
    <mergeCell ref="B46:G46"/>
    <mergeCell ref="C47:G47"/>
    <mergeCell ref="C51:F51"/>
    <mergeCell ref="B52:G52"/>
    <mergeCell ref="C53:G53"/>
    <mergeCell ref="C64:F64"/>
    <mergeCell ref="B65:G65"/>
    <mergeCell ref="C66:G66"/>
    <mergeCell ref="B74:G74"/>
    <mergeCell ref="C75:G75"/>
    <mergeCell ref="C89:F89"/>
    <mergeCell ref="B90:G90"/>
    <mergeCell ref="C91:G91"/>
    <mergeCell ref="C138:G139"/>
    <mergeCell ref="C132:F132"/>
    <mergeCell ref="C133:F133"/>
    <mergeCell ref="C137:F137"/>
    <mergeCell ref="C130:F130"/>
    <mergeCell ref="C136:F136"/>
    <mergeCell ref="C134:F134"/>
    <mergeCell ref="C131:F131"/>
    <mergeCell ref="B1:G2"/>
    <mergeCell ref="B3:G3"/>
    <mergeCell ref="B4:G4"/>
    <mergeCell ref="C71:F71"/>
    <mergeCell ref="C73:F73"/>
    <mergeCell ref="C16:F16"/>
    <mergeCell ref="B17:G17"/>
    <mergeCell ref="C18:G18"/>
    <mergeCell ref="B7:G7"/>
    <mergeCell ref="B6:G6"/>
    <mergeCell ref="B5:G5"/>
    <mergeCell ref="C23:F23"/>
    <mergeCell ref="B24:G24"/>
    <mergeCell ref="C25:G25"/>
    <mergeCell ref="B9:G9"/>
    <mergeCell ref="C10:G10"/>
    <mergeCell ref="B128:G128"/>
    <mergeCell ref="C135:F135"/>
    <mergeCell ref="C125:G125"/>
    <mergeCell ref="C127:F127"/>
    <mergeCell ref="C106:G106"/>
    <mergeCell ref="C110:F110"/>
    <mergeCell ref="B111:G111"/>
    <mergeCell ref="C112:G112"/>
    <mergeCell ref="C118:F118"/>
    <mergeCell ref="B119:G119"/>
    <mergeCell ref="C120:G120"/>
    <mergeCell ref="C123:F123"/>
    <mergeCell ref="B124:G124"/>
  </mergeCells>
  <printOptions horizontalCentered="1"/>
  <pageMargins left="0.39370078740157483" right="0.39370078740157483" top="0.59055118110236227" bottom="0.59055118110236227" header="0.86614173228346458" footer="0"/>
  <pageSetup scale="85" orientation="portrait" horizontalDpi="300" verticalDpi="300" r:id="rId1"/>
  <headerFooter alignWithMargins="0"/>
  <ignoredErrors>
    <ignoredError sqref="G131:G134" evalErro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66FF33"/>
  </sheetPr>
  <dimension ref="A1:M79"/>
  <sheetViews>
    <sheetView view="pageBreakPreview" topLeftCell="B4" zoomScale="115" zoomScaleNormal="100" zoomScaleSheetLayoutView="115" workbookViewId="0">
      <selection activeCell="G29" sqref="G29"/>
    </sheetView>
  </sheetViews>
  <sheetFormatPr baseColWidth="10" defaultRowHeight="13" x14ac:dyDescent="0.15"/>
  <cols>
    <col min="1" max="1" width="6.1640625" style="264" customWidth="1"/>
    <col min="2" max="2" width="45" customWidth="1"/>
    <col min="3" max="4" width="13.1640625" customWidth="1"/>
    <col min="5" max="5" width="10.5" customWidth="1"/>
    <col min="6" max="6" width="7.5" customWidth="1"/>
    <col min="7" max="7" width="18.33203125" style="14" customWidth="1"/>
    <col min="8" max="8" width="15.5" style="9" customWidth="1"/>
    <col min="9" max="9" width="16.5" style="9" customWidth="1"/>
    <col min="10" max="10" width="11.83203125" customWidth="1"/>
    <col min="11" max="11" width="18.5" customWidth="1"/>
    <col min="12" max="12" width="12.5" customWidth="1"/>
    <col min="13" max="13" width="45.1640625" style="95" customWidth="1"/>
    <col min="15" max="15" width="36.5" customWidth="1"/>
  </cols>
  <sheetData>
    <row r="1" spans="1:13" ht="21" customHeight="1" x14ac:dyDescent="0.15">
      <c r="A1" s="473"/>
      <c r="B1" s="473"/>
      <c r="C1" s="473"/>
      <c r="D1" s="473"/>
      <c r="E1" s="473"/>
      <c r="F1" s="473"/>
      <c r="G1" s="473"/>
      <c r="H1" s="473"/>
      <c r="I1" s="473"/>
      <c r="J1" s="473"/>
      <c r="K1" s="473"/>
      <c r="M1"/>
    </row>
    <row r="2" spans="1:13" ht="115.5" customHeight="1" x14ac:dyDescent="0.15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M2"/>
    </row>
    <row r="3" spans="1:13" ht="14.25" customHeight="1" x14ac:dyDescent="0.15">
      <c r="A3" s="447" t="s">
        <v>447</v>
      </c>
      <c r="B3" s="447"/>
      <c r="C3" s="447"/>
      <c r="D3" s="447"/>
      <c r="E3" s="447"/>
      <c r="F3" s="447"/>
      <c r="G3" s="447"/>
      <c r="H3" s="447"/>
      <c r="I3" s="447"/>
      <c r="J3" s="447"/>
      <c r="K3" s="447"/>
      <c r="M3"/>
    </row>
    <row r="4" spans="1:13" ht="30.75" customHeight="1" x14ac:dyDescent="0.15">
      <c r="A4" s="450" t="s">
        <v>890</v>
      </c>
      <c r="B4" s="450"/>
      <c r="C4" s="450"/>
      <c r="D4" s="450"/>
      <c r="E4" s="450"/>
      <c r="F4" s="450"/>
      <c r="G4" s="450"/>
      <c r="H4" s="450"/>
      <c r="I4" s="450"/>
      <c r="J4" s="450"/>
      <c r="K4" s="450"/>
      <c r="M4"/>
    </row>
    <row r="5" spans="1:13" ht="20.25" customHeight="1" x14ac:dyDescent="0.15">
      <c r="A5" s="482" t="s">
        <v>601</v>
      </c>
      <c r="B5" s="483"/>
      <c r="C5" s="483"/>
      <c r="D5" s="483"/>
      <c r="E5" s="483"/>
      <c r="F5" s="483"/>
      <c r="G5" s="483"/>
      <c r="H5" s="483"/>
      <c r="I5" s="483"/>
      <c r="J5" s="483"/>
      <c r="K5" s="483"/>
    </row>
    <row r="6" spans="1:13" ht="11.25" customHeight="1" x14ac:dyDescent="0.15">
      <c r="A6" s="456"/>
      <c r="B6" s="456"/>
      <c r="C6" s="456"/>
      <c r="D6" s="456"/>
      <c r="E6" s="456"/>
      <c r="F6" s="456"/>
      <c r="G6" s="456"/>
      <c r="H6" s="456"/>
      <c r="I6" s="456"/>
      <c r="J6" s="456"/>
      <c r="K6" s="456"/>
    </row>
    <row r="7" spans="1:13" s="115" customFormat="1" ht="19.5" customHeight="1" x14ac:dyDescent="0.15">
      <c r="A7" s="481" t="s">
        <v>602</v>
      </c>
      <c r="B7" s="481"/>
      <c r="C7" s="481"/>
      <c r="D7" s="481"/>
      <c r="E7" s="481"/>
      <c r="F7" s="481"/>
      <c r="G7" s="481"/>
      <c r="H7" s="481"/>
      <c r="I7" s="481"/>
      <c r="J7" s="481"/>
      <c r="K7" s="361">
        <f>'PRESUPUESTO OBRA'!G130</f>
        <v>538461538.46264005</v>
      </c>
      <c r="M7" s="362"/>
    </row>
    <row r="8" spans="1:13" x14ac:dyDescent="0.15">
      <c r="A8" s="475"/>
      <c r="B8" s="475"/>
      <c r="C8" s="475"/>
      <c r="D8" s="475"/>
      <c r="E8" s="475"/>
      <c r="F8" s="475"/>
      <c r="G8" s="475"/>
      <c r="H8" s="475"/>
      <c r="I8" s="475"/>
      <c r="J8" s="475"/>
      <c r="K8" s="475"/>
    </row>
    <row r="9" spans="1:13" x14ac:dyDescent="0.15">
      <c r="A9" s="239">
        <v>1</v>
      </c>
      <c r="B9" s="434" t="s">
        <v>351</v>
      </c>
      <c r="C9" s="434"/>
      <c r="D9" s="434"/>
      <c r="E9" s="434"/>
      <c r="F9" s="434"/>
      <c r="G9" s="434"/>
      <c r="H9" s="434"/>
      <c r="I9" s="434"/>
      <c r="J9" s="434"/>
      <c r="K9" s="363">
        <f>I40+I31+I22</f>
        <v>54201000</v>
      </c>
    </row>
    <row r="10" spans="1:13" s="233" customFormat="1" ht="12" x14ac:dyDescent="0.15">
      <c r="A10" s="364" t="s">
        <v>185</v>
      </c>
      <c r="B10" s="476" t="s">
        <v>352</v>
      </c>
      <c r="C10" s="476"/>
      <c r="D10" s="476"/>
      <c r="E10" s="476"/>
      <c r="F10" s="476"/>
      <c r="G10" s="476"/>
      <c r="H10" s="476"/>
      <c r="I10" s="476"/>
      <c r="J10" s="477">
        <f>K9/K7</f>
        <v>0.10065899999979407</v>
      </c>
      <c r="K10" s="478"/>
    </row>
    <row r="11" spans="1:13" s="233" customFormat="1" ht="12" x14ac:dyDescent="0.15">
      <c r="A11" s="244" t="s">
        <v>336</v>
      </c>
      <c r="B11" s="244" t="s">
        <v>337</v>
      </c>
      <c r="C11" s="244" t="s">
        <v>185</v>
      </c>
      <c r="D11" s="244" t="s">
        <v>246</v>
      </c>
      <c r="E11" s="244" t="s">
        <v>267</v>
      </c>
      <c r="F11" s="244" t="s">
        <v>268</v>
      </c>
      <c r="G11" s="244" t="s">
        <v>338</v>
      </c>
      <c r="H11" s="244" t="s">
        <v>339</v>
      </c>
      <c r="I11" s="244" t="s">
        <v>340</v>
      </c>
      <c r="J11" s="477"/>
      <c r="K11" s="478"/>
    </row>
    <row r="12" spans="1:13" s="233" customFormat="1" ht="11.25" customHeight="1" x14ac:dyDescent="0.15">
      <c r="A12" s="479"/>
      <c r="B12" s="480" t="s">
        <v>352</v>
      </c>
      <c r="C12" s="480" t="s">
        <v>341</v>
      </c>
      <c r="D12" s="480" t="s">
        <v>342</v>
      </c>
      <c r="E12" s="480" t="s">
        <v>343</v>
      </c>
      <c r="F12" s="480" t="s">
        <v>344</v>
      </c>
      <c r="G12" s="480" t="s">
        <v>345</v>
      </c>
      <c r="H12" s="480" t="s">
        <v>346</v>
      </c>
      <c r="I12" s="480" t="s">
        <v>347</v>
      </c>
      <c r="J12" s="477"/>
      <c r="K12" s="478"/>
    </row>
    <row r="13" spans="1:13" s="233" customFormat="1" ht="24" customHeight="1" x14ac:dyDescent="0.15">
      <c r="A13" s="479"/>
      <c r="B13" s="480"/>
      <c r="C13" s="480"/>
      <c r="D13" s="480"/>
      <c r="E13" s="480"/>
      <c r="F13" s="480"/>
      <c r="G13" s="480"/>
      <c r="H13" s="480"/>
      <c r="I13" s="480"/>
      <c r="J13" s="477"/>
      <c r="K13" s="478"/>
      <c r="M13" s="365"/>
    </row>
    <row r="14" spans="1:13" s="233" customFormat="1" x14ac:dyDescent="0.15">
      <c r="A14" s="417">
        <v>1</v>
      </c>
      <c r="B14" s="245" t="s">
        <v>603</v>
      </c>
      <c r="C14" s="366">
        <f>1160000*3</f>
        <v>3480000</v>
      </c>
      <c r="D14" s="366">
        <f t="shared" ref="D14:D20" si="0">C14*A14</f>
        <v>3480000</v>
      </c>
      <c r="E14" s="417">
        <v>25</v>
      </c>
      <c r="F14" s="417">
        <v>1.75</v>
      </c>
      <c r="G14" s="366">
        <f t="shared" ref="G14:G15" si="1">+D14*E14*F14/100</f>
        <v>1522500</v>
      </c>
      <c r="H14" s="417">
        <v>4</v>
      </c>
      <c r="I14" s="366">
        <f t="shared" ref="I14:I20" si="2">+G14*H14</f>
        <v>6090000</v>
      </c>
      <c r="J14" s="477"/>
      <c r="K14" s="478"/>
    </row>
    <row r="15" spans="1:13" s="233" customFormat="1" x14ac:dyDescent="0.15">
      <c r="A15" s="417">
        <v>1</v>
      </c>
      <c r="B15" s="245" t="s">
        <v>604</v>
      </c>
      <c r="C15" s="366">
        <f>1160000*1.8</f>
        <v>2088000</v>
      </c>
      <c r="D15" s="366">
        <f t="shared" si="0"/>
        <v>2088000</v>
      </c>
      <c r="E15" s="417">
        <v>100</v>
      </c>
      <c r="F15" s="417">
        <v>1.75</v>
      </c>
      <c r="G15" s="366">
        <f t="shared" si="1"/>
        <v>3654000</v>
      </c>
      <c r="H15" s="417">
        <v>4</v>
      </c>
      <c r="I15" s="366">
        <f t="shared" si="2"/>
        <v>14616000</v>
      </c>
      <c r="J15" s="477"/>
      <c r="K15" s="478"/>
    </row>
    <row r="16" spans="1:13" s="233" customFormat="1" x14ac:dyDescent="0.15">
      <c r="A16" s="417">
        <v>1</v>
      </c>
      <c r="B16" s="245" t="s">
        <v>605</v>
      </c>
      <c r="C16" s="366">
        <f>1160000*2.5</f>
        <v>2900000</v>
      </c>
      <c r="D16" s="366">
        <f t="shared" si="0"/>
        <v>2900000</v>
      </c>
      <c r="E16" s="417">
        <v>5</v>
      </c>
      <c r="F16" s="417">
        <v>1.75</v>
      </c>
      <c r="G16" s="366">
        <f>+D16*E16*F16/100</f>
        <v>253750</v>
      </c>
      <c r="H16" s="417">
        <v>4</v>
      </c>
      <c r="I16" s="366">
        <f t="shared" si="2"/>
        <v>1015000</v>
      </c>
      <c r="J16" s="477"/>
      <c r="K16" s="478"/>
    </row>
    <row r="17" spans="1:11" s="233" customFormat="1" x14ac:dyDescent="0.15">
      <c r="A17" s="417">
        <v>1</v>
      </c>
      <c r="B17" s="245" t="s">
        <v>606</v>
      </c>
      <c r="C17" s="366">
        <f>1160000*2.5</f>
        <v>2900000</v>
      </c>
      <c r="D17" s="366">
        <f t="shared" si="0"/>
        <v>2900000</v>
      </c>
      <c r="E17" s="417">
        <v>5</v>
      </c>
      <c r="F17" s="417">
        <v>1.75</v>
      </c>
      <c r="G17" s="366">
        <f>+D17*E17*F17/100</f>
        <v>253750</v>
      </c>
      <c r="H17" s="417">
        <v>4</v>
      </c>
      <c r="I17" s="366">
        <f t="shared" si="2"/>
        <v>1015000</v>
      </c>
      <c r="J17" s="477"/>
      <c r="K17" s="478"/>
    </row>
    <row r="18" spans="1:11" s="233" customFormat="1" x14ac:dyDescent="0.15">
      <c r="A18" s="417">
        <v>1</v>
      </c>
      <c r="B18" s="245" t="s">
        <v>607</v>
      </c>
      <c r="C18" s="366">
        <f>1160000*2.5</f>
        <v>2900000</v>
      </c>
      <c r="D18" s="366">
        <f t="shared" si="0"/>
        <v>2900000</v>
      </c>
      <c r="E18" s="417">
        <v>5</v>
      </c>
      <c r="F18" s="417">
        <v>1.75</v>
      </c>
      <c r="G18" s="366">
        <f t="shared" ref="G18:G20" si="3">+D18*E18*F18/100</f>
        <v>253750</v>
      </c>
      <c r="H18" s="417">
        <v>4</v>
      </c>
      <c r="I18" s="366">
        <f t="shared" si="2"/>
        <v>1015000</v>
      </c>
      <c r="J18" s="477"/>
      <c r="K18" s="478"/>
    </row>
    <row r="19" spans="1:11" s="233" customFormat="1" x14ac:dyDescent="0.15">
      <c r="A19" s="417">
        <v>1</v>
      </c>
      <c r="B19" s="245" t="s">
        <v>608</v>
      </c>
      <c r="C19" s="366">
        <f>1160000*2.5</f>
        <v>2900000</v>
      </c>
      <c r="D19" s="366">
        <f t="shared" si="0"/>
        <v>2900000</v>
      </c>
      <c r="E19" s="417">
        <v>5</v>
      </c>
      <c r="F19" s="417">
        <v>1.75</v>
      </c>
      <c r="G19" s="366">
        <f t="shared" si="3"/>
        <v>253750</v>
      </c>
      <c r="H19" s="417">
        <v>4</v>
      </c>
      <c r="I19" s="366">
        <f t="shared" si="2"/>
        <v>1015000</v>
      </c>
      <c r="J19" s="477"/>
      <c r="K19" s="478"/>
    </row>
    <row r="20" spans="1:11" s="233" customFormat="1" x14ac:dyDescent="0.15">
      <c r="A20" s="417">
        <v>1</v>
      </c>
      <c r="B20" s="245" t="s">
        <v>348</v>
      </c>
      <c r="C20" s="366">
        <f>1160000*1.25</f>
        <v>1450000</v>
      </c>
      <c r="D20" s="366">
        <f t="shared" si="0"/>
        <v>1450000</v>
      </c>
      <c r="E20" s="417">
        <v>50</v>
      </c>
      <c r="F20" s="417">
        <v>1.75</v>
      </c>
      <c r="G20" s="366">
        <f t="shared" si="3"/>
        <v>1268750</v>
      </c>
      <c r="H20" s="417">
        <v>4</v>
      </c>
      <c r="I20" s="366">
        <f t="shared" si="2"/>
        <v>5075000</v>
      </c>
      <c r="J20" s="477"/>
      <c r="K20" s="478"/>
    </row>
    <row r="21" spans="1:11" s="233" customFormat="1" ht="12" x14ac:dyDescent="0.15">
      <c r="A21" s="484"/>
      <c r="B21" s="484"/>
      <c r="C21" s="484"/>
      <c r="D21" s="484"/>
      <c r="E21" s="484"/>
      <c r="F21" s="484"/>
      <c r="G21" s="484"/>
      <c r="H21" s="484"/>
      <c r="I21" s="484"/>
      <c r="J21" s="477"/>
      <c r="K21" s="478"/>
    </row>
    <row r="22" spans="1:11" s="233" customFormat="1" ht="12" x14ac:dyDescent="0.15">
      <c r="A22" s="417"/>
      <c r="B22" s="474" t="s">
        <v>355</v>
      </c>
      <c r="C22" s="474"/>
      <c r="D22" s="474"/>
      <c r="E22" s="474"/>
      <c r="F22" s="474"/>
      <c r="G22" s="474"/>
      <c r="H22" s="474"/>
      <c r="I22" s="248">
        <f>SUM(I14:I20)</f>
        <v>29841000</v>
      </c>
      <c r="J22" s="477"/>
      <c r="K22" s="478"/>
    </row>
    <row r="23" spans="1:11" s="233" customFormat="1" ht="12" x14ac:dyDescent="0.15">
      <c r="A23" s="484"/>
      <c r="B23" s="484"/>
      <c r="C23" s="484"/>
      <c r="D23" s="484"/>
      <c r="E23" s="484"/>
      <c r="F23" s="484"/>
      <c r="G23" s="484"/>
      <c r="H23" s="484"/>
      <c r="I23" s="484"/>
      <c r="J23" s="477"/>
      <c r="K23" s="478"/>
    </row>
    <row r="24" spans="1:11" s="233" customFormat="1" ht="12" x14ac:dyDescent="0.15">
      <c r="A24" s="364" t="s">
        <v>246</v>
      </c>
      <c r="B24" s="476" t="s">
        <v>356</v>
      </c>
      <c r="C24" s="476"/>
      <c r="D24" s="476"/>
      <c r="E24" s="476"/>
      <c r="F24" s="476"/>
      <c r="G24" s="476"/>
      <c r="H24" s="476"/>
      <c r="I24" s="476"/>
      <c r="J24" s="477"/>
      <c r="K24" s="478"/>
    </row>
    <row r="25" spans="1:11" s="233" customFormat="1" ht="12" x14ac:dyDescent="0.15">
      <c r="A25" s="417"/>
      <c r="B25" s="244" t="s">
        <v>337</v>
      </c>
      <c r="C25" s="244" t="s">
        <v>185</v>
      </c>
      <c r="D25" s="244" t="s">
        <v>246</v>
      </c>
      <c r="E25" s="244" t="s">
        <v>267</v>
      </c>
      <c r="F25" s="244" t="s">
        <v>268</v>
      </c>
      <c r="G25" s="244" t="s">
        <v>338</v>
      </c>
      <c r="H25" s="244" t="s">
        <v>339</v>
      </c>
      <c r="I25" s="244" t="s">
        <v>340</v>
      </c>
      <c r="J25" s="477"/>
      <c r="K25" s="478"/>
    </row>
    <row r="26" spans="1:11" s="233" customFormat="1" ht="12" x14ac:dyDescent="0.15">
      <c r="A26" s="479"/>
      <c r="B26" s="480" t="s">
        <v>335</v>
      </c>
      <c r="C26" s="480" t="s">
        <v>341</v>
      </c>
      <c r="D26" s="480" t="s">
        <v>342</v>
      </c>
      <c r="E26" s="480" t="s">
        <v>343</v>
      </c>
      <c r="F26" s="480" t="s">
        <v>344</v>
      </c>
      <c r="G26" s="480" t="s">
        <v>345</v>
      </c>
      <c r="H26" s="480" t="s">
        <v>346</v>
      </c>
      <c r="I26" s="480" t="s">
        <v>347</v>
      </c>
      <c r="J26" s="477"/>
      <c r="K26" s="478"/>
    </row>
    <row r="27" spans="1:11" s="233" customFormat="1" ht="12" x14ac:dyDescent="0.15">
      <c r="A27" s="479"/>
      <c r="B27" s="480"/>
      <c r="C27" s="480"/>
      <c r="D27" s="480"/>
      <c r="E27" s="480"/>
      <c r="F27" s="480"/>
      <c r="G27" s="480"/>
      <c r="H27" s="480"/>
      <c r="I27" s="480"/>
      <c r="J27" s="477"/>
      <c r="K27" s="478"/>
    </row>
    <row r="28" spans="1:11" s="233" customFormat="1" ht="12" x14ac:dyDescent="0.15">
      <c r="A28" s="417">
        <v>1</v>
      </c>
      <c r="B28" s="249" t="s">
        <v>609</v>
      </c>
      <c r="C28" s="366">
        <f>1160000*1</f>
        <v>1160000</v>
      </c>
      <c r="D28" s="366">
        <f t="shared" ref="D28:D29" si="4">C28*A28</f>
        <v>1160000</v>
      </c>
      <c r="E28" s="417">
        <v>100</v>
      </c>
      <c r="F28" s="417">
        <v>1.75</v>
      </c>
      <c r="G28" s="366">
        <f t="shared" ref="G28:G29" si="5">+D28*E28*F28/100</f>
        <v>2030000</v>
      </c>
      <c r="H28" s="417">
        <v>4</v>
      </c>
      <c r="I28" s="366">
        <f t="shared" ref="I28:I29" si="6">+G28*H28</f>
        <v>8120000</v>
      </c>
      <c r="J28" s="477"/>
      <c r="K28" s="478"/>
    </row>
    <row r="29" spans="1:11" s="233" customFormat="1" ht="12" x14ac:dyDescent="0.15">
      <c r="A29" s="417">
        <v>1</v>
      </c>
      <c r="B29" s="249" t="s">
        <v>610</v>
      </c>
      <c r="C29" s="366">
        <f>1160000*1</f>
        <v>1160000</v>
      </c>
      <c r="D29" s="366">
        <f t="shared" si="4"/>
        <v>1160000</v>
      </c>
      <c r="E29" s="417">
        <v>100</v>
      </c>
      <c r="F29" s="417">
        <v>1.75</v>
      </c>
      <c r="G29" s="366">
        <f t="shared" si="5"/>
        <v>2030000</v>
      </c>
      <c r="H29" s="417">
        <v>4</v>
      </c>
      <c r="I29" s="366">
        <f t="shared" si="6"/>
        <v>8120000</v>
      </c>
      <c r="J29" s="477"/>
      <c r="K29" s="478"/>
    </row>
    <row r="30" spans="1:11" s="233" customFormat="1" ht="12" x14ac:dyDescent="0.15">
      <c r="A30" s="484"/>
      <c r="B30" s="484"/>
      <c r="C30" s="484"/>
      <c r="D30" s="484"/>
      <c r="E30" s="484"/>
      <c r="F30" s="484"/>
      <c r="G30" s="484"/>
      <c r="H30" s="484"/>
      <c r="I30" s="484"/>
      <c r="J30" s="477"/>
      <c r="K30" s="478"/>
    </row>
    <row r="31" spans="1:11" s="233" customFormat="1" ht="12" x14ac:dyDescent="0.15">
      <c r="A31" s="417"/>
      <c r="B31" s="474" t="s">
        <v>358</v>
      </c>
      <c r="C31" s="474"/>
      <c r="D31" s="474"/>
      <c r="E31" s="474"/>
      <c r="F31" s="474"/>
      <c r="G31" s="474"/>
      <c r="H31" s="474"/>
      <c r="I31" s="248">
        <f>SUM(I28:I29)</f>
        <v>16240000</v>
      </c>
      <c r="J31" s="477"/>
      <c r="K31" s="478"/>
    </row>
    <row r="32" spans="1:11" s="233" customFormat="1" ht="12" x14ac:dyDescent="0.15">
      <c r="A32" s="479"/>
      <c r="B32" s="479"/>
      <c r="C32" s="479"/>
      <c r="D32" s="479"/>
      <c r="E32" s="479"/>
      <c r="F32" s="479"/>
      <c r="G32" s="479"/>
      <c r="H32" s="479"/>
      <c r="I32" s="479"/>
      <c r="J32" s="477"/>
      <c r="K32" s="478"/>
    </row>
    <row r="33" spans="1:13" s="233" customFormat="1" ht="12" x14ac:dyDescent="0.15">
      <c r="A33" s="484"/>
      <c r="B33" s="484"/>
      <c r="C33" s="484"/>
      <c r="D33" s="484"/>
      <c r="E33" s="484"/>
      <c r="F33" s="484"/>
      <c r="G33" s="484"/>
      <c r="H33" s="484"/>
      <c r="I33" s="484"/>
      <c r="J33" s="477"/>
      <c r="K33" s="478"/>
      <c r="M33" s="367"/>
    </row>
    <row r="34" spans="1:13" s="233" customFormat="1" ht="12" x14ac:dyDescent="0.15">
      <c r="A34" s="364" t="s">
        <v>267</v>
      </c>
      <c r="B34" s="476" t="s">
        <v>611</v>
      </c>
      <c r="C34" s="476"/>
      <c r="D34" s="476"/>
      <c r="E34" s="476"/>
      <c r="F34" s="476"/>
      <c r="G34" s="476"/>
      <c r="H34" s="476"/>
      <c r="I34" s="476"/>
      <c r="J34" s="477"/>
      <c r="K34" s="478"/>
    </row>
    <row r="35" spans="1:13" s="233" customFormat="1" ht="12" x14ac:dyDescent="0.15">
      <c r="A35" s="417"/>
      <c r="B35" s="244" t="s">
        <v>337</v>
      </c>
      <c r="C35" s="244" t="s">
        <v>185</v>
      </c>
      <c r="D35" s="244" t="s">
        <v>246</v>
      </c>
      <c r="E35" s="244" t="s">
        <v>267</v>
      </c>
      <c r="F35" s="244" t="s">
        <v>268</v>
      </c>
      <c r="G35" s="244" t="s">
        <v>338</v>
      </c>
      <c r="H35" s="244" t="s">
        <v>339</v>
      </c>
      <c r="I35" s="244" t="s">
        <v>340</v>
      </c>
      <c r="J35" s="477"/>
      <c r="K35" s="478"/>
    </row>
    <row r="36" spans="1:13" s="233" customFormat="1" ht="11.25" customHeight="1" x14ac:dyDescent="0.15">
      <c r="A36" s="479"/>
      <c r="B36" s="480" t="s">
        <v>335</v>
      </c>
      <c r="C36" s="480" t="s">
        <v>341</v>
      </c>
      <c r="D36" s="480" t="s">
        <v>342</v>
      </c>
      <c r="E36" s="480" t="s">
        <v>343</v>
      </c>
      <c r="F36" s="480" t="s">
        <v>344</v>
      </c>
      <c r="G36" s="480" t="s">
        <v>345</v>
      </c>
      <c r="H36" s="480" t="s">
        <v>346</v>
      </c>
      <c r="I36" s="480" t="s">
        <v>347</v>
      </c>
      <c r="J36" s="477"/>
      <c r="K36" s="478"/>
    </row>
    <row r="37" spans="1:13" s="233" customFormat="1" ht="24" customHeight="1" x14ac:dyDescent="0.15">
      <c r="A37" s="479"/>
      <c r="B37" s="480"/>
      <c r="C37" s="480"/>
      <c r="D37" s="480"/>
      <c r="E37" s="480"/>
      <c r="F37" s="480"/>
      <c r="G37" s="480"/>
      <c r="H37" s="480"/>
      <c r="I37" s="480"/>
      <c r="J37" s="477"/>
      <c r="K37" s="478"/>
    </row>
    <row r="38" spans="1:13" s="233" customFormat="1" ht="12" x14ac:dyDescent="0.15">
      <c r="A38" s="417">
        <v>1</v>
      </c>
      <c r="B38" s="249" t="s">
        <v>1067</v>
      </c>
      <c r="C38" s="366">
        <f>1160000*1</f>
        <v>1160000</v>
      </c>
      <c r="D38" s="366">
        <f>C38*A38</f>
        <v>1160000</v>
      </c>
      <c r="E38" s="417">
        <v>100</v>
      </c>
      <c r="F38" s="417">
        <v>1.75</v>
      </c>
      <c r="G38" s="366">
        <f>+D38*E38*F38/100</f>
        <v>2030000</v>
      </c>
      <c r="H38" s="417">
        <v>4</v>
      </c>
      <c r="I38" s="366">
        <f>+G38*H38</f>
        <v>8120000</v>
      </c>
      <c r="J38" s="477"/>
      <c r="K38" s="478"/>
    </row>
    <row r="39" spans="1:13" s="233" customFormat="1" ht="12" x14ac:dyDescent="0.15">
      <c r="A39" s="479"/>
      <c r="B39" s="479"/>
      <c r="C39" s="479"/>
      <c r="D39" s="479"/>
      <c r="E39" s="479"/>
      <c r="F39" s="479"/>
      <c r="G39" s="479"/>
      <c r="H39" s="479"/>
      <c r="I39" s="479"/>
      <c r="J39" s="477"/>
      <c r="K39" s="478"/>
    </row>
    <row r="40" spans="1:13" s="233" customFormat="1" ht="12" x14ac:dyDescent="0.15">
      <c r="A40" s="417"/>
      <c r="B40" s="474" t="s">
        <v>612</v>
      </c>
      <c r="C40" s="474"/>
      <c r="D40" s="474"/>
      <c r="E40" s="474"/>
      <c r="F40" s="474"/>
      <c r="G40" s="474"/>
      <c r="H40" s="474"/>
      <c r="I40" s="248">
        <f>SUM(I38:I38)</f>
        <v>8120000</v>
      </c>
      <c r="J40" s="477"/>
      <c r="K40" s="478"/>
    </row>
    <row r="41" spans="1:13" s="233" customFormat="1" ht="14.25" customHeight="1" x14ac:dyDescent="0.15">
      <c r="A41" s="478"/>
      <c r="B41" s="478"/>
      <c r="C41" s="478"/>
      <c r="D41" s="478"/>
      <c r="E41" s="478"/>
      <c r="F41" s="478"/>
      <c r="G41" s="478"/>
      <c r="H41" s="478"/>
      <c r="I41" s="478"/>
      <c r="J41" s="477"/>
      <c r="K41" s="478"/>
    </row>
    <row r="42" spans="1:13" x14ac:dyDescent="0.15">
      <c r="A42" s="239">
        <v>2</v>
      </c>
      <c r="B42" s="485" t="s">
        <v>359</v>
      </c>
      <c r="C42" s="485"/>
      <c r="D42" s="485"/>
      <c r="E42" s="485"/>
      <c r="F42" s="485"/>
      <c r="G42" s="485"/>
      <c r="H42" s="485"/>
      <c r="I42" s="485"/>
      <c r="J42" s="485"/>
      <c r="K42" s="363">
        <f>SUM(I43:I53)</f>
        <v>17559769.228</v>
      </c>
    </row>
    <row r="43" spans="1:13" ht="13.5" customHeight="1" x14ac:dyDescent="0.15">
      <c r="A43" s="239" t="s">
        <v>215</v>
      </c>
      <c r="B43" s="486" t="s">
        <v>613</v>
      </c>
      <c r="C43" s="486"/>
      <c r="D43" s="486"/>
      <c r="E43" s="486"/>
      <c r="F43" s="368" t="s">
        <v>333</v>
      </c>
      <c r="G43" s="369">
        <v>4</v>
      </c>
      <c r="H43" s="370">
        <v>200000</v>
      </c>
      <c r="I43" s="8">
        <f t="shared" ref="I43:I63" si="7">H43*G43</f>
        <v>800000</v>
      </c>
      <c r="J43" s="477">
        <f>K42/K7</f>
        <v>3.2610999994790425E-2</v>
      </c>
      <c r="K43" s="487"/>
      <c r="M43" s="13"/>
    </row>
    <row r="44" spans="1:13" ht="13.5" customHeight="1" x14ac:dyDescent="0.15">
      <c r="A44" s="239" t="s">
        <v>216</v>
      </c>
      <c r="B44" s="486" t="s">
        <v>614</v>
      </c>
      <c r="C44" s="486"/>
      <c r="D44" s="486"/>
      <c r="E44" s="486"/>
      <c r="F44" s="53" t="s">
        <v>333</v>
      </c>
      <c r="G44" s="70">
        <v>4</v>
      </c>
      <c r="H44" s="250">
        <v>800000</v>
      </c>
      <c r="I44" s="8">
        <f t="shared" si="7"/>
        <v>3200000</v>
      </c>
      <c r="J44" s="477"/>
      <c r="K44" s="487"/>
    </row>
    <row r="45" spans="1:13" ht="13.5" customHeight="1" x14ac:dyDescent="0.15">
      <c r="A45" s="239" t="s">
        <v>217</v>
      </c>
      <c r="B45" s="486" t="s">
        <v>615</v>
      </c>
      <c r="C45" s="486"/>
      <c r="D45" s="486"/>
      <c r="E45" s="486"/>
      <c r="F45" s="53" t="s">
        <v>333</v>
      </c>
      <c r="G45" s="70">
        <v>4</v>
      </c>
      <c r="H45" s="250">
        <v>64942.307000000001</v>
      </c>
      <c r="I45" s="8">
        <f t="shared" si="7"/>
        <v>259769.228</v>
      </c>
      <c r="J45" s="477"/>
      <c r="K45" s="487"/>
      <c r="M45" s="13"/>
    </row>
    <row r="46" spans="1:13" ht="13.5" customHeight="1" x14ac:dyDescent="0.15">
      <c r="A46" s="239" t="s">
        <v>218</v>
      </c>
      <c r="B46" s="486" t="s">
        <v>616</v>
      </c>
      <c r="C46" s="486"/>
      <c r="D46" s="486"/>
      <c r="E46" s="486"/>
      <c r="F46" s="53" t="s">
        <v>333</v>
      </c>
      <c r="G46" s="70">
        <v>4</v>
      </c>
      <c r="H46" s="250">
        <v>150000</v>
      </c>
      <c r="I46" s="8">
        <f t="shared" si="7"/>
        <v>600000</v>
      </c>
      <c r="J46" s="477"/>
      <c r="K46" s="487"/>
    </row>
    <row r="47" spans="1:13" ht="13.5" customHeight="1" x14ac:dyDescent="0.15">
      <c r="A47" s="239" t="s">
        <v>478</v>
      </c>
      <c r="B47" s="486" t="s">
        <v>617</v>
      </c>
      <c r="C47" s="486"/>
      <c r="D47" s="486"/>
      <c r="E47" s="486"/>
      <c r="F47" s="53" t="s">
        <v>333</v>
      </c>
      <c r="G47" s="70">
        <v>4</v>
      </c>
      <c r="H47" s="250">
        <v>700000</v>
      </c>
      <c r="I47" s="8">
        <f t="shared" si="7"/>
        <v>2800000</v>
      </c>
      <c r="J47" s="477"/>
      <c r="K47" s="487"/>
    </row>
    <row r="48" spans="1:13" ht="13.5" customHeight="1" x14ac:dyDescent="0.15">
      <c r="A48" s="239" t="s">
        <v>618</v>
      </c>
      <c r="B48" s="486" t="s">
        <v>619</v>
      </c>
      <c r="C48" s="486"/>
      <c r="D48" s="486"/>
      <c r="E48" s="486"/>
      <c r="F48" s="53" t="s">
        <v>441</v>
      </c>
      <c r="G48" s="70">
        <v>1</v>
      </c>
      <c r="H48" s="250">
        <v>300000</v>
      </c>
      <c r="I48" s="8">
        <f t="shared" si="7"/>
        <v>300000</v>
      </c>
      <c r="J48" s="477"/>
      <c r="K48" s="487"/>
      <c r="M48" s="13"/>
    </row>
    <row r="49" spans="1:11" ht="13.5" customHeight="1" x14ac:dyDescent="0.15">
      <c r="A49" s="239" t="s">
        <v>620</v>
      </c>
      <c r="B49" s="486" t="s">
        <v>621</v>
      </c>
      <c r="C49" s="486"/>
      <c r="D49" s="486"/>
      <c r="E49" s="486"/>
      <c r="F49" s="53" t="s">
        <v>441</v>
      </c>
      <c r="G49" s="70">
        <v>1</v>
      </c>
      <c r="H49" s="250">
        <v>800000</v>
      </c>
      <c r="I49" s="8">
        <f t="shared" si="7"/>
        <v>800000</v>
      </c>
      <c r="J49" s="477"/>
      <c r="K49" s="487"/>
    </row>
    <row r="50" spans="1:11" ht="13.5" customHeight="1" x14ac:dyDescent="0.15">
      <c r="A50" s="239" t="s">
        <v>622</v>
      </c>
      <c r="B50" s="486" t="s">
        <v>623</v>
      </c>
      <c r="C50" s="486"/>
      <c r="D50" s="486"/>
      <c r="E50" s="486"/>
      <c r="F50" s="53" t="s">
        <v>333</v>
      </c>
      <c r="G50" s="70">
        <v>4</v>
      </c>
      <c r="H50" s="250">
        <v>900000</v>
      </c>
      <c r="I50" s="8">
        <f t="shared" si="7"/>
        <v>3600000</v>
      </c>
      <c r="J50" s="477"/>
      <c r="K50" s="487"/>
    </row>
    <row r="51" spans="1:11" ht="13.5" customHeight="1" x14ac:dyDescent="0.15">
      <c r="A51" s="239" t="s">
        <v>624</v>
      </c>
      <c r="B51" s="486" t="s">
        <v>625</v>
      </c>
      <c r="C51" s="486"/>
      <c r="D51" s="486"/>
      <c r="E51" s="486"/>
      <c r="F51" s="53" t="s">
        <v>333</v>
      </c>
      <c r="G51" s="70">
        <v>4</v>
      </c>
      <c r="H51" s="250">
        <v>500000</v>
      </c>
      <c r="I51" s="8">
        <f t="shared" si="7"/>
        <v>2000000</v>
      </c>
      <c r="J51" s="477"/>
      <c r="K51" s="487"/>
    </row>
    <row r="52" spans="1:11" ht="13.5" customHeight="1" x14ac:dyDescent="0.15">
      <c r="A52" s="239" t="s">
        <v>626</v>
      </c>
      <c r="B52" s="486" t="s">
        <v>627</v>
      </c>
      <c r="C52" s="486"/>
      <c r="D52" s="486"/>
      <c r="E52" s="486"/>
      <c r="F52" s="53" t="s">
        <v>441</v>
      </c>
      <c r="G52" s="70">
        <v>1</v>
      </c>
      <c r="H52" s="250">
        <v>1200000</v>
      </c>
      <c r="I52" s="8">
        <f>H52*G52</f>
        <v>1200000</v>
      </c>
      <c r="J52" s="477"/>
      <c r="K52" s="487"/>
    </row>
    <row r="53" spans="1:11" ht="13.5" customHeight="1" x14ac:dyDescent="0.15">
      <c r="A53" s="239" t="s">
        <v>628</v>
      </c>
      <c r="B53" s="486" t="s">
        <v>629</v>
      </c>
      <c r="C53" s="486"/>
      <c r="D53" s="486"/>
      <c r="E53" s="486"/>
      <c r="F53" s="53" t="s">
        <v>441</v>
      </c>
      <c r="G53" s="70">
        <v>1</v>
      </c>
      <c r="H53" s="250">
        <v>2000000</v>
      </c>
      <c r="I53" s="8">
        <f>H53*G53</f>
        <v>2000000</v>
      </c>
      <c r="J53" s="477"/>
      <c r="K53" s="487"/>
    </row>
    <row r="54" spans="1:11" x14ac:dyDescent="0.15">
      <c r="A54" s="475"/>
      <c r="B54" s="475"/>
      <c r="C54" s="475"/>
      <c r="D54" s="475"/>
      <c r="E54" s="475"/>
      <c r="F54" s="475"/>
      <c r="G54" s="475"/>
      <c r="H54" s="475"/>
      <c r="I54" s="475"/>
      <c r="J54" s="475"/>
      <c r="K54" s="475"/>
    </row>
    <row r="55" spans="1:11" ht="26" x14ac:dyDescent="0.15">
      <c r="A55" s="252" t="s">
        <v>0</v>
      </c>
      <c r="B55" s="488" t="s">
        <v>1</v>
      </c>
      <c r="C55" s="488"/>
      <c r="D55" s="488"/>
      <c r="E55" s="488"/>
      <c r="F55" s="371" t="s">
        <v>62</v>
      </c>
      <c r="G55" s="254" t="s">
        <v>362</v>
      </c>
      <c r="H55" s="255" t="s">
        <v>363</v>
      </c>
      <c r="I55" s="418" t="s">
        <v>630</v>
      </c>
      <c r="J55" s="256" t="s">
        <v>62</v>
      </c>
      <c r="K55" s="257" t="s">
        <v>4</v>
      </c>
    </row>
    <row r="56" spans="1:11" x14ac:dyDescent="0.15">
      <c r="A56" s="372">
        <v>3</v>
      </c>
      <c r="B56" s="485" t="s">
        <v>365</v>
      </c>
      <c r="C56" s="485"/>
      <c r="D56" s="485"/>
      <c r="E56" s="485"/>
      <c r="F56" s="485"/>
      <c r="G56" s="485"/>
      <c r="H56" s="485"/>
      <c r="I56" s="485"/>
      <c r="J56" s="485"/>
      <c r="K56" s="363">
        <f>SUM(I57:I63)</f>
        <v>46700769.230864771</v>
      </c>
    </row>
    <row r="57" spans="1:11" x14ac:dyDescent="0.15">
      <c r="A57" s="251">
        <v>3.1</v>
      </c>
      <c r="B57" s="486" t="s">
        <v>366</v>
      </c>
      <c r="C57" s="486"/>
      <c r="D57" s="486"/>
      <c r="E57" s="486"/>
      <c r="F57" s="258">
        <v>1</v>
      </c>
      <c r="G57" s="70">
        <f>K7*F57</f>
        <v>538461538.46264005</v>
      </c>
      <c r="H57" s="259">
        <v>3.5000000000000003E-2</v>
      </c>
      <c r="I57" s="8">
        <f>H57*G57</f>
        <v>18846153.846192405</v>
      </c>
      <c r="J57" s="477">
        <f>K56/K7</f>
        <v>8.6730000000000002E-2</v>
      </c>
      <c r="K57" s="489"/>
    </row>
    <row r="58" spans="1:11" x14ac:dyDescent="0.15">
      <c r="A58" s="251">
        <v>3.2</v>
      </c>
      <c r="B58" s="486" t="s">
        <v>631</v>
      </c>
      <c r="C58" s="486"/>
      <c r="D58" s="486"/>
      <c r="E58" s="486"/>
      <c r="F58" s="258">
        <v>1</v>
      </c>
      <c r="G58" s="70">
        <f>K7</f>
        <v>538461538.46264005</v>
      </c>
      <c r="H58" s="259">
        <v>0.05</v>
      </c>
      <c r="I58" s="8">
        <f>H58*G58</f>
        <v>26923076.923132002</v>
      </c>
      <c r="J58" s="477"/>
      <c r="K58" s="489"/>
    </row>
    <row r="59" spans="1:11" x14ac:dyDescent="0.15">
      <c r="A59" s="251">
        <v>3.3</v>
      </c>
      <c r="B59" s="486" t="s">
        <v>367</v>
      </c>
      <c r="C59" s="486"/>
      <c r="D59" s="486"/>
      <c r="E59" s="486"/>
      <c r="F59" s="258">
        <v>0.4</v>
      </c>
      <c r="G59" s="70">
        <f>K7*F59</f>
        <v>215384615.38505602</v>
      </c>
      <c r="H59" s="259">
        <v>8.9999999999999998E-4</v>
      </c>
      <c r="I59" s="8">
        <f>H59*G59</f>
        <v>193846.15384655041</v>
      </c>
      <c r="J59" s="477"/>
      <c r="K59" s="489"/>
    </row>
    <row r="60" spans="1:11" x14ac:dyDescent="0.15">
      <c r="A60" s="251">
        <v>3.4</v>
      </c>
      <c r="B60" s="486" t="s">
        <v>368</v>
      </c>
      <c r="C60" s="486"/>
      <c r="D60" s="486"/>
      <c r="E60" s="486"/>
      <c r="F60" s="258">
        <v>0.1</v>
      </c>
      <c r="G60" s="70">
        <f>K7*F60</f>
        <v>53846153.846264005</v>
      </c>
      <c r="H60" s="259">
        <v>6.9999999999999999E-4</v>
      </c>
      <c r="I60" s="8">
        <f t="shared" ref="I60:I61" si="8">H60*G60</f>
        <v>37692.307692384806</v>
      </c>
      <c r="J60" s="477"/>
      <c r="K60" s="489"/>
    </row>
    <row r="61" spans="1:11" x14ac:dyDescent="0.15">
      <c r="A61" s="251">
        <v>3.5</v>
      </c>
      <c r="B61" s="486" t="s">
        <v>369</v>
      </c>
      <c r="C61" s="486"/>
      <c r="D61" s="486"/>
      <c r="E61" s="486"/>
      <c r="F61" s="258">
        <v>0.1</v>
      </c>
      <c r="G61" s="70">
        <f>K7*F61</f>
        <v>53846153.846264005</v>
      </c>
      <c r="H61" s="259">
        <v>3.0000000000000001E-3</v>
      </c>
      <c r="I61" s="8">
        <f t="shared" si="8"/>
        <v>161538.46153879201</v>
      </c>
      <c r="J61" s="477"/>
      <c r="K61" s="489"/>
    </row>
    <row r="62" spans="1:11" x14ac:dyDescent="0.15">
      <c r="A62" s="251">
        <v>3.6</v>
      </c>
      <c r="B62" s="486" t="s">
        <v>370</v>
      </c>
      <c r="C62" s="486"/>
      <c r="D62" s="486"/>
      <c r="E62" s="486"/>
      <c r="F62" s="258">
        <v>0.5</v>
      </c>
      <c r="G62" s="70">
        <f>K7*F62</f>
        <v>269230769.23132002</v>
      </c>
      <c r="H62" s="260">
        <v>1.1999999999999999E-3</v>
      </c>
      <c r="I62" s="8">
        <f t="shared" si="7"/>
        <v>323076.92307758401</v>
      </c>
      <c r="J62" s="477"/>
      <c r="K62" s="489"/>
    </row>
    <row r="63" spans="1:11" x14ac:dyDescent="0.15">
      <c r="A63" s="251">
        <v>3.7</v>
      </c>
      <c r="B63" s="486" t="s">
        <v>371</v>
      </c>
      <c r="C63" s="486"/>
      <c r="D63" s="486"/>
      <c r="E63" s="486"/>
      <c r="F63" s="258">
        <v>0.5</v>
      </c>
      <c r="G63" s="70">
        <f>K7*F63</f>
        <v>269230769.23132002</v>
      </c>
      <c r="H63" s="260">
        <v>8.0000000000000004E-4</v>
      </c>
      <c r="I63" s="8">
        <f t="shared" si="7"/>
        <v>215384.61538505604</v>
      </c>
      <c r="J63" s="477"/>
      <c r="K63" s="489"/>
    </row>
    <row r="64" spans="1:11" x14ac:dyDescent="0.15">
      <c r="A64" s="491"/>
      <c r="B64" s="491"/>
      <c r="C64" s="491"/>
      <c r="D64" s="491"/>
      <c r="E64" s="491"/>
      <c r="F64" s="491"/>
      <c r="G64" s="491"/>
      <c r="H64" s="491"/>
      <c r="I64" s="491"/>
      <c r="J64" s="491"/>
      <c r="K64" s="491"/>
    </row>
    <row r="65" spans="1:13" x14ac:dyDescent="0.15">
      <c r="A65" s="239">
        <v>1</v>
      </c>
      <c r="B65" s="436" t="s">
        <v>632</v>
      </c>
      <c r="C65" s="436"/>
      <c r="D65" s="436"/>
      <c r="E65" s="436"/>
      <c r="F65" s="53" t="s">
        <v>62</v>
      </c>
      <c r="G65" s="70">
        <v>22</v>
      </c>
      <c r="H65" s="373"/>
      <c r="I65" s="373"/>
      <c r="J65" s="374"/>
      <c r="K65" s="374">
        <f>K56+K42+K9</f>
        <v>118461538.45886478</v>
      </c>
    </row>
    <row r="66" spans="1:13" x14ac:dyDescent="0.15">
      <c r="A66" s="239">
        <v>2</v>
      </c>
      <c r="B66" s="436" t="s">
        <v>633</v>
      </c>
      <c r="C66" s="436"/>
      <c r="D66" s="436"/>
      <c r="E66" s="436"/>
      <c r="F66" s="53" t="s">
        <v>62</v>
      </c>
      <c r="G66" s="70">
        <v>5</v>
      </c>
      <c r="H66" s="373"/>
      <c r="I66" s="373"/>
      <c r="J66" s="374"/>
      <c r="K66" s="374">
        <f>'PRESUPUESTO OBRA'!G132</f>
        <v>26923076.923132002</v>
      </c>
    </row>
    <row r="67" spans="1:13" x14ac:dyDescent="0.15">
      <c r="A67" s="239">
        <v>3</v>
      </c>
      <c r="B67" s="436" t="s">
        <v>634</v>
      </c>
      <c r="C67" s="436"/>
      <c r="D67" s="436"/>
      <c r="E67" s="436"/>
      <c r="F67" s="53" t="s">
        <v>62</v>
      </c>
      <c r="G67" s="70">
        <v>3</v>
      </c>
      <c r="H67" s="373"/>
      <c r="I67" s="373"/>
      <c r="J67" s="374"/>
      <c r="K67" s="374">
        <f>'PRESUPUESTO OBRA'!G133</f>
        <v>16153846.153879201</v>
      </c>
    </row>
    <row r="68" spans="1:13" x14ac:dyDescent="0.15">
      <c r="A68" s="491"/>
      <c r="B68" s="491"/>
      <c r="C68" s="491"/>
      <c r="D68" s="491"/>
      <c r="E68" s="491"/>
      <c r="F68" s="491"/>
      <c r="G68" s="491"/>
      <c r="H68" s="491"/>
      <c r="I68" s="491"/>
      <c r="J68" s="491"/>
      <c r="K68" s="491"/>
    </row>
    <row r="69" spans="1:13" s="157" customFormat="1" ht="20.25" customHeight="1" x14ac:dyDescent="0.15">
      <c r="A69" s="262"/>
      <c r="B69" s="490" t="s">
        <v>635</v>
      </c>
      <c r="C69" s="490"/>
      <c r="D69" s="490"/>
      <c r="E69" s="490"/>
      <c r="F69" s="490"/>
      <c r="G69" s="490"/>
      <c r="H69" s="490"/>
      <c r="I69" s="490"/>
      <c r="J69" s="490"/>
      <c r="K69" s="375">
        <f>SUM(K65:K68)</f>
        <v>161538461.53587598</v>
      </c>
      <c r="M69" s="376"/>
    </row>
    <row r="70" spans="1:13" x14ac:dyDescent="0.15">
      <c r="A70" s="491"/>
      <c r="B70" s="491"/>
      <c r="C70" s="491"/>
      <c r="D70" s="491"/>
      <c r="E70" s="491"/>
      <c r="F70" s="491"/>
      <c r="G70" s="491"/>
      <c r="H70" s="491"/>
      <c r="I70" s="491"/>
      <c r="J70" s="491"/>
      <c r="K70" s="491"/>
    </row>
    <row r="71" spans="1:13" x14ac:dyDescent="0.15">
      <c r="A71" s="263"/>
      <c r="B71" s="263"/>
      <c r="C71" s="263"/>
      <c r="D71" s="263"/>
      <c r="E71" s="263"/>
      <c r="F71" s="263"/>
      <c r="G71" s="263"/>
      <c r="H71" s="263"/>
      <c r="I71" s="263"/>
      <c r="J71" s="263"/>
      <c r="K71" s="263"/>
    </row>
    <row r="72" spans="1:13" x14ac:dyDescent="0.15">
      <c r="A72" s="263"/>
      <c r="B72" s="263"/>
      <c r="C72" s="263"/>
      <c r="D72" s="263"/>
      <c r="E72" s="263"/>
      <c r="F72" s="263"/>
      <c r="G72" s="263"/>
      <c r="H72" s="263"/>
      <c r="I72" s="263"/>
      <c r="J72" s="263"/>
      <c r="K72" s="263"/>
    </row>
    <row r="73" spans="1:13" x14ac:dyDescent="0.15">
      <c r="A73" s="263"/>
      <c r="B73" s="263"/>
      <c r="C73" s="263"/>
      <c r="D73" s="263"/>
      <c r="E73" s="263"/>
      <c r="F73" s="263"/>
      <c r="G73" s="263"/>
      <c r="H73" s="263"/>
      <c r="I73" s="263"/>
      <c r="J73" s="263"/>
      <c r="K73" s="377"/>
    </row>
    <row r="74" spans="1:13" x14ac:dyDescent="0.15">
      <c r="A74" s="263"/>
      <c r="B74" s="263"/>
      <c r="C74" s="263"/>
      <c r="D74" s="263"/>
      <c r="E74" s="263"/>
      <c r="F74" s="263"/>
      <c r="G74" s="263"/>
      <c r="H74" s="263"/>
      <c r="I74" s="263"/>
      <c r="J74" s="263"/>
      <c r="K74" s="377"/>
      <c r="M74" s="13"/>
    </row>
    <row r="75" spans="1:13" x14ac:dyDescent="0.15">
      <c r="G75" s="71"/>
      <c r="H75" s="266"/>
      <c r="I75" s="266"/>
      <c r="J75" s="71"/>
      <c r="K75" s="71"/>
      <c r="M75"/>
    </row>
    <row r="76" spans="1:13" ht="14" x14ac:dyDescent="0.15">
      <c r="B76" s="101" t="s">
        <v>534</v>
      </c>
      <c r="C76" s="101"/>
      <c r="D76" s="101"/>
      <c r="E76" s="101"/>
      <c r="G76" s="71"/>
      <c r="H76" s="266"/>
      <c r="I76" s="266"/>
      <c r="J76" s="71"/>
      <c r="K76" s="71"/>
      <c r="M76"/>
    </row>
    <row r="77" spans="1:13" ht="14" x14ac:dyDescent="0.15">
      <c r="A77" s="82"/>
      <c r="B77" s="83" t="s">
        <v>448</v>
      </c>
      <c r="C77" s="83"/>
      <c r="D77" s="83"/>
      <c r="E77" s="83"/>
      <c r="F77" s="83"/>
      <c r="G77" s="84"/>
      <c r="H77" s="83"/>
      <c r="I77" s="83"/>
      <c r="J77" s="83"/>
      <c r="K77" s="234"/>
      <c r="L77" s="83"/>
      <c r="M77"/>
    </row>
    <row r="78" spans="1:13" ht="14" x14ac:dyDescent="0.15">
      <c r="A78" s="82"/>
      <c r="B78" s="83"/>
      <c r="C78" s="83"/>
      <c r="D78" s="83"/>
      <c r="E78" s="83"/>
      <c r="F78" s="83"/>
      <c r="G78" s="84"/>
      <c r="H78" s="83"/>
      <c r="I78" s="83"/>
      <c r="J78" s="83"/>
      <c r="K78" s="83"/>
      <c r="L78" s="83"/>
      <c r="M78"/>
    </row>
    <row r="79" spans="1:13" x14ac:dyDescent="0.15">
      <c r="G79" s="71"/>
      <c r="M79"/>
    </row>
  </sheetData>
  <mergeCells count="83">
    <mergeCell ref="B69:J69"/>
    <mergeCell ref="A70:K70"/>
    <mergeCell ref="B63:E63"/>
    <mergeCell ref="A64:K64"/>
    <mergeCell ref="B65:E65"/>
    <mergeCell ref="B66:E66"/>
    <mergeCell ref="B67:E67"/>
    <mergeCell ref="A68:K68"/>
    <mergeCell ref="B55:E55"/>
    <mergeCell ref="B56:J56"/>
    <mergeCell ref="B57:E57"/>
    <mergeCell ref="J57:J63"/>
    <mergeCell ref="K57:K63"/>
    <mergeCell ref="B58:E58"/>
    <mergeCell ref="B59:E59"/>
    <mergeCell ref="B60:E60"/>
    <mergeCell ref="B61:E61"/>
    <mergeCell ref="B62:E62"/>
    <mergeCell ref="A54:K54"/>
    <mergeCell ref="A41:I41"/>
    <mergeCell ref="B42:J42"/>
    <mergeCell ref="B43:E43"/>
    <mergeCell ref="J43:J53"/>
    <mergeCell ref="K43:K53"/>
    <mergeCell ref="B44:E44"/>
    <mergeCell ref="B45:E45"/>
    <mergeCell ref="B46:E46"/>
    <mergeCell ref="B47:E47"/>
    <mergeCell ref="B48:E48"/>
    <mergeCell ref="B49:E49"/>
    <mergeCell ref="B50:E50"/>
    <mergeCell ref="B51:E51"/>
    <mergeCell ref="B52:E52"/>
    <mergeCell ref="B53:E53"/>
    <mergeCell ref="B40:H40"/>
    <mergeCell ref="I26:I27"/>
    <mergeCell ref="A30:I30"/>
    <mergeCell ref="B31:H31"/>
    <mergeCell ref="A33:I33"/>
    <mergeCell ref="B34:I34"/>
    <mergeCell ref="A36:A37"/>
    <mergeCell ref="B36:B37"/>
    <mergeCell ref="C36:C37"/>
    <mergeCell ref="D36:D37"/>
    <mergeCell ref="E36:E37"/>
    <mergeCell ref="F36:F37"/>
    <mergeCell ref="G36:G37"/>
    <mergeCell ref="H36:H37"/>
    <mergeCell ref="I36:I37"/>
    <mergeCell ref="A39:I39"/>
    <mergeCell ref="F26:F27"/>
    <mergeCell ref="G26:G27"/>
    <mergeCell ref="H26:H27"/>
    <mergeCell ref="D12:D13"/>
    <mergeCell ref="E12:E13"/>
    <mergeCell ref="F12:F13"/>
    <mergeCell ref="G12:G13"/>
    <mergeCell ref="A26:A27"/>
    <mergeCell ref="B26:B27"/>
    <mergeCell ref="C26:C27"/>
    <mergeCell ref="D26:D27"/>
    <mergeCell ref="E26:E27"/>
    <mergeCell ref="A6:K6"/>
    <mergeCell ref="I12:I13"/>
    <mergeCell ref="A21:I21"/>
    <mergeCell ref="A23:I23"/>
    <mergeCell ref="B24:I24"/>
    <mergeCell ref="A1:K2"/>
    <mergeCell ref="A3:K3"/>
    <mergeCell ref="A4:K4"/>
    <mergeCell ref="B22:H22"/>
    <mergeCell ref="A8:K8"/>
    <mergeCell ref="B9:J9"/>
    <mergeCell ref="B10:I10"/>
    <mergeCell ref="J10:J41"/>
    <mergeCell ref="K10:K41"/>
    <mergeCell ref="A12:A13"/>
    <mergeCell ref="B12:B13"/>
    <mergeCell ref="C12:C13"/>
    <mergeCell ref="H12:H13"/>
    <mergeCell ref="A32:I32"/>
    <mergeCell ref="A7:J7"/>
    <mergeCell ref="A5:K5"/>
  </mergeCells>
  <pageMargins left="0.31496062992125984" right="0.31496062992125984" top="0.74803149606299213" bottom="0.74803149606299213" header="0.31496062992125984" footer="0.31496062992125984"/>
  <pageSetup scale="75" orientation="landscape" r:id="rId1"/>
  <rowBreaks count="1" manualBreakCount="1">
    <brk id="32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66FF33"/>
  </sheetPr>
  <dimension ref="A1:F38"/>
  <sheetViews>
    <sheetView view="pageBreakPreview" topLeftCell="A13" zoomScale="130" zoomScaleNormal="100" zoomScaleSheetLayoutView="130" workbookViewId="0">
      <selection activeCell="H19" sqref="H19"/>
    </sheetView>
  </sheetViews>
  <sheetFormatPr baseColWidth="10" defaultRowHeight="13" x14ac:dyDescent="0.15"/>
  <cols>
    <col min="1" max="1" width="12.5" customWidth="1"/>
    <col min="2" max="2" width="43.33203125" customWidth="1"/>
    <col min="3" max="3" width="9.1640625" bestFit="1" customWidth="1"/>
    <col min="4" max="4" width="16.5" customWidth="1"/>
    <col min="243" max="243" width="41.1640625" customWidth="1"/>
    <col min="244" max="244" width="25.1640625" customWidth="1"/>
    <col min="499" max="499" width="41.1640625" customWidth="1"/>
    <col min="500" max="500" width="25.1640625" customWidth="1"/>
    <col min="755" max="755" width="41.1640625" customWidth="1"/>
    <col min="756" max="756" width="25.1640625" customWidth="1"/>
    <col min="1011" max="1011" width="41.1640625" customWidth="1"/>
    <col min="1012" max="1012" width="25.1640625" customWidth="1"/>
    <col min="1267" max="1267" width="41.1640625" customWidth="1"/>
    <col min="1268" max="1268" width="25.1640625" customWidth="1"/>
    <col min="1523" max="1523" width="41.1640625" customWidth="1"/>
    <col min="1524" max="1524" width="25.1640625" customWidth="1"/>
    <col min="1779" max="1779" width="41.1640625" customWidth="1"/>
    <col min="1780" max="1780" width="25.1640625" customWidth="1"/>
    <col min="2035" max="2035" width="41.1640625" customWidth="1"/>
    <col min="2036" max="2036" width="25.1640625" customWidth="1"/>
    <col min="2291" max="2291" width="41.1640625" customWidth="1"/>
    <col min="2292" max="2292" width="25.1640625" customWidth="1"/>
    <col min="2547" max="2547" width="41.1640625" customWidth="1"/>
    <col min="2548" max="2548" width="25.1640625" customWidth="1"/>
    <col min="2803" max="2803" width="41.1640625" customWidth="1"/>
    <col min="2804" max="2804" width="25.1640625" customWidth="1"/>
    <col min="3059" max="3059" width="41.1640625" customWidth="1"/>
    <col min="3060" max="3060" width="25.1640625" customWidth="1"/>
    <col min="3315" max="3315" width="41.1640625" customWidth="1"/>
    <col min="3316" max="3316" width="25.1640625" customWidth="1"/>
    <col min="3571" max="3571" width="41.1640625" customWidth="1"/>
    <col min="3572" max="3572" width="25.1640625" customWidth="1"/>
    <col min="3827" max="3827" width="41.1640625" customWidth="1"/>
    <col min="3828" max="3828" width="25.1640625" customWidth="1"/>
    <col min="4083" max="4083" width="41.1640625" customWidth="1"/>
    <col min="4084" max="4084" width="25.1640625" customWidth="1"/>
    <col min="4339" max="4339" width="41.1640625" customWidth="1"/>
    <col min="4340" max="4340" width="25.1640625" customWidth="1"/>
    <col min="4595" max="4595" width="41.1640625" customWidth="1"/>
    <col min="4596" max="4596" width="25.1640625" customWidth="1"/>
    <col min="4851" max="4851" width="41.1640625" customWidth="1"/>
    <col min="4852" max="4852" width="25.1640625" customWidth="1"/>
    <col min="5107" max="5107" width="41.1640625" customWidth="1"/>
    <col min="5108" max="5108" width="25.1640625" customWidth="1"/>
    <col min="5363" max="5363" width="41.1640625" customWidth="1"/>
    <col min="5364" max="5364" width="25.1640625" customWidth="1"/>
    <col min="5619" max="5619" width="41.1640625" customWidth="1"/>
    <col min="5620" max="5620" width="25.1640625" customWidth="1"/>
    <col min="5875" max="5875" width="41.1640625" customWidth="1"/>
    <col min="5876" max="5876" width="25.1640625" customWidth="1"/>
    <col min="6131" max="6131" width="41.1640625" customWidth="1"/>
    <col min="6132" max="6132" width="25.1640625" customWidth="1"/>
    <col min="6387" max="6387" width="41.1640625" customWidth="1"/>
    <col min="6388" max="6388" width="25.1640625" customWidth="1"/>
    <col min="6643" max="6643" width="41.1640625" customWidth="1"/>
    <col min="6644" max="6644" width="25.1640625" customWidth="1"/>
    <col min="6899" max="6899" width="41.1640625" customWidth="1"/>
    <col min="6900" max="6900" width="25.1640625" customWidth="1"/>
    <col min="7155" max="7155" width="41.1640625" customWidth="1"/>
    <col min="7156" max="7156" width="25.1640625" customWidth="1"/>
    <col min="7411" max="7411" width="41.1640625" customWidth="1"/>
    <col min="7412" max="7412" width="25.1640625" customWidth="1"/>
    <col min="7667" max="7667" width="41.1640625" customWidth="1"/>
    <col min="7668" max="7668" width="25.1640625" customWidth="1"/>
    <col min="7923" max="7923" width="41.1640625" customWidth="1"/>
    <col min="7924" max="7924" width="25.1640625" customWidth="1"/>
    <col min="8179" max="8179" width="41.1640625" customWidth="1"/>
    <col min="8180" max="8180" width="25.1640625" customWidth="1"/>
    <col min="8435" max="8435" width="41.1640625" customWidth="1"/>
    <col min="8436" max="8436" width="25.1640625" customWidth="1"/>
    <col min="8691" max="8691" width="41.1640625" customWidth="1"/>
    <col min="8692" max="8692" width="25.1640625" customWidth="1"/>
    <col min="8947" max="8947" width="41.1640625" customWidth="1"/>
    <col min="8948" max="8948" width="25.1640625" customWidth="1"/>
    <col min="9203" max="9203" width="41.1640625" customWidth="1"/>
    <col min="9204" max="9204" width="25.1640625" customWidth="1"/>
    <col min="9459" max="9459" width="41.1640625" customWidth="1"/>
    <col min="9460" max="9460" width="25.1640625" customWidth="1"/>
    <col min="9715" max="9715" width="41.1640625" customWidth="1"/>
    <col min="9716" max="9716" width="25.1640625" customWidth="1"/>
    <col min="9971" max="9971" width="41.1640625" customWidth="1"/>
    <col min="9972" max="9972" width="25.1640625" customWidth="1"/>
    <col min="10227" max="10227" width="41.1640625" customWidth="1"/>
    <col min="10228" max="10228" width="25.1640625" customWidth="1"/>
    <col min="10483" max="10483" width="41.1640625" customWidth="1"/>
    <col min="10484" max="10484" width="25.1640625" customWidth="1"/>
    <col min="10739" max="10739" width="41.1640625" customWidth="1"/>
    <col min="10740" max="10740" width="25.1640625" customWidth="1"/>
    <col min="10995" max="10995" width="41.1640625" customWidth="1"/>
    <col min="10996" max="10996" width="25.1640625" customWidth="1"/>
    <col min="11251" max="11251" width="41.1640625" customWidth="1"/>
    <col min="11252" max="11252" width="25.1640625" customWidth="1"/>
    <col min="11507" max="11507" width="41.1640625" customWidth="1"/>
    <col min="11508" max="11508" width="25.1640625" customWidth="1"/>
    <col min="11763" max="11763" width="41.1640625" customWidth="1"/>
    <col min="11764" max="11764" width="25.1640625" customWidth="1"/>
    <col min="12019" max="12019" width="41.1640625" customWidth="1"/>
    <col min="12020" max="12020" width="25.1640625" customWidth="1"/>
    <col min="12275" max="12275" width="41.1640625" customWidth="1"/>
    <col min="12276" max="12276" width="25.1640625" customWidth="1"/>
    <col min="12531" max="12531" width="41.1640625" customWidth="1"/>
    <col min="12532" max="12532" width="25.1640625" customWidth="1"/>
    <col min="12787" max="12787" width="41.1640625" customWidth="1"/>
    <col min="12788" max="12788" width="25.1640625" customWidth="1"/>
    <col min="13043" max="13043" width="41.1640625" customWidth="1"/>
    <col min="13044" max="13044" width="25.1640625" customWidth="1"/>
    <col min="13299" max="13299" width="41.1640625" customWidth="1"/>
    <col min="13300" max="13300" width="25.1640625" customWidth="1"/>
    <col min="13555" max="13555" width="41.1640625" customWidth="1"/>
    <col min="13556" max="13556" width="25.1640625" customWidth="1"/>
    <col min="13811" max="13811" width="41.1640625" customWidth="1"/>
    <col min="13812" max="13812" width="25.1640625" customWidth="1"/>
    <col min="14067" max="14067" width="41.1640625" customWidth="1"/>
    <col min="14068" max="14068" width="25.1640625" customWidth="1"/>
    <col min="14323" max="14323" width="41.1640625" customWidth="1"/>
    <col min="14324" max="14324" width="25.1640625" customWidth="1"/>
    <col min="14579" max="14579" width="41.1640625" customWidth="1"/>
    <col min="14580" max="14580" width="25.1640625" customWidth="1"/>
    <col min="14835" max="14835" width="41.1640625" customWidth="1"/>
    <col min="14836" max="14836" width="25.1640625" customWidth="1"/>
    <col min="15091" max="15091" width="41.1640625" customWidth="1"/>
    <col min="15092" max="15092" width="25.1640625" customWidth="1"/>
    <col min="15347" max="15347" width="41.1640625" customWidth="1"/>
    <col min="15348" max="15348" width="25.1640625" customWidth="1"/>
    <col min="15603" max="15603" width="41.1640625" customWidth="1"/>
    <col min="15604" max="15604" width="25.1640625" customWidth="1"/>
    <col min="15859" max="15859" width="41.1640625" customWidth="1"/>
    <col min="15860" max="15860" width="25.1640625" customWidth="1"/>
    <col min="16115" max="16115" width="41.1640625" customWidth="1"/>
    <col min="16116" max="16116" width="25.1640625" customWidth="1"/>
  </cols>
  <sheetData>
    <row r="1" spans="1:6" ht="18" x14ac:dyDescent="0.15">
      <c r="A1" s="493"/>
      <c r="B1" s="493"/>
      <c r="C1" s="493"/>
      <c r="D1" s="493"/>
      <c r="E1" s="378"/>
      <c r="F1" s="379"/>
    </row>
    <row r="2" spans="1:6" ht="48" customHeight="1" x14ac:dyDescent="0.15">
      <c r="A2" s="493"/>
      <c r="B2" s="493"/>
      <c r="C2" s="493"/>
      <c r="D2" s="493"/>
      <c r="E2" s="378"/>
      <c r="F2" s="92"/>
    </row>
    <row r="3" spans="1:6" ht="33.75" customHeight="1" x14ac:dyDescent="0.15">
      <c r="A3" s="494" t="s">
        <v>890</v>
      </c>
      <c r="B3" s="494"/>
      <c r="C3" s="494"/>
      <c r="D3" s="494"/>
      <c r="E3" s="378"/>
      <c r="F3" s="196"/>
    </row>
    <row r="4" spans="1:6" x14ac:dyDescent="0.15">
      <c r="A4" s="492"/>
      <c r="B4" s="492"/>
      <c r="C4" s="492"/>
      <c r="D4" s="492"/>
    </row>
    <row r="5" spans="1:6" ht="16.5" customHeight="1" x14ac:dyDescent="0.15">
      <c r="A5" s="495" t="s">
        <v>636</v>
      </c>
      <c r="B5" s="495"/>
      <c r="C5" s="495"/>
      <c r="D5" s="495"/>
      <c r="E5" s="85"/>
    </row>
    <row r="6" spans="1:6" x14ac:dyDescent="0.15">
      <c r="A6" s="492"/>
      <c r="B6" s="492"/>
      <c r="C6" s="492"/>
      <c r="D6" s="492"/>
    </row>
    <row r="7" spans="1:6" ht="15" x14ac:dyDescent="0.2">
      <c r="A7" s="496" t="s">
        <v>637</v>
      </c>
      <c r="B7" s="496"/>
      <c r="C7" s="496"/>
      <c r="D7" s="496"/>
    </row>
    <row r="8" spans="1:6" x14ac:dyDescent="0.15">
      <c r="A8" s="380"/>
      <c r="B8" s="380"/>
      <c r="C8" s="380"/>
      <c r="D8" s="380"/>
    </row>
    <row r="9" spans="1:6" x14ac:dyDescent="0.15">
      <c r="A9" s="424" t="s">
        <v>407</v>
      </c>
      <c r="B9" s="424" t="s">
        <v>406</v>
      </c>
      <c r="C9" s="424" t="s">
        <v>405</v>
      </c>
      <c r="D9" s="424" t="s">
        <v>404</v>
      </c>
    </row>
    <row r="10" spans="1:6" x14ac:dyDescent="0.15">
      <c r="A10" s="424" t="s">
        <v>185</v>
      </c>
      <c r="B10" s="424" t="s">
        <v>403</v>
      </c>
      <c r="C10" s="424"/>
      <c r="D10" s="424">
        <v>1</v>
      </c>
    </row>
    <row r="11" spans="1:6" x14ac:dyDescent="0.15">
      <c r="A11" s="424"/>
      <c r="B11" s="381"/>
      <c r="C11" s="381"/>
      <c r="D11" s="382"/>
    </row>
    <row r="12" spans="1:6" x14ac:dyDescent="0.15">
      <c r="A12" s="424" t="s">
        <v>246</v>
      </c>
      <c r="B12" s="420" t="s">
        <v>402</v>
      </c>
      <c r="C12" s="381"/>
      <c r="D12" s="419"/>
    </row>
    <row r="13" spans="1:6" x14ac:dyDescent="0.15">
      <c r="A13" s="273"/>
      <c r="B13" s="275" t="s">
        <v>401</v>
      </c>
      <c r="C13" s="274" t="s">
        <v>380</v>
      </c>
      <c r="D13" s="270">
        <v>0.11</v>
      </c>
    </row>
    <row r="14" spans="1:6" x14ac:dyDescent="0.15">
      <c r="A14" s="273"/>
      <c r="B14" s="275" t="s">
        <v>400</v>
      </c>
      <c r="C14" s="274" t="s">
        <v>380</v>
      </c>
      <c r="D14" s="270">
        <v>0.01</v>
      </c>
    </row>
    <row r="15" spans="1:6" x14ac:dyDescent="0.15">
      <c r="A15" s="273"/>
      <c r="B15" s="275" t="s">
        <v>399</v>
      </c>
      <c r="C15" s="274" t="s">
        <v>380</v>
      </c>
      <c r="D15" s="270">
        <v>8.3299999999999999E-2</v>
      </c>
    </row>
    <row r="16" spans="1:6" x14ac:dyDescent="0.15">
      <c r="A16" s="273"/>
      <c r="B16" s="275" t="s">
        <v>398</v>
      </c>
      <c r="C16" s="274" t="s">
        <v>380</v>
      </c>
      <c r="D16" s="270">
        <v>4.1700000000000001E-2</v>
      </c>
    </row>
    <row r="17" spans="1:4" x14ac:dyDescent="0.15">
      <c r="A17" s="273"/>
      <c r="B17" s="275" t="s">
        <v>638</v>
      </c>
      <c r="C17" s="274" t="s">
        <v>380</v>
      </c>
      <c r="D17" s="270">
        <v>8.5000000000000006E-2</v>
      </c>
    </row>
    <row r="18" spans="1:4" x14ac:dyDescent="0.15">
      <c r="A18" s="273"/>
      <c r="B18" s="275" t="s">
        <v>396</v>
      </c>
      <c r="C18" s="274" t="s">
        <v>380</v>
      </c>
      <c r="D18" s="270">
        <v>0.12</v>
      </c>
    </row>
    <row r="19" spans="1:4" x14ac:dyDescent="0.15">
      <c r="A19" s="273"/>
      <c r="B19" s="275" t="s">
        <v>395</v>
      </c>
      <c r="C19" s="274" t="s">
        <v>380</v>
      </c>
      <c r="D19" s="270">
        <v>6.9599999999999995E-2</v>
      </c>
    </row>
    <row r="20" spans="1:4" x14ac:dyDescent="0.15">
      <c r="A20" s="273"/>
      <c r="B20" s="275" t="s">
        <v>394</v>
      </c>
      <c r="C20" s="274" t="s">
        <v>380</v>
      </c>
      <c r="D20" s="270">
        <v>0.02</v>
      </c>
    </row>
    <row r="21" spans="1:4" x14ac:dyDescent="0.15">
      <c r="A21" s="273"/>
      <c r="B21" s="275" t="s">
        <v>393</v>
      </c>
      <c r="C21" s="274" t="s">
        <v>380</v>
      </c>
      <c r="D21" s="270">
        <v>0.03</v>
      </c>
    </row>
    <row r="22" spans="1:4" x14ac:dyDescent="0.15">
      <c r="A22" s="273"/>
      <c r="B22" s="272" t="s">
        <v>392</v>
      </c>
      <c r="C22" s="274" t="s">
        <v>380</v>
      </c>
      <c r="D22" s="270">
        <v>0.03</v>
      </c>
    </row>
    <row r="23" spans="1:4" x14ac:dyDescent="0.15">
      <c r="A23" s="273"/>
      <c r="B23" s="272" t="s">
        <v>391</v>
      </c>
      <c r="C23" s="274" t="s">
        <v>380</v>
      </c>
      <c r="D23" s="270">
        <v>5.0000000000000001E-3</v>
      </c>
    </row>
    <row r="24" spans="1:4" ht="14" x14ac:dyDescent="0.15">
      <c r="A24" s="273"/>
      <c r="B24" s="271" t="s">
        <v>639</v>
      </c>
      <c r="C24" s="274" t="s">
        <v>380</v>
      </c>
      <c r="D24" s="270">
        <v>0.03</v>
      </c>
    </row>
    <row r="25" spans="1:4" ht="14" x14ac:dyDescent="0.15">
      <c r="A25" s="273"/>
      <c r="B25" s="271" t="s">
        <v>640</v>
      </c>
      <c r="C25" s="274" t="s">
        <v>380</v>
      </c>
      <c r="D25" s="270">
        <v>0.03</v>
      </c>
    </row>
    <row r="26" spans="1:4" ht="14" x14ac:dyDescent="0.15">
      <c r="A26" s="273"/>
      <c r="B26" s="271" t="s">
        <v>641</v>
      </c>
      <c r="C26" s="274" t="s">
        <v>380</v>
      </c>
      <c r="D26" s="270">
        <v>0.01</v>
      </c>
    </row>
    <row r="27" spans="1:4" x14ac:dyDescent="0.15">
      <c r="A27" s="273"/>
      <c r="B27" s="420" t="s">
        <v>385</v>
      </c>
      <c r="C27" s="420"/>
      <c r="D27" s="269">
        <f>SUM(D13:D26)</f>
        <v>0.6746000000000002</v>
      </c>
    </row>
    <row r="28" spans="1:4" x14ac:dyDescent="0.15">
      <c r="A28" s="273"/>
      <c r="B28" s="420"/>
      <c r="C28" s="420"/>
      <c r="D28" s="383"/>
    </row>
    <row r="29" spans="1:4" x14ac:dyDescent="0.15">
      <c r="A29" s="424" t="s">
        <v>267</v>
      </c>
      <c r="B29" s="420" t="s">
        <v>642</v>
      </c>
      <c r="C29" s="381"/>
      <c r="D29" s="419"/>
    </row>
    <row r="30" spans="1:4" x14ac:dyDescent="0.15">
      <c r="A30" s="273"/>
      <c r="B30" s="275" t="s">
        <v>643</v>
      </c>
      <c r="C30" s="274" t="s">
        <v>380</v>
      </c>
      <c r="D30" s="270">
        <v>4.4600000000000001E-2</v>
      </c>
    </row>
    <row r="31" spans="1:4" x14ac:dyDescent="0.15">
      <c r="A31" s="273"/>
      <c r="B31" s="275" t="s">
        <v>386</v>
      </c>
      <c r="C31" s="274" t="s">
        <v>380</v>
      </c>
      <c r="D31" s="270">
        <v>3.5700000000000003E-2</v>
      </c>
    </row>
    <row r="32" spans="1:4" x14ac:dyDescent="0.15">
      <c r="A32" s="273"/>
      <c r="B32" s="420"/>
      <c r="C32" s="420"/>
      <c r="D32" s="383"/>
    </row>
    <row r="33" spans="1:4" x14ac:dyDescent="0.15">
      <c r="A33" s="421" t="s">
        <v>384</v>
      </c>
      <c r="B33" s="420" t="s">
        <v>644</v>
      </c>
      <c r="C33" s="420"/>
      <c r="D33" s="269">
        <f>+D10+D27+D30+D31</f>
        <v>1.7549000000000003</v>
      </c>
    </row>
    <row r="34" spans="1:4" x14ac:dyDescent="0.15">
      <c r="A34" s="382"/>
      <c r="B34" s="384"/>
      <c r="C34" s="384"/>
      <c r="D34" s="422"/>
    </row>
    <row r="35" spans="1:4" x14ac:dyDescent="0.15">
      <c r="A35" s="497"/>
      <c r="B35" s="498" t="s">
        <v>375</v>
      </c>
      <c r="C35" s="499"/>
      <c r="D35" s="500">
        <f>D33/100</f>
        <v>1.7549000000000002E-2</v>
      </c>
    </row>
    <row r="36" spans="1:4" x14ac:dyDescent="0.15">
      <c r="A36" s="497"/>
      <c r="B36" s="498"/>
      <c r="C36" s="499"/>
      <c r="D36" s="500"/>
    </row>
    <row r="37" spans="1:4" x14ac:dyDescent="0.15">
      <c r="A37" s="497"/>
      <c r="B37" s="498"/>
      <c r="C37" s="499"/>
      <c r="D37" s="500"/>
    </row>
    <row r="38" spans="1:4" x14ac:dyDescent="0.15">
      <c r="A38" s="492"/>
      <c r="B38" s="492"/>
      <c r="C38" s="492"/>
      <c r="D38" s="492"/>
    </row>
  </sheetData>
  <mergeCells count="11">
    <mergeCell ref="A38:D38"/>
    <mergeCell ref="A6:D6"/>
    <mergeCell ref="A1:D2"/>
    <mergeCell ref="A3:D3"/>
    <mergeCell ref="A4:D4"/>
    <mergeCell ref="A5:D5"/>
    <mergeCell ref="A7:D7"/>
    <mergeCell ref="A35:A37"/>
    <mergeCell ref="B35:B37"/>
    <mergeCell ref="C35:C37"/>
    <mergeCell ref="D35:D37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M61"/>
  <sheetViews>
    <sheetView view="pageBreakPreview" topLeftCell="A10" zoomScale="115" zoomScaleNormal="130" zoomScaleSheetLayoutView="115" workbookViewId="0">
      <selection activeCell="K48" sqref="K48"/>
    </sheetView>
  </sheetViews>
  <sheetFormatPr baseColWidth="10" defaultRowHeight="13" x14ac:dyDescent="0.15"/>
  <cols>
    <col min="1" max="1" width="6.1640625" style="264" customWidth="1"/>
    <col min="2" max="2" width="36" customWidth="1"/>
    <col min="3" max="4" width="13.1640625" customWidth="1"/>
    <col min="5" max="5" width="10.5" customWidth="1"/>
    <col min="6" max="6" width="7.5" customWidth="1"/>
    <col min="7" max="7" width="14.1640625" style="14" customWidth="1"/>
    <col min="8" max="8" width="15.5" style="9" customWidth="1"/>
    <col min="9" max="9" width="14.6640625" style="9" customWidth="1"/>
    <col min="10" max="10" width="11.83203125" customWidth="1"/>
    <col min="11" max="11" width="18.5" customWidth="1"/>
    <col min="13" max="13" width="36.5" customWidth="1"/>
  </cols>
  <sheetData>
    <row r="1" spans="1:11" ht="21" customHeight="1" x14ac:dyDescent="0.15">
      <c r="A1" s="473"/>
      <c r="B1" s="473"/>
      <c r="C1" s="473"/>
      <c r="D1" s="473"/>
      <c r="E1" s="473"/>
      <c r="F1" s="473"/>
      <c r="G1" s="473"/>
      <c r="H1" s="473"/>
      <c r="I1" s="473"/>
      <c r="J1" s="473"/>
      <c r="K1" s="473"/>
    </row>
    <row r="2" spans="1:11" ht="85.5" customHeight="1" x14ac:dyDescent="0.15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</row>
    <row r="3" spans="1:11" ht="14.25" customHeight="1" x14ac:dyDescent="0.15">
      <c r="A3" s="447" t="s">
        <v>447</v>
      </c>
      <c r="B3" s="447"/>
      <c r="C3" s="447"/>
      <c r="D3" s="447"/>
      <c r="E3" s="447"/>
      <c r="F3" s="447"/>
      <c r="G3" s="447"/>
      <c r="H3" s="447"/>
      <c r="I3" s="447"/>
      <c r="J3" s="447"/>
      <c r="K3" s="447"/>
    </row>
    <row r="4" spans="1:11" ht="30.75" customHeight="1" x14ac:dyDescent="0.15">
      <c r="A4" s="450" t="s">
        <v>890</v>
      </c>
      <c r="B4" s="450"/>
      <c r="C4" s="450"/>
      <c r="D4" s="450"/>
      <c r="E4" s="450"/>
      <c r="F4" s="450"/>
      <c r="G4" s="450"/>
      <c r="H4" s="450"/>
      <c r="I4" s="450"/>
      <c r="J4" s="450"/>
      <c r="K4" s="450"/>
    </row>
    <row r="5" spans="1:11" ht="20.25" customHeight="1" x14ac:dyDescent="0.15">
      <c r="A5" s="482" t="s">
        <v>350</v>
      </c>
      <c r="B5" s="483"/>
      <c r="C5" s="483"/>
      <c r="D5" s="483"/>
      <c r="E5" s="483"/>
      <c r="F5" s="483"/>
      <c r="G5" s="483"/>
      <c r="H5" s="483"/>
      <c r="I5" s="483"/>
      <c r="J5" s="483"/>
      <c r="K5" s="483"/>
    </row>
    <row r="6" spans="1:11" x14ac:dyDescent="0.15">
      <c r="A6" s="475"/>
      <c r="B6" s="475"/>
      <c r="C6" s="475"/>
      <c r="D6" s="475"/>
      <c r="E6" s="475"/>
      <c r="F6" s="475"/>
      <c r="G6" s="475"/>
      <c r="H6" s="475"/>
      <c r="I6" s="475"/>
      <c r="J6" s="475"/>
      <c r="K6" s="475"/>
    </row>
    <row r="7" spans="1:11" s="115" customFormat="1" ht="19.5" customHeight="1" x14ac:dyDescent="0.15">
      <c r="A7" s="481" t="s">
        <v>486</v>
      </c>
      <c r="B7" s="481"/>
      <c r="C7" s="481"/>
      <c r="D7" s="481"/>
      <c r="E7" s="481"/>
      <c r="F7" s="481"/>
      <c r="G7" s="481"/>
      <c r="H7" s="481"/>
      <c r="I7" s="481"/>
      <c r="J7" s="481"/>
      <c r="K7" s="237">
        <f>'PRESUPUESTO OBRA'!G130</f>
        <v>538461538.46264005</v>
      </c>
    </row>
    <row r="8" spans="1:11" s="115" customFormat="1" ht="19.5" customHeight="1" x14ac:dyDescent="0.15">
      <c r="A8" s="481" t="s">
        <v>1071</v>
      </c>
      <c r="B8" s="481"/>
      <c r="C8" s="481"/>
      <c r="D8" s="481"/>
      <c r="E8" s="481"/>
      <c r="F8" s="481"/>
      <c r="G8" s="481"/>
      <c r="H8" s="481"/>
      <c r="I8" s="481"/>
      <c r="J8" s="481"/>
      <c r="K8" s="238">
        <f>'PRESUPUESTO OBRA'!G136</f>
        <v>35000000.000071608</v>
      </c>
    </row>
    <row r="9" spans="1:11" x14ac:dyDescent="0.15">
      <c r="A9" s="475"/>
      <c r="B9" s="475"/>
      <c r="C9" s="475"/>
      <c r="D9" s="475"/>
      <c r="E9" s="475"/>
      <c r="F9" s="475"/>
      <c r="G9" s="475"/>
      <c r="H9" s="475"/>
      <c r="I9" s="475"/>
      <c r="J9" s="475"/>
      <c r="K9" s="475"/>
    </row>
    <row r="10" spans="1:11" x14ac:dyDescent="0.15">
      <c r="A10" s="239">
        <v>1</v>
      </c>
      <c r="B10" s="434" t="s">
        <v>351</v>
      </c>
      <c r="C10" s="434"/>
      <c r="D10" s="434"/>
      <c r="E10" s="434"/>
      <c r="F10" s="434"/>
      <c r="G10" s="434"/>
      <c r="H10" s="434"/>
      <c r="I10" s="434"/>
      <c r="J10" s="434"/>
      <c r="K10" s="240">
        <f>I18+I26</f>
        <v>24372739.25</v>
      </c>
    </row>
    <row r="11" spans="1:11" s="233" customFormat="1" x14ac:dyDescent="0.15">
      <c r="A11" s="241" t="s">
        <v>185</v>
      </c>
      <c r="B11" s="501" t="s">
        <v>352</v>
      </c>
      <c r="C11" s="501"/>
      <c r="D11" s="501"/>
      <c r="E11" s="501"/>
      <c r="F11" s="501"/>
      <c r="G11" s="501"/>
      <c r="H11" s="501"/>
      <c r="I11" s="501"/>
      <c r="J11" s="242" t="s">
        <v>62</v>
      </c>
      <c r="K11" s="243"/>
    </row>
    <row r="12" spans="1:11" s="233" customFormat="1" ht="12" x14ac:dyDescent="0.15">
      <c r="A12" s="244" t="s">
        <v>336</v>
      </c>
      <c r="B12" s="244" t="s">
        <v>337</v>
      </c>
      <c r="C12" s="244" t="s">
        <v>185</v>
      </c>
      <c r="D12" s="244" t="s">
        <v>246</v>
      </c>
      <c r="E12" s="244" t="s">
        <v>267</v>
      </c>
      <c r="F12" s="244" t="s">
        <v>268</v>
      </c>
      <c r="G12" s="244" t="s">
        <v>338</v>
      </c>
      <c r="H12" s="244" t="s">
        <v>339</v>
      </c>
      <c r="I12" s="244" t="s">
        <v>340</v>
      </c>
      <c r="J12" s="502">
        <f>K10/K7</f>
        <v>4.5263658607050256E-2</v>
      </c>
      <c r="K12" s="478"/>
    </row>
    <row r="13" spans="1:11" s="233" customFormat="1" ht="12" x14ac:dyDescent="0.15">
      <c r="A13" s="479"/>
      <c r="B13" s="480" t="s">
        <v>335</v>
      </c>
      <c r="C13" s="480" t="s">
        <v>341</v>
      </c>
      <c r="D13" s="480" t="s">
        <v>342</v>
      </c>
      <c r="E13" s="480" t="s">
        <v>343</v>
      </c>
      <c r="F13" s="480" t="s">
        <v>344</v>
      </c>
      <c r="G13" s="480" t="s">
        <v>345</v>
      </c>
      <c r="H13" s="480" t="s">
        <v>346</v>
      </c>
      <c r="I13" s="480" t="s">
        <v>347</v>
      </c>
      <c r="J13" s="502"/>
      <c r="K13" s="478"/>
    </row>
    <row r="14" spans="1:11" s="233" customFormat="1" ht="24" customHeight="1" x14ac:dyDescent="0.15">
      <c r="A14" s="479"/>
      <c r="B14" s="480"/>
      <c r="C14" s="480"/>
      <c r="D14" s="480"/>
      <c r="E14" s="480"/>
      <c r="F14" s="480"/>
      <c r="G14" s="480"/>
      <c r="H14" s="480"/>
      <c r="I14" s="480"/>
      <c r="J14" s="502"/>
      <c r="K14" s="478"/>
    </row>
    <row r="15" spans="1:11" s="233" customFormat="1" x14ac:dyDescent="0.15">
      <c r="A15" s="417">
        <v>1</v>
      </c>
      <c r="B15" s="245" t="s">
        <v>353</v>
      </c>
      <c r="C15" s="246">
        <f>1160000*2.5</f>
        <v>2900000</v>
      </c>
      <c r="D15" s="246">
        <f t="shared" ref="D15:D16" si="0">C15*A15</f>
        <v>2900000</v>
      </c>
      <c r="E15" s="417">
        <v>25</v>
      </c>
      <c r="F15" s="247">
        <v>1.9</v>
      </c>
      <c r="G15" s="246">
        <f>+D15*E15*F15/100</f>
        <v>1377500</v>
      </c>
      <c r="H15" s="417">
        <v>4</v>
      </c>
      <c r="I15" s="246">
        <f t="shared" ref="I15:I16" si="1">+G15*H15</f>
        <v>5510000</v>
      </c>
      <c r="J15" s="502"/>
      <c r="K15" s="478"/>
    </row>
    <row r="16" spans="1:11" s="233" customFormat="1" x14ac:dyDescent="0.15">
      <c r="A16" s="417">
        <v>1</v>
      </c>
      <c r="B16" s="245" t="s">
        <v>354</v>
      </c>
      <c r="C16" s="246">
        <f>1160000*1.8</f>
        <v>2088000</v>
      </c>
      <c r="D16" s="246">
        <f t="shared" si="0"/>
        <v>2088000</v>
      </c>
      <c r="E16" s="417">
        <v>100</v>
      </c>
      <c r="F16" s="247">
        <v>1.9</v>
      </c>
      <c r="G16" s="246">
        <f t="shared" ref="G16" si="2">+D16*E16*F16/100</f>
        <v>3967200</v>
      </c>
      <c r="H16" s="417">
        <v>4</v>
      </c>
      <c r="I16" s="246">
        <f t="shared" si="1"/>
        <v>15868800</v>
      </c>
      <c r="J16" s="502"/>
      <c r="K16" s="478"/>
    </row>
    <row r="17" spans="1:13" s="233" customFormat="1" ht="12" x14ac:dyDescent="0.15">
      <c r="A17" s="484"/>
      <c r="B17" s="484"/>
      <c r="C17" s="484"/>
      <c r="D17" s="484"/>
      <c r="E17" s="484"/>
      <c r="F17" s="484"/>
      <c r="G17" s="484"/>
      <c r="H17" s="484"/>
      <c r="I17" s="484"/>
      <c r="J17" s="502"/>
      <c r="K17" s="478"/>
    </row>
    <row r="18" spans="1:13" s="233" customFormat="1" ht="12" x14ac:dyDescent="0.15">
      <c r="A18" s="417"/>
      <c r="B18" s="474" t="s">
        <v>355</v>
      </c>
      <c r="C18" s="474"/>
      <c r="D18" s="474"/>
      <c r="E18" s="474"/>
      <c r="F18" s="474"/>
      <c r="G18" s="474"/>
      <c r="H18" s="474"/>
      <c r="I18" s="248">
        <f>SUM(I15:I16)</f>
        <v>21378800</v>
      </c>
      <c r="J18" s="502"/>
      <c r="K18" s="478"/>
    </row>
    <row r="19" spans="1:13" s="233" customFormat="1" ht="12" x14ac:dyDescent="0.15">
      <c r="A19" s="484"/>
      <c r="B19" s="484"/>
      <c r="C19" s="484"/>
      <c r="D19" s="484"/>
      <c r="E19" s="484"/>
      <c r="F19" s="484"/>
      <c r="G19" s="484"/>
      <c r="H19" s="484"/>
      <c r="I19" s="484"/>
      <c r="J19" s="502"/>
      <c r="K19" s="478"/>
    </row>
    <row r="20" spans="1:13" s="233" customFormat="1" ht="12" x14ac:dyDescent="0.15">
      <c r="A20" s="241" t="s">
        <v>246</v>
      </c>
      <c r="B20" s="501" t="s">
        <v>356</v>
      </c>
      <c r="C20" s="501"/>
      <c r="D20" s="501"/>
      <c r="E20" s="501"/>
      <c r="F20" s="501"/>
      <c r="G20" s="501"/>
      <c r="H20" s="501"/>
      <c r="I20" s="501"/>
      <c r="J20" s="502"/>
      <c r="K20" s="478"/>
    </row>
    <row r="21" spans="1:13" s="233" customFormat="1" ht="12" x14ac:dyDescent="0.15">
      <c r="A21" s="417"/>
      <c r="B21" s="244" t="s">
        <v>337</v>
      </c>
      <c r="C21" s="244" t="s">
        <v>185</v>
      </c>
      <c r="D21" s="244" t="s">
        <v>246</v>
      </c>
      <c r="E21" s="244" t="s">
        <v>267</v>
      </c>
      <c r="F21" s="244" t="s">
        <v>268</v>
      </c>
      <c r="G21" s="244" t="s">
        <v>338</v>
      </c>
      <c r="H21" s="244" t="s">
        <v>339</v>
      </c>
      <c r="I21" s="244" t="s">
        <v>340</v>
      </c>
      <c r="J21" s="502"/>
      <c r="K21" s="478"/>
    </row>
    <row r="22" spans="1:13" s="233" customFormat="1" ht="12" x14ac:dyDescent="0.15">
      <c r="A22" s="479"/>
      <c r="B22" s="480" t="s">
        <v>335</v>
      </c>
      <c r="C22" s="480" t="s">
        <v>341</v>
      </c>
      <c r="D22" s="480" t="s">
        <v>342</v>
      </c>
      <c r="E22" s="480" t="s">
        <v>343</v>
      </c>
      <c r="F22" s="480" t="s">
        <v>344</v>
      </c>
      <c r="G22" s="480" t="s">
        <v>345</v>
      </c>
      <c r="H22" s="480" t="s">
        <v>346</v>
      </c>
      <c r="I22" s="480" t="s">
        <v>347</v>
      </c>
      <c r="J22" s="502"/>
      <c r="K22" s="478"/>
    </row>
    <row r="23" spans="1:13" s="233" customFormat="1" ht="24" customHeight="1" x14ac:dyDescent="0.15">
      <c r="A23" s="479"/>
      <c r="B23" s="480"/>
      <c r="C23" s="480"/>
      <c r="D23" s="480"/>
      <c r="E23" s="480"/>
      <c r="F23" s="480"/>
      <c r="G23" s="480"/>
      <c r="H23" s="480"/>
      <c r="I23" s="480"/>
      <c r="J23" s="502"/>
      <c r="K23" s="478"/>
    </row>
    <row r="24" spans="1:13" s="233" customFormat="1" ht="12" x14ac:dyDescent="0.15">
      <c r="A24" s="417">
        <v>1</v>
      </c>
      <c r="B24" s="249" t="s">
        <v>357</v>
      </c>
      <c r="C24" s="246">
        <f>1050505*1.5</f>
        <v>1575757.5</v>
      </c>
      <c r="D24" s="246">
        <f>C24*A24</f>
        <v>1575757.5</v>
      </c>
      <c r="E24" s="417">
        <v>25</v>
      </c>
      <c r="F24" s="247">
        <v>1.9</v>
      </c>
      <c r="G24" s="246">
        <f>+D24*E24*F24/100</f>
        <v>748484.8125</v>
      </c>
      <c r="H24" s="417">
        <v>4</v>
      </c>
      <c r="I24" s="246">
        <f>+G24*H24</f>
        <v>2993939.25</v>
      </c>
      <c r="J24" s="502"/>
      <c r="K24" s="478"/>
    </row>
    <row r="25" spans="1:13" s="233" customFormat="1" ht="12" x14ac:dyDescent="0.15">
      <c r="A25" s="484"/>
      <c r="B25" s="484"/>
      <c r="C25" s="484"/>
      <c r="D25" s="484"/>
      <c r="E25" s="484"/>
      <c r="F25" s="484"/>
      <c r="G25" s="484"/>
      <c r="H25" s="484"/>
      <c r="I25" s="484"/>
      <c r="J25" s="502"/>
      <c r="K25" s="478"/>
    </row>
    <row r="26" spans="1:13" s="233" customFormat="1" ht="12" x14ac:dyDescent="0.15">
      <c r="A26" s="417"/>
      <c r="B26" s="474" t="s">
        <v>358</v>
      </c>
      <c r="C26" s="474"/>
      <c r="D26" s="474"/>
      <c r="E26" s="474"/>
      <c r="F26" s="474"/>
      <c r="G26" s="474"/>
      <c r="H26" s="474"/>
      <c r="I26" s="248">
        <f>SUM(I24:I24)</f>
        <v>2993939.25</v>
      </c>
      <c r="J26" s="502"/>
      <c r="K26" s="478"/>
    </row>
    <row r="27" spans="1:13" s="233" customFormat="1" ht="14.25" customHeight="1" x14ac:dyDescent="0.15">
      <c r="A27" s="478"/>
      <c r="B27" s="478"/>
      <c r="C27" s="478"/>
      <c r="D27" s="478"/>
      <c r="E27" s="478"/>
      <c r="F27" s="478"/>
      <c r="G27" s="478"/>
      <c r="H27" s="478"/>
      <c r="I27" s="478"/>
      <c r="J27" s="502"/>
      <c r="K27" s="478"/>
    </row>
    <row r="28" spans="1:13" x14ac:dyDescent="0.15">
      <c r="A28" s="475"/>
      <c r="B28" s="475"/>
      <c r="C28" s="475"/>
      <c r="D28" s="475"/>
      <c r="E28" s="475"/>
      <c r="F28" s="475"/>
      <c r="G28" s="475"/>
      <c r="H28" s="475"/>
      <c r="I28" s="475"/>
      <c r="J28" s="475"/>
      <c r="K28" s="475"/>
    </row>
    <row r="29" spans="1:13" x14ac:dyDescent="0.15">
      <c r="A29" s="491"/>
      <c r="B29" s="491"/>
      <c r="C29" s="491"/>
      <c r="D29" s="491"/>
      <c r="E29" s="491"/>
      <c r="F29" s="491"/>
      <c r="G29" s="491"/>
      <c r="H29" s="491"/>
      <c r="I29" s="491"/>
      <c r="J29" s="491"/>
      <c r="K29" s="491"/>
    </row>
    <row r="30" spans="1:13" x14ac:dyDescent="0.15">
      <c r="A30" s="239">
        <v>2</v>
      </c>
      <c r="B30" s="434" t="s">
        <v>359</v>
      </c>
      <c r="C30" s="434"/>
      <c r="D30" s="434"/>
      <c r="E30" s="434"/>
      <c r="F30" s="434"/>
      <c r="G30" s="434"/>
      <c r="H30" s="434"/>
      <c r="I30" s="434"/>
      <c r="J30" s="434"/>
      <c r="K30" s="240">
        <f>SUM(I31:I34)</f>
        <v>3753475.46</v>
      </c>
    </row>
    <row r="31" spans="1:13" ht="13.5" customHeight="1" x14ac:dyDescent="0.15">
      <c r="A31" s="239">
        <v>2.1</v>
      </c>
      <c r="B31" s="503" t="s">
        <v>487</v>
      </c>
      <c r="C31" s="503"/>
      <c r="D31" s="503"/>
      <c r="E31" s="503"/>
      <c r="F31" s="53" t="s">
        <v>333</v>
      </c>
      <c r="G31" s="70">
        <v>4</v>
      </c>
      <c r="H31" s="250">
        <v>70868.865000000005</v>
      </c>
      <c r="I31" s="8">
        <f t="shared" ref="I31:I43" si="3">H31*G31</f>
        <v>283475.46000000002</v>
      </c>
      <c r="J31" s="502">
        <f>K30/K7</f>
        <v>6.9707401399857396E-3</v>
      </c>
      <c r="K31" s="487"/>
      <c r="M31" s="105"/>
    </row>
    <row r="32" spans="1:13" ht="13.5" customHeight="1" x14ac:dyDescent="0.15">
      <c r="A32" s="239">
        <v>2.2000000000000002</v>
      </c>
      <c r="B32" s="503" t="s">
        <v>469</v>
      </c>
      <c r="C32" s="503"/>
      <c r="D32" s="503"/>
      <c r="E32" s="503"/>
      <c r="F32" s="53" t="s">
        <v>333</v>
      </c>
      <c r="G32" s="70">
        <v>4</v>
      </c>
      <c r="H32" s="250">
        <v>400000</v>
      </c>
      <c r="I32" s="8">
        <f t="shared" ref="I32" si="4">H32*G32</f>
        <v>1600000</v>
      </c>
      <c r="J32" s="502"/>
      <c r="K32" s="487"/>
      <c r="M32" s="105"/>
    </row>
    <row r="33" spans="1:11" ht="13.5" customHeight="1" x14ac:dyDescent="0.15">
      <c r="A33" s="239">
        <v>2.2999999999999998</v>
      </c>
      <c r="B33" s="486" t="s">
        <v>360</v>
      </c>
      <c r="C33" s="486"/>
      <c r="D33" s="486"/>
      <c r="E33" s="486"/>
      <c r="F33" s="53" t="s">
        <v>316</v>
      </c>
      <c r="G33" s="70">
        <v>10</v>
      </c>
      <c r="H33" s="250">
        <v>158500</v>
      </c>
      <c r="I33" s="8">
        <f t="shared" si="3"/>
        <v>1585000</v>
      </c>
      <c r="J33" s="502"/>
      <c r="K33" s="487"/>
    </row>
    <row r="34" spans="1:11" ht="13.5" customHeight="1" x14ac:dyDescent="0.15">
      <c r="A34" s="251">
        <v>2.4</v>
      </c>
      <c r="B34" s="486" t="s">
        <v>361</v>
      </c>
      <c r="C34" s="486"/>
      <c r="D34" s="486"/>
      <c r="E34" s="486"/>
      <c r="F34" s="53" t="s">
        <v>316</v>
      </c>
      <c r="G34" s="70">
        <v>10</v>
      </c>
      <c r="H34" s="250">
        <v>28500</v>
      </c>
      <c r="I34" s="8">
        <f t="shared" si="3"/>
        <v>285000</v>
      </c>
      <c r="J34" s="502"/>
      <c r="K34" s="487"/>
    </row>
    <row r="35" spans="1:11" x14ac:dyDescent="0.15">
      <c r="A35" s="475"/>
      <c r="B35" s="475"/>
      <c r="C35" s="475"/>
      <c r="D35" s="475"/>
      <c r="E35" s="475"/>
      <c r="F35" s="475"/>
      <c r="G35" s="475"/>
      <c r="H35" s="475"/>
      <c r="I35" s="475"/>
      <c r="J35" s="475"/>
      <c r="K35" s="475"/>
    </row>
    <row r="36" spans="1:11" ht="39" x14ac:dyDescent="0.15">
      <c r="A36" s="252" t="s">
        <v>0</v>
      </c>
      <c r="B36" s="488" t="s">
        <v>1</v>
      </c>
      <c r="C36" s="488"/>
      <c r="D36" s="488"/>
      <c r="E36" s="488"/>
      <c r="F36" s="253" t="s">
        <v>62</v>
      </c>
      <c r="G36" s="254" t="s">
        <v>362</v>
      </c>
      <c r="H36" s="255" t="s">
        <v>363</v>
      </c>
      <c r="I36" s="418" t="s">
        <v>364</v>
      </c>
      <c r="J36" s="256" t="s">
        <v>62</v>
      </c>
      <c r="K36" s="257" t="s">
        <v>4</v>
      </c>
    </row>
    <row r="37" spans="1:11" x14ac:dyDescent="0.15">
      <c r="A37" s="239">
        <v>3</v>
      </c>
      <c r="B37" s="434" t="s">
        <v>365</v>
      </c>
      <c r="C37" s="434"/>
      <c r="D37" s="434"/>
      <c r="E37" s="434"/>
      <c r="F37" s="434"/>
      <c r="G37" s="434"/>
      <c r="H37" s="434"/>
      <c r="I37" s="434"/>
      <c r="J37" s="434"/>
      <c r="K37" s="240">
        <f>SUM(I38:I43)</f>
        <v>1285550.0000026305</v>
      </c>
    </row>
    <row r="38" spans="1:11" x14ac:dyDescent="0.15">
      <c r="A38" s="251">
        <v>3.1</v>
      </c>
      <c r="B38" s="486" t="s">
        <v>366</v>
      </c>
      <c r="C38" s="486"/>
      <c r="D38" s="486"/>
      <c r="E38" s="486"/>
      <c r="F38" s="258">
        <v>1</v>
      </c>
      <c r="G38" s="70">
        <f>K8*F38</f>
        <v>35000000.000071608</v>
      </c>
      <c r="H38" s="259">
        <v>3.5000000000000003E-2</v>
      </c>
      <c r="I38" s="8">
        <f>H38*G38</f>
        <v>1225000.0000025064</v>
      </c>
      <c r="J38" s="502">
        <f>K37/K7</f>
        <v>2.387450000000001E-3</v>
      </c>
      <c r="K38" s="504"/>
    </row>
    <row r="39" spans="1:11" x14ac:dyDescent="0.15">
      <c r="A39" s="251">
        <v>3.2</v>
      </c>
      <c r="B39" s="486" t="s">
        <v>367</v>
      </c>
      <c r="C39" s="486"/>
      <c r="D39" s="486"/>
      <c r="E39" s="486"/>
      <c r="F39" s="258">
        <v>0.4</v>
      </c>
      <c r="G39" s="70">
        <f>K8*F39</f>
        <v>14000000.000028644</v>
      </c>
      <c r="H39" s="259">
        <v>8.9999999999999998E-4</v>
      </c>
      <c r="I39" s="8">
        <f>H39*G39</f>
        <v>12600.000000025779</v>
      </c>
      <c r="J39" s="502"/>
      <c r="K39" s="504"/>
    </row>
    <row r="40" spans="1:11" x14ac:dyDescent="0.15">
      <c r="A40" s="251">
        <v>3.3</v>
      </c>
      <c r="B40" s="486" t="s">
        <v>368</v>
      </c>
      <c r="C40" s="486"/>
      <c r="D40" s="486"/>
      <c r="E40" s="486"/>
      <c r="F40" s="258">
        <v>0.1</v>
      </c>
      <c r="G40" s="70">
        <f>K8*F40</f>
        <v>3500000.0000071609</v>
      </c>
      <c r="H40" s="259">
        <v>6.9999999999999999E-4</v>
      </c>
      <c r="I40" s="8">
        <f t="shared" ref="I40:I41" si="5">H40*G40</f>
        <v>2450.0000000050127</v>
      </c>
      <c r="J40" s="502"/>
      <c r="K40" s="504"/>
    </row>
    <row r="41" spans="1:11" x14ac:dyDescent="0.15">
      <c r="A41" s="251">
        <v>3.4</v>
      </c>
      <c r="B41" s="486" t="s">
        <v>369</v>
      </c>
      <c r="C41" s="486"/>
      <c r="D41" s="486"/>
      <c r="E41" s="486"/>
      <c r="F41" s="258">
        <v>0.1</v>
      </c>
      <c r="G41" s="70">
        <f>K8*F41</f>
        <v>3500000.0000071609</v>
      </c>
      <c r="H41" s="259">
        <v>3.0000000000000001E-3</v>
      </c>
      <c r="I41" s="8">
        <f t="shared" si="5"/>
        <v>10500.000000021482</v>
      </c>
      <c r="J41" s="502"/>
      <c r="K41" s="504"/>
    </row>
    <row r="42" spans="1:11" x14ac:dyDescent="0.15">
      <c r="A42" s="251">
        <v>3.5</v>
      </c>
      <c r="B42" s="486" t="s">
        <v>370</v>
      </c>
      <c r="C42" s="486"/>
      <c r="D42" s="486"/>
      <c r="E42" s="486"/>
      <c r="F42" s="258">
        <v>0.5</v>
      </c>
      <c r="G42" s="70">
        <f>K8*F42</f>
        <v>17500000.000035804</v>
      </c>
      <c r="H42" s="260">
        <v>1.1999999999999999E-3</v>
      </c>
      <c r="I42" s="8">
        <f t="shared" si="3"/>
        <v>21000.000000042961</v>
      </c>
      <c r="J42" s="502"/>
      <c r="K42" s="504"/>
    </row>
    <row r="43" spans="1:11" x14ac:dyDescent="0.15">
      <c r="A43" s="251">
        <v>3.6</v>
      </c>
      <c r="B43" s="486" t="s">
        <v>371</v>
      </c>
      <c r="C43" s="486"/>
      <c r="D43" s="486"/>
      <c r="E43" s="486"/>
      <c r="F43" s="258">
        <v>0.5</v>
      </c>
      <c r="G43" s="70">
        <f>K8*F43</f>
        <v>17500000.000035804</v>
      </c>
      <c r="H43" s="260">
        <v>8.0000000000000004E-4</v>
      </c>
      <c r="I43" s="8">
        <f t="shared" si="3"/>
        <v>14000.000000028644</v>
      </c>
      <c r="J43" s="502"/>
      <c r="K43" s="504"/>
    </row>
    <row r="44" spans="1:11" x14ac:dyDescent="0.15">
      <c r="A44" s="491"/>
      <c r="B44" s="491"/>
      <c r="C44" s="491"/>
      <c r="D44" s="491"/>
      <c r="E44" s="491"/>
      <c r="F44" s="491"/>
      <c r="G44" s="491"/>
      <c r="H44" s="491"/>
      <c r="I44" s="491"/>
      <c r="J44" s="491"/>
      <c r="K44" s="491"/>
    </row>
    <row r="45" spans="1:11" x14ac:dyDescent="0.15">
      <c r="A45" s="239">
        <v>1</v>
      </c>
      <c r="B45" s="436" t="s">
        <v>372</v>
      </c>
      <c r="C45" s="436"/>
      <c r="D45" s="436"/>
      <c r="E45" s="436"/>
      <c r="F45" s="436"/>
      <c r="G45" s="436"/>
      <c r="H45" s="436"/>
      <c r="I45" s="436"/>
      <c r="J45" s="261">
        <f>J38+J31+J12</f>
        <v>5.4621848747035996E-2</v>
      </c>
      <c r="K45" s="240">
        <f>K37+K30+K10</f>
        <v>29411764.710002631</v>
      </c>
    </row>
    <row r="46" spans="1:11" x14ac:dyDescent="0.15">
      <c r="A46" s="239">
        <v>2</v>
      </c>
      <c r="B46" s="436" t="s">
        <v>373</v>
      </c>
      <c r="C46" s="436"/>
      <c r="D46" s="436"/>
      <c r="E46" s="436"/>
      <c r="F46" s="436"/>
      <c r="G46" s="436"/>
      <c r="H46" s="436"/>
      <c r="I46" s="436"/>
      <c r="J46" s="261">
        <f>K46/K7</f>
        <v>1.0378151261936841E-2</v>
      </c>
      <c r="K46" s="240">
        <f>K45*0.19</f>
        <v>5588235.2949005002</v>
      </c>
    </row>
    <row r="47" spans="1:11" x14ac:dyDescent="0.15">
      <c r="A47" s="491"/>
      <c r="B47" s="491"/>
      <c r="C47" s="491"/>
      <c r="D47" s="491"/>
      <c r="E47" s="491"/>
      <c r="F47" s="491"/>
      <c r="G47" s="491"/>
      <c r="H47" s="491"/>
      <c r="I47" s="491"/>
      <c r="J47" s="491"/>
      <c r="K47" s="491"/>
    </row>
    <row r="48" spans="1:11" s="157" customFormat="1" ht="20.25" customHeight="1" x14ac:dyDescent="0.15">
      <c r="A48" s="262"/>
      <c r="B48" s="505" t="s">
        <v>374</v>
      </c>
      <c r="C48" s="505"/>
      <c r="D48" s="505"/>
      <c r="E48" s="505"/>
      <c r="F48" s="505"/>
      <c r="G48" s="505"/>
      <c r="H48" s="505"/>
      <c r="I48" s="505"/>
      <c r="J48" s="505"/>
      <c r="K48" s="267">
        <f>K45+K46</f>
        <v>35000000.00490313</v>
      </c>
    </row>
    <row r="49" spans="1:11" x14ac:dyDescent="0.15">
      <c r="A49" s="491"/>
      <c r="B49" s="491"/>
      <c r="C49" s="491"/>
      <c r="D49" s="491"/>
      <c r="E49" s="491"/>
      <c r="F49" s="491"/>
      <c r="G49" s="491"/>
      <c r="H49" s="491"/>
      <c r="I49" s="491"/>
      <c r="J49" s="491"/>
      <c r="K49" s="491"/>
    </row>
    <row r="50" spans="1:11" x14ac:dyDescent="0.15">
      <c r="A50" s="263"/>
      <c r="B50" s="263"/>
      <c r="C50" s="263"/>
      <c r="D50" s="263"/>
      <c r="E50" s="263"/>
      <c r="F50" s="263"/>
      <c r="G50" s="263"/>
      <c r="H50" s="263"/>
      <c r="I50" s="263"/>
      <c r="J50" s="263"/>
      <c r="K50" s="263"/>
    </row>
    <row r="51" spans="1:11" x14ac:dyDescent="0.15">
      <c r="A51" s="263"/>
      <c r="B51" s="263"/>
      <c r="C51" s="263"/>
      <c r="D51" s="263"/>
      <c r="E51" s="263"/>
      <c r="F51" s="263"/>
      <c r="G51" s="263"/>
      <c r="H51" s="263"/>
      <c r="I51" s="263"/>
      <c r="J51" s="263"/>
      <c r="K51" s="263"/>
    </row>
    <row r="52" spans="1:11" x14ac:dyDescent="0.15">
      <c r="A52" s="263"/>
      <c r="B52" s="263"/>
      <c r="C52" s="263"/>
      <c r="D52" s="263"/>
      <c r="E52" s="263"/>
      <c r="F52" s="263"/>
      <c r="G52" s="263"/>
      <c r="H52" s="263"/>
      <c r="I52" s="263"/>
      <c r="J52" s="263"/>
      <c r="K52" s="263"/>
    </row>
    <row r="53" spans="1:11" x14ac:dyDescent="0.15">
      <c r="A53" s="263"/>
      <c r="B53" s="263"/>
      <c r="C53" s="263"/>
      <c r="D53" s="263"/>
      <c r="E53" s="263"/>
      <c r="F53" s="263"/>
      <c r="G53" s="263"/>
      <c r="H53" s="263"/>
      <c r="I53" s="263"/>
      <c r="J53" s="263"/>
      <c r="K53" s="263"/>
    </row>
    <row r="54" spans="1:11" x14ac:dyDescent="0.15">
      <c r="A54" s="263"/>
      <c r="B54" s="263"/>
      <c r="C54" s="263"/>
      <c r="D54" s="263"/>
      <c r="E54" s="263"/>
      <c r="F54" s="263"/>
      <c r="G54" s="263"/>
      <c r="H54" s="263"/>
      <c r="I54" s="263"/>
      <c r="J54" s="263"/>
      <c r="K54" s="263"/>
    </row>
    <row r="55" spans="1:11" x14ac:dyDescent="0.15">
      <c r="A55" s="263"/>
      <c r="B55" s="263"/>
      <c r="C55" s="263"/>
      <c r="D55" s="263"/>
      <c r="E55" s="263"/>
      <c r="F55" s="263"/>
      <c r="G55" s="263"/>
      <c r="H55" s="263"/>
      <c r="I55" s="263"/>
      <c r="J55" s="263"/>
      <c r="K55" s="263"/>
    </row>
    <row r="56" spans="1:11" x14ac:dyDescent="0.15">
      <c r="G56" s="71"/>
      <c r="H56" s="266"/>
      <c r="I56" s="266"/>
      <c r="J56" s="265"/>
      <c r="K56" s="71"/>
    </row>
    <row r="57" spans="1:11" x14ac:dyDescent="0.15">
      <c r="G57" s="71"/>
      <c r="H57" s="266"/>
      <c r="I57" s="266"/>
      <c r="J57" s="265"/>
      <c r="K57" s="71"/>
    </row>
    <row r="58" spans="1:11" ht="14" x14ac:dyDescent="0.15">
      <c r="B58" s="101" t="s">
        <v>534</v>
      </c>
      <c r="C58" s="101"/>
      <c r="D58" s="101"/>
      <c r="E58" s="101"/>
      <c r="G58" s="71"/>
      <c r="H58" s="266"/>
      <c r="I58" s="266"/>
      <c r="J58" s="71"/>
      <c r="K58" s="71"/>
    </row>
    <row r="59" spans="1:11" ht="14" x14ac:dyDescent="0.15">
      <c r="A59" s="82"/>
      <c r="B59" s="83" t="s">
        <v>448</v>
      </c>
      <c r="C59" s="83"/>
      <c r="D59" s="83"/>
      <c r="E59" s="83"/>
      <c r="F59" s="83"/>
      <c r="G59" s="84"/>
      <c r="H59" s="83"/>
      <c r="I59" s="83"/>
      <c r="J59" s="83"/>
      <c r="K59" s="83"/>
    </row>
    <row r="60" spans="1:11" ht="14" x14ac:dyDescent="0.15">
      <c r="A60" s="82"/>
      <c r="B60" s="83"/>
      <c r="C60" s="83"/>
      <c r="D60" s="83"/>
      <c r="E60" s="83"/>
      <c r="F60" s="83"/>
      <c r="G60" s="84"/>
      <c r="H60" s="83"/>
      <c r="I60" s="83"/>
      <c r="J60" s="83"/>
      <c r="K60" s="83"/>
    </row>
    <row r="61" spans="1:11" x14ac:dyDescent="0.15">
      <c r="G61" s="71"/>
    </row>
  </sheetData>
  <mergeCells count="63">
    <mergeCell ref="B48:J48"/>
    <mergeCell ref="A49:K49"/>
    <mergeCell ref="B42:E42"/>
    <mergeCell ref="B43:E43"/>
    <mergeCell ref="A44:K44"/>
    <mergeCell ref="B45:I45"/>
    <mergeCell ref="B46:I46"/>
    <mergeCell ref="A47:K47"/>
    <mergeCell ref="A35:K35"/>
    <mergeCell ref="A28:K28"/>
    <mergeCell ref="B36:E36"/>
    <mergeCell ref="B37:J37"/>
    <mergeCell ref="B38:E38"/>
    <mergeCell ref="J38:J43"/>
    <mergeCell ref="K38:K43"/>
    <mergeCell ref="B39:E39"/>
    <mergeCell ref="B40:E40"/>
    <mergeCell ref="B41:E41"/>
    <mergeCell ref="B30:J30"/>
    <mergeCell ref="B31:E31"/>
    <mergeCell ref="J31:J34"/>
    <mergeCell ref="A29:K29"/>
    <mergeCell ref="K31:K34"/>
    <mergeCell ref="B33:E33"/>
    <mergeCell ref="B34:E34"/>
    <mergeCell ref="B32:E32"/>
    <mergeCell ref="A27:I27"/>
    <mergeCell ref="A17:I17"/>
    <mergeCell ref="B18:H18"/>
    <mergeCell ref="A19:I19"/>
    <mergeCell ref="B20:I20"/>
    <mergeCell ref="A22:A23"/>
    <mergeCell ref="B22:B23"/>
    <mergeCell ref="C22:C23"/>
    <mergeCell ref="D22:D23"/>
    <mergeCell ref="E22:E23"/>
    <mergeCell ref="F22:F23"/>
    <mergeCell ref="G22:G23"/>
    <mergeCell ref="H22:H23"/>
    <mergeCell ref="I22:I23"/>
    <mergeCell ref="A25:I25"/>
    <mergeCell ref="B26:H26"/>
    <mergeCell ref="A1:K2"/>
    <mergeCell ref="A3:K3"/>
    <mergeCell ref="A4:K4"/>
    <mergeCell ref="A6:K6"/>
    <mergeCell ref="A5:K5"/>
    <mergeCell ref="I13:I14"/>
    <mergeCell ref="A7:J7"/>
    <mergeCell ref="A8:J8"/>
    <mergeCell ref="A9:K9"/>
    <mergeCell ref="B10:J10"/>
    <mergeCell ref="B11:I11"/>
    <mergeCell ref="J12:J27"/>
    <mergeCell ref="K12:K27"/>
    <mergeCell ref="A13:A14"/>
    <mergeCell ref="B13:B14"/>
    <mergeCell ref="C13:C14"/>
    <mergeCell ref="D13:D14"/>
    <mergeCell ref="E13:E14"/>
    <mergeCell ref="F13:F14"/>
    <mergeCell ref="G13:G14"/>
    <mergeCell ref="H13:H14"/>
  </mergeCells>
  <pageMargins left="0.51181102362204722" right="0.31496062992125984" top="0.35433070866141736" bottom="0.35433070866141736" header="0.31496062992125984" footer="0.31496062992125984"/>
  <pageSetup scale="80" orientation="landscape" r:id="rId1"/>
  <rowBreaks count="1" manualBreakCount="1">
    <brk id="28" max="16383" man="1"/>
  </rowBreaks>
  <ignoredErrors>
    <ignoredError sqref="G38:I43 J38" evalError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F42"/>
  <sheetViews>
    <sheetView view="pageBreakPreview" topLeftCell="A23" zoomScale="115" zoomScaleNormal="100" zoomScaleSheetLayoutView="115" workbookViewId="0">
      <selection activeCell="F54" sqref="F54"/>
    </sheetView>
  </sheetViews>
  <sheetFormatPr baseColWidth="10" defaultRowHeight="13" x14ac:dyDescent="0.15"/>
  <cols>
    <col min="1" max="1" width="12.5" customWidth="1"/>
    <col min="2" max="2" width="41.1640625" customWidth="1"/>
    <col min="3" max="3" width="9.1640625" bestFit="1" customWidth="1"/>
    <col min="4" max="4" width="16.5" customWidth="1"/>
    <col min="243" max="243" width="41.1640625" customWidth="1"/>
    <col min="244" max="244" width="25.1640625" customWidth="1"/>
    <col min="499" max="499" width="41.1640625" customWidth="1"/>
    <col min="500" max="500" width="25.1640625" customWidth="1"/>
    <col min="755" max="755" width="41.1640625" customWidth="1"/>
    <col min="756" max="756" width="25.1640625" customWidth="1"/>
    <col min="1011" max="1011" width="41.1640625" customWidth="1"/>
    <col min="1012" max="1012" width="25.1640625" customWidth="1"/>
    <col min="1267" max="1267" width="41.1640625" customWidth="1"/>
    <col min="1268" max="1268" width="25.1640625" customWidth="1"/>
    <col min="1523" max="1523" width="41.1640625" customWidth="1"/>
    <col min="1524" max="1524" width="25.1640625" customWidth="1"/>
    <col min="1779" max="1779" width="41.1640625" customWidth="1"/>
    <col min="1780" max="1780" width="25.1640625" customWidth="1"/>
    <col min="2035" max="2035" width="41.1640625" customWidth="1"/>
    <col min="2036" max="2036" width="25.1640625" customWidth="1"/>
    <col min="2291" max="2291" width="41.1640625" customWidth="1"/>
    <col min="2292" max="2292" width="25.1640625" customWidth="1"/>
    <col min="2547" max="2547" width="41.1640625" customWidth="1"/>
    <col min="2548" max="2548" width="25.1640625" customWidth="1"/>
    <col min="2803" max="2803" width="41.1640625" customWidth="1"/>
    <col min="2804" max="2804" width="25.1640625" customWidth="1"/>
    <col min="3059" max="3059" width="41.1640625" customWidth="1"/>
    <col min="3060" max="3060" width="25.1640625" customWidth="1"/>
    <col min="3315" max="3315" width="41.1640625" customWidth="1"/>
    <col min="3316" max="3316" width="25.1640625" customWidth="1"/>
    <col min="3571" max="3571" width="41.1640625" customWidth="1"/>
    <col min="3572" max="3572" width="25.1640625" customWidth="1"/>
    <col min="3827" max="3827" width="41.1640625" customWidth="1"/>
    <col min="3828" max="3828" width="25.1640625" customWidth="1"/>
    <col min="4083" max="4083" width="41.1640625" customWidth="1"/>
    <col min="4084" max="4084" width="25.1640625" customWidth="1"/>
    <col min="4339" max="4339" width="41.1640625" customWidth="1"/>
    <col min="4340" max="4340" width="25.1640625" customWidth="1"/>
    <col min="4595" max="4595" width="41.1640625" customWidth="1"/>
    <col min="4596" max="4596" width="25.1640625" customWidth="1"/>
    <col min="4851" max="4851" width="41.1640625" customWidth="1"/>
    <col min="4852" max="4852" width="25.1640625" customWidth="1"/>
    <col min="5107" max="5107" width="41.1640625" customWidth="1"/>
    <col min="5108" max="5108" width="25.1640625" customWidth="1"/>
    <col min="5363" max="5363" width="41.1640625" customWidth="1"/>
    <col min="5364" max="5364" width="25.1640625" customWidth="1"/>
    <col min="5619" max="5619" width="41.1640625" customWidth="1"/>
    <col min="5620" max="5620" width="25.1640625" customWidth="1"/>
    <col min="5875" max="5875" width="41.1640625" customWidth="1"/>
    <col min="5876" max="5876" width="25.1640625" customWidth="1"/>
    <col min="6131" max="6131" width="41.1640625" customWidth="1"/>
    <col min="6132" max="6132" width="25.1640625" customWidth="1"/>
    <col min="6387" max="6387" width="41.1640625" customWidth="1"/>
    <col min="6388" max="6388" width="25.1640625" customWidth="1"/>
    <col min="6643" max="6643" width="41.1640625" customWidth="1"/>
    <col min="6644" max="6644" width="25.1640625" customWidth="1"/>
    <col min="6899" max="6899" width="41.1640625" customWidth="1"/>
    <col min="6900" max="6900" width="25.1640625" customWidth="1"/>
    <col min="7155" max="7155" width="41.1640625" customWidth="1"/>
    <col min="7156" max="7156" width="25.1640625" customWidth="1"/>
    <col min="7411" max="7411" width="41.1640625" customWidth="1"/>
    <col min="7412" max="7412" width="25.1640625" customWidth="1"/>
    <col min="7667" max="7667" width="41.1640625" customWidth="1"/>
    <col min="7668" max="7668" width="25.1640625" customWidth="1"/>
    <col min="7923" max="7923" width="41.1640625" customWidth="1"/>
    <col min="7924" max="7924" width="25.1640625" customWidth="1"/>
    <col min="8179" max="8179" width="41.1640625" customWidth="1"/>
    <col min="8180" max="8180" width="25.1640625" customWidth="1"/>
    <col min="8435" max="8435" width="41.1640625" customWidth="1"/>
    <col min="8436" max="8436" width="25.1640625" customWidth="1"/>
    <col min="8691" max="8691" width="41.1640625" customWidth="1"/>
    <col min="8692" max="8692" width="25.1640625" customWidth="1"/>
    <col min="8947" max="8947" width="41.1640625" customWidth="1"/>
    <col min="8948" max="8948" width="25.1640625" customWidth="1"/>
    <col min="9203" max="9203" width="41.1640625" customWidth="1"/>
    <col min="9204" max="9204" width="25.1640625" customWidth="1"/>
    <col min="9459" max="9459" width="41.1640625" customWidth="1"/>
    <col min="9460" max="9460" width="25.1640625" customWidth="1"/>
    <col min="9715" max="9715" width="41.1640625" customWidth="1"/>
    <col min="9716" max="9716" width="25.1640625" customWidth="1"/>
    <col min="9971" max="9971" width="41.1640625" customWidth="1"/>
    <col min="9972" max="9972" width="25.1640625" customWidth="1"/>
    <col min="10227" max="10227" width="41.1640625" customWidth="1"/>
    <col min="10228" max="10228" width="25.1640625" customWidth="1"/>
    <col min="10483" max="10483" width="41.1640625" customWidth="1"/>
    <col min="10484" max="10484" width="25.1640625" customWidth="1"/>
    <col min="10739" max="10739" width="41.1640625" customWidth="1"/>
    <col min="10740" max="10740" width="25.1640625" customWidth="1"/>
    <col min="10995" max="10995" width="41.1640625" customWidth="1"/>
    <col min="10996" max="10996" width="25.1640625" customWidth="1"/>
    <col min="11251" max="11251" width="41.1640625" customWidth="1"/>
    <col min="11252" max="11252" width="25.1640625" customWidth="1"/>
    <col min="11507" max="11507" width="41.1640625" customWidth="1"/>
    <col min="11508" max="11508" width="25.1640625" customWidth="1"/>
    <col min="11763" max="11763" width="41.1640625" customWidth="1"/>
    <col min="11764" max="11764" width="25.1640625" customWidth="1"/>
    <col min="12019" max="12019" width="41.1640625" customWidth="1"/>
    <col min="12020" max="12020" width="25.1640625" customWidth="1"/>
    <col min="12275" max="12275" width="41.1640625" customWidth="1"/>
    <col min="12276" max="12276" width="25.1640625" customWidth="1"/>
    <col min="12531" max="12531" width="41.1640625" customWidth="1"/>
    <col min="12532" max="12532" width="25.1640625" customWidth="1"/>
    <col min="12787" max="12787" width="41.1640625" customWidth="1"/>
    <col min="12788" max="12788" width="25.1640625" customWidth="1"/>
    <col min="13043" max="13043" width="41.1640625" customWidth="1"/>
    <col min="13044" max="13044" width="25.1640625" customWidth="1"/>
    <col min="13299" max="13299" width="41.1640625" customWidth="1"/>
    <col min="13300" max="13300" width="25.1640625" customWidth="1"/>
    <col min="13555" max="13555" width="41.1640625" customWidth="1"/>
    <col min="13556" max="13556" width="25.1640625" customWidth="1"/>
    <col min="13811" max="13811" width="41.1640625" customWidth="1"/>
    <col min="13812" max="13812" width="25.1640625" customWidth="1"/>
    <col min="14067" max="14067" width="41.1640625" customWidth="1"/>
    <col min="14068" max="14068" width="25.1640625" customWidth="1"/>
    <col min="14323" max="14323" width="41.1640625" customWidth="1"/>
    <col min="14324" max="14324" width="25.1640625" customWidth="1"/>
    <col min="14579" max="14579" width="41.1640625" customWidth="1"/>
    <col min="14580" max="14580" width="25.1640625" customWidth="1"/>
    <col min="14835" max="14835" width="41.1640625" customWidth="1"/>
    <col min="14836" max="14836" width="25.1640625" customWidth="1"/>
    <col min="15091" max="15091" width="41.1640625" customWidth="1"/>
    <col min="15092" max="15092" width="25.1640625" customWidth="1"/>
    <col min="15347" max="15347" width="41.1640625" customWidth="1"/>
    <col min="15348" max="15348" width="25.1640625" customWidth="1"/>
    <col min="15603" max="15603" width="41.1640625" customWidth="1"/>
    <col min="15604" max="15604" width="25.1640625" customWidth="1"/>
    <col min="15859" max="15859" width="41.1640625" customWidth="1"/>
    <col min="15860" max="15860" width="25.1640625" customWidth="1"/>
    <col min="16115" max="16115" width="41.1640625" customWidth="1"/>
    <col min="16116" max="16116" width="25.1640625" customWidth="1"/>
  </cols>
  <sheetData>
    <row r="1" spans="1:6" ht="18" x14ac:dyDescent="0.15">
      <c r="A1" s="493"/>
      <c r="B1" s="493"/>
      <c r="C1" s="493"/>
      <c r="D1" s="493"/>
      <c r="E1" s="378"/>
      <c r="F1" s="379"/>
    </row>
    <row r="2" spans="1:6" ht="48" customHeight="1" x14ac:dyDescent="0.15">
      <c r="A2" s="493"/>
      <c r="B2" s="493"/>
      <c r="C2" s="493"/>
      <c r="D2" s="493"/>
      <c r="E2" s="378"/>
      <c r="F2" s="92"/>
    </row>
    <row r="3" spans="1:6" ht="33.75" customHeight="1" x14ac:dyDescent="0.15">
      <c r="A3" s="494" t="s">
        <v>890</v>
      </c>
      <c r="B3" s="494"/>
      <c r="C3" s="494"/>
      <c r="D3" s="494"/>
      <c r="E3" s="378"/>
      <c r="F3" s="196"/>
    </row>
    <row r="4" spans="1:6" ht="7.5" customHeight="1" x14ac:dyDescent="0.15">
      <c r="A4" s="492"/>
      <c r="B4" s="492"/>
      <c r="C4" s="492"/>
      <c r="D4" s="492"/>
    </row>
    <row r="5" spans="1:6" ht="16.5" customHeight="1" x14ac:dyDescent="0.15">
      <c r="A5" s="495" t="s">
        <v>408</v>
      </c>
      <c r="B5" s="495"/>
      <c r="C5" s="495"/>
      <c r="D5" s="495"/>
      <c r="E5" s="85"/>
    </row>
    <row r="6" spans="1:6" ht="7.5" customHeight="1" x14ac:dyDescent="0.15">
      <c r="A6" s="492"/>
      <c r="B6" s="492"/>
      <c r="C6" s="492"/>
      <c r="D6" s="492"/>
    </row>
    <row r="7" spans="1:6" x14ac:dyDescent="0.15">
      <c r="A7" s="492"/>
      <c r="B7" s="492"/>
      <c r="C7" s="492"/>
      <c r="D7" s="492"/>
    </row>
    <row r="8" spans="1:6" x14ac:dyDescent="0.15">
      <c r="A8" s="424" t="s">
        <v>407</v>
      </c>
      <c r="B8" s="424" t="s">
        <v>406</v>
      </c>
      <c r="C8" s="424" t="s">
        <v>405</v>
      </c>
      <c r="D8" s="424" t="s">
        <v>404</v>
      </c>
    </row>
    <row r="9" spans="1:6" x14ac:dyDescent="0.15">
      <c r="A9" s="424" t="s">
        <v>185</v>
      </c>
      <c r="B9" s="420" t="s">
        <v>403</v>
      </c>
      <c r="C9" s="420"/>
      <c r="D9" s="276">
        <v>1</v>
      </c>
    </row>
    <row r="10" spans="1:6" x14ac:dyDescent="0.15">
      <c r="A10" s="506"/>
      <c r="B10" s="506"/>
      <c r="C10" s="506"/>
      <c r="D10" s="506"/>
    </row>
    <row r="11" spans="1:6" x14ac:dyDescent="0.15">
      <c r="A11" s="424" t="s">
        <v>246</v>
      </c>
      <c r="B11" s="420" t="s">
        <v>402</v>
      </c>
      <c r="C11" s="420"/>
      <c r="D11" s="422"/>
    </row>
    <row r="12" spans="1:6" x14ac:dyDescent="0.15">
      <c r="A12" s="274"/>
      <c r="B12" s="275" t="s">
        <v>401</v>
      </c>
      <c r="C12" s="274" t="s">
        <v>380</v>
      </c>
      <c r="D12" s="270">
        <v>0.11</v>
      </c>
    </row>
    <row r="13" spans="1:6" x14ac:dyDescent="0.15">
      <c r="A13" s="274"/>
      <c r="B13" s="275" t="s">
        <v>400</v>
      </c>
      <c r="C13" s="274" t="s">
        <v>380</v>
      </c>
      <c r="D13" s="270">
        <v>0.01</v>
      </c>
    </row>
    <row r="14" spans="1:6" x14ac:dyDescent="0.15">
      <c r="A14" s="274"/>
      <c r="B14" s="275" t="s">
        <v>399</v>
      </c>
      <c r="C14" s="274" t="s">
        <v>380</v>
      </c>
      <c r="D14" s="270">
        <v>8.3299999999999999E-2</v>
      </c>
    </row>
    <row r="15" spans="1:6" x14ac:dyDescent="0.15">
      <c r="A15" s="274"/>
      <c r="B15" s="275" t="s">
        <v>398</v>
      </c>
      <c r="C15" s="274" t="s">
        <v>380</v>
      </c>
      <c r="D15" s="270">
        <v>4.1700000000000001E-2</v>
      </c>
    </row>
    <row r="16" spans="1:6" x14ac:dyDescent="0.15">
      <c r="A16" s="274"/>
      <c r="B16" s="275" t="s">
        <v>397</v>
      </c>
      <c r="C16" s="274" t="s">
        <v>380</v>
      </c>
      <c r="D16" s="270">
        <v>8.5000000000000006E-2</v>
      </c>
    </row>
    <row r="17" spans="1:4" x14ac:dyDescent="0.15">
      <c r="A17" s="274"/>
      <c r="B17" s="275" t="s">
        <v>396</v>
      </c>
      <c r="C17" s="274" t="s">
        <v>380</v>
      </c>
      <c r="D17" s="270">
        <v>0.12</v>
      </c>
    </row>
    <row r="18" spans="1:4" x14ac:dyDescent="0.15">
      <c r="A18" s="274"/>
      <c r="B18" s="275" t="s">
        <v>395</v>
      </c>
      <c r="C18" s="274" t="s">
        <v>380</v>
      </c>
      <c r="D18" s="270">
        <v>6.9599999999999995E-2</v>
      </c>
    </row>
    <row r="19" spans="1:4" x14ac:dyDescent="0.15">
      <c r="A19" s="274"/>
      <c r="B19" s="275" t="s">
        <v>394</v>
      </c>
      <c r="C19" s="274" t="s">
        <v>380</v>
      </c>
      <c r="D19" s="270">
        <v>0.02</v>
      </c>
    </row>
    <row r="20" spans="1:4" x14ac:dyDescent="0.15">
      <c r="A20" s="274"/>
      <c r="B20" s="275" t="s">
        <v>393</v>
      </c>
      <c r="C20" s="274" t="s">
        <v>380</v>
      </c>
      <c r="D20" s="270">
        <v>0.03</v>
      </c>
    </row>
    <row r="21" spans="1:4" x14ac:dyDescent="0.15">
      <c r="A21" s="274"/>
      <c r="B21" s="272" t="s">
        <v>392</v>
      </c>
      <c r="C21" s="274" t="s">
        <v>380</v>
      </c>
      <c r="D21" s="270">
        <v>0.03</v>
      </c>
    </row>
    <row r="22" spans="1:4" x14ac:dyDescent="0.15">
      <c r="A22" s="274"/>
      <c r="B22" s="272" t="s">
        <v>391</v>
      </c>
      <c r="C22" s="274" t="s">
        <v>380</v>
      </c>
      <c r="D22" s="270">
        <v>5.0000000000000001E-3</v>
      </c>
    </row>
    <row r="23" spans="1:4" x14ac:dyDescent="0.15">
      <c r="A23" s="274"/>
      <c r="B23" s="272" t="s">
        <v>390</v>
      </c>
      <c r="C23" s="274" t="s">
        <v>380</v>
      </c>
      <c r="D23" s="270">
        <v>0.03</v>
      </c>
    </row>
    <row r="24" spans="1:4" x14ac:dyDescent="0.15">
      <c r="A24" s="274"/>
      <c r="B24" s="272" t="s">
        <v>389</v>
      </c>
      <c r="C24" s="274" t="s">
        <v>380</v>
      </c>
      <c r="D24" s="270">
        <v>0.03</v>
      </c>
    </row>
    <row r="25" spans="1:4" ht="28" x14ac:dyDescent="0.15">
      <c r="A25" s="274"/>
      <c r="B25" s="271" t="s">
        <v>388</v>
      </c>
      <c r="C25" s="274" t="s">
        <v>380</v>
      </c>
      <c r="D25" s="270">
        <v>0.01</v>
      </c>
    </row>
    <row r="26" spans="1:4" x14ac:dyDescent="0.15">
      <c r="A26" s="274"/>
      <c r="B26" s="272" t="s">
        <v>387</v>
      </c>
      <c r="C26" s="274" t="s">
        <v>380</v>
      </c>
      <c r="D26" s="270">
        <v>4.4600000000000001E-2</v>
      </c>
    </row>
    <row r="27" spans="1:4" x14ac:dyDescent="0.15">
      <c r="A27" s="274"/>
      <c r="B27" s="272" t="s">
        <v>386</v>
      </c>
      <c r="C27" s="274" t="s">
        <v>380</v>
      </c>
      <c r="D27" s="270">
        <v>3.5700000000000003E-2</v>
      </c>
    </row>
    <row r="28" spans="1:4" x14ac:dyDescent="0.15">
      <c r="A28" s="273"/>
      <c r="B28" s="420" t="s">
        <v>385</v>
      </c>
      <c r="C28" s="420"/>
      <c r="D28" s="269">
        <f>SUM(D12:D27)</f>
        <v>0.75490000000000013</v>
      </c>
    </row>
    <row r="29" spans="1:4" x14ac:dyDescent="0.15">
      <c r="A29" s="506"/>
      <c r="B29" s="506"/>
      <c r="C29" s="506"/>
      <c r="D29" s="506"/>
    </row>
    <row r="30" spans="1:4" x14ac:dyDescent="0.15">
      <c r="A30" s="421" t="s">
        <v>384</v>
      </c>
      <c r="B30" s="420" t="s">
        <v>383</v>
      </c>
      <c r="C30" s="420"/>
      <c r="D30" s="269">
        <f>+D9+D28</f>
        <v>1.7549000000000001</v>
      </c>
    </row>
    <row r="31" spans="1:4" x14ac:dyDescent="0.15">
      <c r="A31" s="506"/>
      <c r="B31" s="506"/>
      <c r="C31" s="506"/>
      <c r="D31" s="506"/>
    </row>
    <row r="32" spans="1:4" x14ac:dyDescent="0.15">
      <c r="A32" s="421" t="s">
        <v>382</v>
      </c>
      <c r="B32" s="420" t="s">
        <v>381</v>
      </c>
      <c r="C32" s="419"/>
      <c r="D32" s="272"/>
    </row>
    <row r="33" spans="1:4" ht="14" x14ac:dyDescent="0.15">
      <c r="A33" s="421"/>
      <c r="B33" s="271" t="s">
        <v>381</v>
      </c>
      <c r="C33" s="419" t="s">
        <v>380</v>
      </c>
      <c r="D33" s="270">
        <v>0.15</v>
      </c>
    </row>
    <row r="34" spans="1:4" x14ac:dyDescent="0.15">
      <c r="A34" s="422"/>
      <c r="B34" s="420" t="s">
        <v>379</v>
      </c>
      <c r="C34" s="421"/>
      <c r="D34" s="423">
        <f>SUM(D33:D33)</f>
        <v>0.15</v>
      </c>
    </row>
    <row r="35" spans="1:4" x14ac:dyDescent="0.15">
      <c r="A35" s="506"/>
      <c r="B35" s="506"/>
      <c r="C35" s="506"/>
      <c r="D35" s="506"/>
    </row>
    <row r="36" spans="1:4" x14ac:dyDescent="0.15">
      <c r="A36" s="421" t="s">
        <v>378</v>
      </c>
      <c r="B36" s="420" t="s">
        <v>377</v>
      </c>
      <c r="C36" s="420"/>
      <c r="D36" s="269">
        <f>+D30+D34</f>
        <v>1.9049</v>
      </c>
    </row>
    <row r="37" spans="1:4" x14ac:dyDescent="0.15">
      <c r="A37" s="506"/>
      <c r="B37" s="506"/>
      <c r="C37" s="506"/>
      <c r="D37" s="506"/>
    </row>
    <row r="38" spans="1:4" x14ac:dyDescent="0.15">
      <c r="A38" s="422"/>
      <c r="B38" s="420" t="s">
        <v>376</v>
      </c>
      <c r="C38" s="420"/>
      <c r="D38" s="268">
        <f>+D36</f>
        <v>1.9049</v>
      </c>
    </row>
    <row r="39" spans="1:4" x14ac:dyDescent="0.15">
      <c r="A39" s="506"/>
      <c r="B39" s="498" t="s">
        <v>375</v>
      </c>
      <c r="C39" s="499"/>
      <c r="D39" s="507">
        <f>+D38/100</f>
        <v>1.9049E-2</v>
      </c>
    </row>
    <row r="40" spans="1:4" x14ac:dyDescent="0.15">
      <c r="A40" s="506"/>
      <c r="B40" s="498"/>
      <c r="C40" s="499"/>
      <c r="D40" s="507"/>
    </row>
    <row r="41" spans="1:4" x14ac:dyDescent="0.15">
      <c r="A41" s="506"/>
      <c r="B41" s="498"/>
      <c r="C41" s="499"/>
      <c r="D41" s="507"/>
    </row>
    <row r="42" spans="1:4" x14ac:dyDescent="0.15">
      <c r="A42" s="492"/>
      <c r="B42" s="492"/>
      <c r="C42" s="492"/>
      <c r="D42" s="492"/>
    </row>
  </sheetData>
  <mergeCells count="16">
    <mergeCell ref="A1:D2"/>
    <mergeCell ref="A3:D3"/>
    <mergeCell ref="A42:D42"/>
    <mergeCell ref="A37:D37"/>
    <mergeCell ref="A35:D35"/>
    <mergeCell ref="A31:D31"/>
    <mergeCell ref="A29:D29"/>
    <mergeCell ref="A39:A41"/>
    <mergeCell ref="B39:B41"/>
    <mergeCell ref="D39:D41"/>
    <mergeCell ref="C39:C41"/>
    <mergeCell ref="A7:D7"/>
    <mergeCell ref="A10:D10"/>
    <mergeCell ref="A5:D5"/>
    <mergeCell ref="A6:D6"/>
    <mergeCell ref="A4:D4"/>
  </mergeCells>
  <pageMargins left="0.70866141732283472" right="0.70866141732283472" top="0.74803149606299213" bottom="0.74803149606299213" header="0.31496062992125984" footer="0.31496062992125984"/>
  <pageSetup scale="11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41"/>
  <sheetViews>
    <sheetView view="pageBreakPreview" topLeftCell="A103" zoomScaleNormal="115" zoomScaleSheetLayoutView="100" workbookViewId="0">
      <selection activeCell="L127" sqref="L127"/>
    </sheetView>
  </sheetViews>
  <sheetFormatPr baseColWidth="10" defaultRowHeight="13" x14ac:dyDescent="0.15"/>
  <cols>
    <col min="1" max="1" width="6.1640625" style="195" customWidth="1"/>
    <col min="2" max="2" width="59.83203125" customWidth="1"/>
    <col min="3" max="3" width="19" customWidth="1"/>
    <col min="4" max="7" width="18.6640625" customWidth="1"/>
    <col min="8" max="8" width="18.1640625" bestFit="1" customWidth="1"/>
    <col min="9" max="9" width="25.5" customWidth="1"/>
  </cols>
  <sheetData>
    <row r="1" spans="1:10" ht="113.25" customHeight="1" x14ac:dyDescent="0.15">
      <c r="A1" s="528"/>
      <c r="B1" s="529"/>
      <c r="C1" s="529"/>
      <c r="D1" s="529"/>
      <c r="E1" s="529"/>
      <c r="F1" s="529"/>
      <c r="G1" s="530"/>
    </row>
    <row r="2" spans="1:10" ht="19.5" customHeight="1" x14ac:dyDescent="0.15">
      <c r="A2" s="446" t="s">
        <v>447</v>
      </c>
      <c r="B2" s="447"/>
      <c r="C2" s="447"/>
      <c r="D2" s="447"/>
      <c r="E2" s="447"/>
      <c r="F2" s="447"/>
      <c r="G2" s="448"/>
    </row>
    <row r="3" spans="1:10" ht="24.75" customHeight="1" x14ac:dyDescent="0.15">
      <c r="A3" s="449" t="s">
        <v>890</v>
      </c>
      <c r="B3" s="450"/>
      <c r="C3" s="450"/>
      <c r="D3" s="450"/>
      <c r="E3" s="450"/>
      <c r="F3" s="450"/>
      <c r="G3" s="451"/>
    </row>
    <row r="4" spans="1:10" ht="15" customHeight="1" x14ac:dyDescent="0.15">
      <c r="A4" s="531" t="s">
        <v>1069</v>
      </c>
      <c r="B4" s="532"/>
      <c r="C4" s="532"/>
      <c r="D4" s="532"/>
      <c r="E4" s="532"/>
      <c r="F4" s="532"/>
      <c r="G4" s="533"/>
    </row>
    <row r="5" spans="1:10" ht="9.75" customHeight="1" x14ac:dyDescent="0.15">
      <c r="A5" s="534"/>
      <c r="B5" s="535"/>
      <c r="C5" s="535"/>
      <c r="D5" s="535"/>
      <c r="E5" s="535"/>
      <c r="F5" s="535"/>
      <c r="G5" s="536"/>
    </row>
    <row r="6" spans="1:10" s="115" customFormat="1" ht="42" x14ac:dyDescent="0.15">
      <c r="A6" s="358" t="s">
        <v>0</v>
      </c>
      <c r="B6" s="10" t="s">
        <v>582</v>
      </c>
      <c r="C6" s="10" t="s">
        <v>583</v>
      </c>
      <c r="D6" s="256" t="s">
        <v>576</v>
      </c>
      <c r="E6" s="256" t="s">
        <v>577</v>
      </c>
      <c r="F6" s="256" t="s">
        <v>578</v>
      </c>
      <c r="G6" s="280" t="s">
        <v>579</v>
      </c>
    </row>
    <row r="7" spans="1:10" ht="8.25" customHeight="1" x14ac:dyDescent="0.15">
      <c r="A7" s="537"/>
      <c r="B7" s="538"/>
      <c r="C7" s="538"/>
      <c r="D7" s="538"/>
      <c r="E7" s="538"/>
      <c r="F7" s="538"/>
      <c r="G7" s="539"/>
    </row>
    <row r="8" spans="1:10" s="338" customFormat="1" ht="15.75" customHeight="1" x14ac:dyDescent="0.15">
      <c r="A8" s="359">
        <v>1</v>
      </c>
      <c r="B8" s="517" t="s">
        <v>12</v>
      </c>
      <c r="C8" s="517"/>
      <c r="D8" s="517"/>
      <c r="E8" s="517"/>
      <c r="F8" s="517"/>
      <c r="G8" s="518"/>
      <c r="H8" s="336"/>
      <c r="I8" s="337"/>
    </row>
    <row r="9" spans="1:10" s="115" customFormat="1" ht="19.5" customHeight="1" x14ac:dyDescent="0.15">
      <c r="A9" s="352" t="s">
        <v>219</v>
      </c>
      <c r="B9" s="298" t="s">
        <v>46</v>
      </c>
      <c r="C9" s="339">
        <f>'PRESUPUESTO OBRA'!G11</f>
        <v>1730177.3551999999</v>
      </c>
      <c r="D9" s="425">
        <f>C9*0.25</f>
        <v>432544.33879999997</v>
      </c>
      <c r="E9" s="426">
        <f>C9*0.25</f>
        <v>432544.33879999997</v>
      </c>
      <c r="F9" s="427">
        <f>C9*0.25</f>
        <v>432544.33879999997</v>
      </c>
      <c r="G9" s="428">
        <f>C9*0.25</f>
        <v>432544.33879999997</v>
      </c>
      <c r="H9" s="336"/>
      <c r="I9" s="341"/>
    </row>
    <row r="10" spans="1:10" s="115" customFormat="1" ht="27.75" customHeight="1" x14ac:dyDescent="0.15">
      <c r="A10" s="352" t="s">
        <v>220</v>
      </c>
      <c r="B10" s="298" t="s">
        <v>897</v>
      </c>
      <c r="C10" s="339">
        <f>'PRESUPUESTO OBRA'!G12</f>
        <v>5736185</v>
      </c>
      <c r="D10" s="339">
        <f>C10</f>
        <v>5736185</v>
      </c>
      <c r="E10" s="340"/>
      <c r="F10" s="340"/>
      <c r="G10" s="357"/>
      <c r="H10" s="336"/>
      <c r="I10" s="341"/>
    </row>
    <row r="11" spans="1:10" s="115" customFormat="1" ht="19.5" customHeight="1" x14ac:dyDescent="0.15">
      <c r="A11" s="352" t="s">
        <v>414</v>
      </c>
      <c r="B11" s="298" t="s">
        <v>660</v>
      </c>
      <c r="C11" s="339">
        <f>'PRESUPUESTO OBRA'!G13</f>
        <v>4418549.8672000002</v>
      </c>
      <c r="D11" s="339">
        <f>C11</f>
        <v>4418549.8672000002</v>
      </c>
      <c r="E11" s="340"/>
      <c r="F11" s="340"/>
      <c r="G11" s="357"/>
      <c r="H11" s="336"/>
      <c r="I11" s="341"/>
    </row>
    <row r="12" spans="1:10" s="115" customFormat="1" ht="27.75" customHeight="1" x14ac:dyDescent="0.15">
      <c r="A12" s="352" t="s">
        <v>417</v>
      </c>
      <c r="B12" s="298" t="s">
        <v>898</v>
      </c>
      <c r="C12" s="339">
        <f>'PRESUPUESTO OBRA'!G14</f>
        <v>11001948.69564</v>
      </c>
      <c r="D12" s="339">
        <f>C12</f>
        <v>11001948.69564</v>
      </c>
      <c r="E12" s="340"/>
      <c r="F12" s="340"/>
      <c r="G12" s="357"/>
      <c r="H12" s="336"/>
      <c r="I12" s="341"/>
    </row>
    <row r="13" spans="1:10" s="115" customFormat="1" ht="27.75" customHeight="1" x14ac:dyDescent="0.15">
      <c r="A13" s="352" t="s">
        <v>521</v>
      </c>
      <c r="B13" s="298" t="s">
        <v>419</v>
      </c>
      <c r="C13" s="339">
        <f>'PRESUPUESTO OBRA'!G15</f>
        <v>3463344.5822999999</v>
      </c>
      <c r="D13" s="339">
        <f>C13</f>
        <v>3463344.5822999999</v>
      </c>
      <c r="E13" s="340"/>
      <c r="F13" s="340"/>
      <c r="G13" s="357"/>
      <c r="H13" s="336"/>
      <c r="I13" s="341"/>
    </row>
    <row r="14" spans="1:10" s="195" customFormat="1" ht="18.75" customHeight="1" x14ac:dyDescent="0.15">
      <c r="A14" s="508" t="s">
        <v>584</v>
      </c>
      <c r="B14" s="509"/>
      <c r="C14" s="342">
        <f>SUM(C9:C13)</f>
        <v>26350205.50034</v>
      </c>
      <c r="D14" s="343">
        <f t="shared" ref="D14:F14" si="0">SUM(D9:D13)</f>
        <v>25052572.483939998</v>
      </c>
      <c r="E14" s="343">
        <f t="shared" si="0"/>
        <v>432544.33879999997</v>
      </c>
      <c r="F14" s="343">
        <f t="shared" si="0"/>
        <v>432544.33879999997</v>
      </c>
      <c r="G14" s="360">
        <f>SUM(G9:G13)</f>
        <v>432544.33879999997</v>
      </c>
      <c r="H14" s="344"/>
      <c r="I14" s="344"/>
      <c r="J14" s="344"/>
    </row>
    <row r="15" spans="1:10" s="338" customFormat="1" ht="15.75" customHeight="1" x14ac:dyDescent="0.15">
      <c r="A15" s="359">
        <v>2</v>
      </c>
      <c r="B15" s="517" t="s">
        <v>115</v>
      </c>
      <c r="C15" s="517"/>
      <c r="D15" s="517"/>
      <c r="E15" s="517"/>
      <c r="F15" s="517"/>
      <c r="G15" s="518"/>
      <c r="H15" s="336"/>
      <c r="I15" s="337"/>
    </row>
    <row r="16" spans="1:10" s="115" customFormat="1" ht="27.75" customHeight="1" x14ac:dyDescent="0.15">
      <c r="A16" s="352" t="s">
        <v>215</v>
      </c>
      <c r="B16" s="298" t="s">
        <v>661</v>
      </c>
      <c r="C16" s="339">
        <f>'PRESUPUESTO OBRA'!G19</f>
        <v>1399202.3807999999</v>
      </c>
      <c r="D16" s="425">
        <f>C16*0.7</f>
        <v>979441.66655999993</v>
      </c>
      <c r="E16" s="426">
        <f>C16*0.3</f>
        <v>419760.71423999994</v>
      </c>
      <c r="F16" s="340"/>
      <c r="G16" s="357"/>
      <c r="H16" s="336"/>
      <c r="I16" s="341"/>
    </row>
    <row r="17" spans="1:10" s="115" customFormat="1" ht="19.5" customHeight="1" x14ac:dyDescent="0.15">
      <c r="A17" s="352" t="s">
        <v>216</v>
      </c>
      <c r="B17" s="298" t="s">
        <v>416</v>
      </c>
      <c r="C17" s="339">
        <f>'PRESUPUESTO OBRA'!G20</f>
        <v>170372.16399999999</v>
      </c>
      <c r="D17" s="339"/>
      <c r="E17" s="426">
        <f>C17</f>
        <v>170372.16399999999</v>
      </c>
      <c r="F17" s="340"/>
      <c r="G17" s="357"/>
      <c r="H17" s="336"/>
      <c r="I17" s="341"/>
    </row>
    <row r="18" spans="1:10" s="115" customFormat="1" ht="27.75" customHeight="1" x14ac:dyDescent="0.15">
      <c r="A18" s="352" t="s">
        <v>217</v>
      </c>
      <c r="B18" s="298" t="s">
        <v>914</v>
      </c>
      <c r="C18" s="339">
        <f>'PRESUPUESTO OBRA'!G21</f>
        <v>6247340.1881999997</v>
      </c>
      <c r="D18" s="339"/>
      <c r="E18" s="426">
        <f>C18</f>
        <v>6247340.1881999997</v>
      </c>
      <c r="F18" s="340"/>
      <c r="G18" s="357"/>
      <c r="H18" s="336"/>
      <c r="I18" s="341"/>
    </row>
    <row r="19" spans="1:10" s="115" customFormat="1" ht="27.75" customHeight="1" x14ac:dyDescent="0.15">
      <c r="A19" s="352" t="s">
        <v>218</v>
      </c>
      <c r="B19" s="298" t="s">
        <v>419</v>
      </c>
      <c r="C19" s="339">
        <f>'PRESUPUESTO OBRA'!G22</f>
        <v>1025364.4859999999</v>
      </c>
      <c r="D19" s="339"/>
      <c r="E19" s="426">
        <f>C19</f>
        <v>1025364.4859999999</v>
      </c>
      <c r="F19" s="340"/>
      <c r="G19" s="357"/>
      <c r="H19" s="336"/>
      <c r="I19" s="341"/>
    </row>
    <row r="20" spans="1:10" s="195" customFormat="1" ht="18.75" customHeight="1" x14ac:dyDescent="0.15">
      <c r="A20" s="508" t="s">
        <v>585</v>
      </c>
      <c r="B20" s="509"/>
      <c r="C20" s="342">
        <f>SUM(C16:C19)</f>
        <v>8842279.2189999986</v>
      </c>
      <c r="D20" s="343">
        <f>SUM(D16:D19)</f>
        <v>979441.66655999993</v>
      </c>
      <c r="E20" s="343">
        <f>SUM(E16:E19)</f>
        <v>7862837.5524399988</v>
      </c>
      <c r="F20" s="343">
        <f>SUM(F16:F19)</f>
        <v>0</v>
      </c>
      <c r="G20" s="360">
        <f>SUM(G16:G19)</f>
        <v>0</v>
      </c>
      <c r="H20" s="344"/>
      <c r="I20" s="344"/>
      <c r="J20" s="344"/>
    </row>
    <row r="21" spans="1:10" s="338" customFormat="1" ht="15.75" customHeight="1" x14ac:dyDescent="0.15">
      <c r="A21" s="359">
        <v>3</v>
      </c>
      <c r="B21" s="517" t="s">
        <v>18</v>
      </c>
      <c r="C21" s="517"/>
      <c r="D21" s="517"/>
      <c r="E21" s="517"/>
      <c r="F21" s="517"/>
      <c r="G21" s="518"/>
      <c r="H21" s="336"/>
      <c r="I21" s="337"/>
    </row>
    <row r="22" spans="1:10" s="115" customFormat="1" ht="19.5" customHeight="1" x14ac:dyDescent="0.15">
      <c r="A22" s="352" t="s">
        <v>209</v>
      </c>
      <c r="B22" s="298" t="s">
        <v>483</v>
      </c>
      <c r="C22" s="339">
        <f>'PRESUPUESTO OBRA'!G26</f>
        <v>542901.33000000007</v>
      </c>
      <c r="D22" s="425">
        <f>C22</f>
        <v>542901.33000000007</v>
      </c>
      <c r="E22" s="340"/>
      <c r="F22" s="340"/>
      <c r="G22" s="357"/>
      <c r="H22" s="336"/>
      <c r="I22" s="341"/>
    </row>
    <row r="23" spans="1:10" s="115" customFormat="1" ht="42" customHeight="1" x14ac:dyDescent="0.15">
      <c r="A23" s="352" t="s">
        <v>210</v>
      </c>
      <c r="B23" s="298" t="s">
        <v>526</v>
      </c>
      <c r="C23" s="339">
        <f>'PRESUPUESTO OBRA'!G27</f>
        <v>1534692</v>
      </c>
      <c r="D23" s="425">
        <f>C23</f>
        <v>1534692</v>
      </c>
      <c r="E23" s="340"/>
      <c r="F23" s="340"/>
      <c r="G23" s="357"/>
      <c r="H23" s="336"/>
      <c r="I23" s="341"/>
    </row>
    <row r="24" spans="1:10" s="115" customFormat="1" ht="42" customHeight="1" x14ac:dyDescent="0.15">
      <c r="A24" s="352" t="s">
        <v>211</v>
      </c>
      <c r="B24" s="298" t="s">
        <v>917</v>
      </c>
      <c r="C24" s="339">
        <f>'PRESUPUESTO OBRA'!G28</f>
        <v>3042847</v>
      </c>
      <c r="D24" s="425">
        <f>C24*0.7</f>
        <v>2129992.9</v>
      </c>
      <c r="E24" s="426">
        <f>C24*0.3</f>
        <v>912854.1</v>
      </c>
      <c r="F24" s="340"/>
      <c r="G24" s="357"/>
      <c r="H24" s="336"/>
      <c r="I24" s="341"/>
    </row>
    <row r="25" spans="1:10" s="115" customFormat="1" ht="42" customHeight="1" x14ac:dyDescent="0.15">
      <c r="A25" s="352" t="s">
        <v>212</v>
      </c>
      <c r="B25" s="298" t="s">
        <v>877</v>
      </c>
      <c r="C25" s="339">
        <f>'PRESUPUESTO OBRA'!G29</f>
        <v>2622802</v>
      </c>
      <c r="D25" s="425">
        <f>C25*0.7</f>
        <v>1835961.4</v>
      </c>
      <c r="E25" s="426">
        <f>C25*0.3</f>
        <v>786840.6</v>
      </c>
      <c r="F25" s="340"/>
      <c r="G25" s="357"/>
      <c r="H25" s="336"/>
      <c r="I25" s="341"/>
    </row>
    <row r="26" spans="1:10" s="115" customFormat="1" ht="42" customHeight="1" x14ac:dyDescent="0.15">
      <c r="A26" s="352" t="s">
        <v>213</v>
      </c>
      <c r="B26" s="298" t="s">
        <v>878</v>
      </c>
      <c r="C26" s="339">
        <f>'PRESUPUESTO OBRA'!G30</f>
        <v>20748403.370000001</v>
      </c>
      <c r="D26" s="339"/>
      <c r="E26" s="426">
        <f>C26</f>
        <v>20748403.370000001</v>
      </c>
      <c r="F26" s="340"/>
      <c r="G26" s="357"/>
      <c r="H26" s="336"/>
      <c r="I26" s="341"/>
    </row>
    <row r="27" spans="1:10" s="115" customFormat="1" ht="42" customHeight="1" x14ac:dyDescent="0.15">
      <c r="A27" s="352" t="s">
        <v>500</v>
      </c>
      <c r="B27" s="298" t="s">
        <v>878</v>
      </c>
      <c r="C27" s="339">
        <f>'PRESUPUESTO OBRA'!G31</f>
        <v>19228092.239999998</v>
      </c>
      <c r="D27" s="339"/>
      <c r="E27" s="426">
        <f t="shared" ref="E27:E40" si="1">C27</f>
        <v>19228092.239999998</v>
      </c>
      <c r="F27" s="340"/>
      <c r="G27" s="357"/>
      <c r="H27" s="336"/>
      <c r="I27" s="341"/>
    </row>
    <row r="28" spans="1:10" s="115" customFormat="1" ht="42" customHeight="1" x14ac:dyDescent="0.15">
      <c r="A28" s="352" t="s">
        <v>214</v>
      </c>
      <c r="B28" s="298" t="s">
        <v>923</v>
      </c>
      <c r="C28" s="339">
        <f>'PRESUPUESTO OBRA'!G32</f>
        <v>3216169.92</v>
      </c>
      <c r="D28" s="339"/>
      <c r="E28" s="426">
        <f t="shared" si="1"/>
        <v>3216169.92</v>
      </c>
      <c r="F28" s="340"/>
      <c r="G28" s="357"/>
      <c r="H28" s="336"/>
      <c r="I28" s="341"/>
    </row>
    <row r="29" spans="1:10" s="115" customFormat="1" ht="42" customHeight="1" x14ac:dyDescent="0.15">
      <c r="A29" s="352" t="s">
        <v>225</v>
      </c>
      <c r="B29" s="298" t="s">
        <v>665</v>
      </c>
      <c r="C29" s="339">
        <f>'PRESUPUESTO OBRA'!G33</f>
        <v>1917120</v>
      </c>
      <c r="D29" s="339"/>
      <c r="E29" s="426">
        <f t="shared" si="1"/>
        <v>1917120</v>
      </c>
      <c r="F29" s="340"/>
      <c r="G29" s="357"/>
      <c r="H29" s="336"/>
      <c r="I29" s="341"/>
    </row>
    <row r="30" spans="1:10" s="115" customFormat="1" ht="42" customHeight="1" x14ac:dyDescent="0.15">
      <c r="A30" s="352" t="s">
        <v>226</v>
      </c>
      <c r="B30" s="298" t="s">
        <v>885</v>
      </c>
      <c r="C30" s="339">
        <f>'PRESUPUESTO OBRA'!G34</f>
        <v>3961490.4999999995</v>
      </c>
      <c r="D30" s="339"/>
      <c r="E30" s="426">
        <f t="shared" si="1"/>
        <v>3961490.4999999995</v>
      </c>
      <c r="F30" s="340"/>
      <c r="G30" s="357"/>
      <c r="H30" s="336"/>
      <c r="I30" s="341"/>
    </row>
    <row r="31" spans="1:10" s="115" customFormat="1" ht="42" customHeight="1" x14ac:dyDescent="0.15">
      <c r="A31" s="352" t="s">
        <v>227</v>
      </c>
      <c r="B31" s="298" t="s">
        <v>932</v>
      </c>
      <c r="C31" s="339">
        <f>'PRESUPUESTO OBRA'!G35</f>
        <v>10932120.57</v>
      </c>
      <c r="D31" s="339"/>
      <c r="E31" s="426">
        <f t="shared" si="1"/>
        <v>10932120.57</v>
      </c>
      <c r="F31" s="340"/>
      <c r="G31" s="357"/>
      <c r="H31" s="336"/>
      <c r="I31" s="341"/>
    </row>
    <row r="32" spans="1:10" s="115" customFormat="1" ht="42" customHeight="1" x14ac:dyDescent="0.15">
      <c r="A32" s="352" t="s">
        <v>228</v>
      </c>
      <c r="B32" s="298" t="s">
        <v>879</v>
      </c>
      <c r="C32" s="339">
        <f>'PRESUPUESTO OBRA'!G36</f>
        <v>7781082.4000000004</v>
      </c>
      <c r="D32" s="339"/>
      <c r="E32" s="426">
        <f t="shared" si="1"/>
        <v>7781082.4000000004</v>
      </c>
      <c r="F32" s="340"/>
      <c r="G32" s="357"/>
      <c r="H32" s="336"/>
      <c r="I32" s="341"/>
    </row>
    <row r="33" spans="1:10" s="115" customFormat="1" ht="42" customHeight="1" x14ac:dyDescent="0.15">
      <c r="A33" s="352" t="s">
        <v>229</v>
      </c>
      <c r="B33" s="298" t="s">
        <v>937</v>
      </c>
      <c r="C33" s="339">
        <f>'PRESUPUESTO OBRA'!G37</f>
        <v>14362180.369999999</v>
      </c>
      <c r="D33" s="339"/>
      <c r="E33" s="426">
        <f t="shared" si="1"/>
        <v>14362180.369999999</v>
      </c>
      <c r="F33" s="340"/>
      <c r="G33" s="357"/>
      <c r="H33" s="336"/>
      <c r="I33" s="341"/>
    </row>
    <row r="34" spans="1:10" s="115" customFormat="1" ht="31.5" customHeight="1" x14ac:dyDescent="0.15">
      <c r="A34" s="352" t="s">
        <v>501</v>
      </c>
      <c r="B34" s="298" t="s">
        <v>938</v>
      </c>
      <c r="C34" s="339">
        <f>'PRESUPUESTO OBRA'!G38</f>
        <v>9080063.2800000012</v>
      </c>
      <c r="D34" s="339"/>
      <c r="E34" s="426">
        <f t="shared" si="1"/>
        <v>9080063.2800000012</v>
      </c>
      <c r="F34" s="340"/>
      <c r="G34" s="357"/>
      <c r="H34" s="336"/>
      <c r="I34" s="341"/>
    </row>
    <row r="35" spans="1:10" s="115" customFormat="1" ht="42" customHeight="1" x14ac:dyDescent="0.15">
      <c r="A35" s="352" t="s">
        <v>528</v>
      </c>
      <c r="B35" s="298" t="s">
        <v>882</v>
      </c>
      <c r="C35" s="339">
        <f>'PRESUPUESTO OBRA'!G39</f>
        <v>3622108.0999999996</v>
      </c>
      <c r="D35" s="339"/>
      <c r="E35" s="426">
        <f t="shared" si="1"/>
        <v>3622108.0999999996</v>
      </c>
      <c r="F35" s="340"/>
      <c r="G35" s="357"/>
      <c r="H35" s="336"/>
      <c r="I35" s="341"/>
    </row>
    <row r="36" spans="1:10" s="115" customFormat="1" ht="42" customHeight="1" x14ac:dyDescent="0.15">
      <c r="A36" s="352" t="s">
        <v>529</v>
      </c>
      <c r="B36" s="298" t="s">
        <v>939</v>
      </c>
      <c r="C36" s="339">
        <f>'PRESUPUESTO OBRA'!G40</f>
        <v>18804250.260000002</v>
      </c>
      <c r="D36" s="339"/>
      <c r="E36" s="426">
        <f t="shared" si="1"/>
        <v>18804250.260000002</v>
      </c>
      <c r="F36" s="340"/>
      <c r="G36" s="357"/>
      <c r="H36" s="336"/>
      <c r="I36" s="341"/>
    </row>
    <row r="37" spans="1:10" s="115" customFormat="1" ht="31.5" customHeight="1" x14ac:dyDescent="0.15">
      <c r="A37" s="352" t="s">
        <v>544</v>
      </c>
      <c r="B37" s="298" t="s">
        <v>881</v>
      </c>
      <c r="C37" s="339">
        <f>'PRESUPUESTO OBRA'!G41</f>
        <v>33644193.842000008</v>
      </c>
      <c r="D37" s="339"/>
      <c r="E37" s="426">
        <f t="shared" si="1"/>
        <v>33644193.842000008</v>
      </c>
      <c r="F37" s="340"/>
      <c r="G37" s="357"/>
      <c r="H37" s="336"/>
      <c r="I37" s="341"/>
    </row>
    <row r="38" spans="1:10" s="115" customFormat="1" ht="42" customHeight="1" x14ac:dyDescent="0.15">
      <c r="A38" s="352" t="s">
        <v>545</v>
      </c>
      <c r="B38" s="298" t="s">
        <v>779</v>
      </c>
      <c r="C38" s="339">
        <f>'PRESUPUESTO OBRA'!G42</f>
        <v>5964363.5040000016</v>
      </c>
      <c r="D38" s="339"/>
      <c r="E38" s="426">
        <f t="shared" si="1"/>
        <v>5964363.5040000016</v>
      </c>
      <c r="F38" s="340"/>
      <c r="G38" s="357"/>
      <c r="H38" s="336"/>
      <c r="I38" s="341"/>
    </row>
    <row r="39" spans="1:10" s="115" customFormat="1" ht="31.5" customHeight="1" x14ac:dyDescent="0.15">
      <c r="A39" s="352" t="s">
        <v>778</v>
      </c>
      <c r="B39" s="298" t="s">
        <v>781</v>
      </c>
      <c r="C39" s="339">
        <f>'PRESUPUESTO OBRA'!G43</f>
        <v>10793668.185000001</v>
      </c>
      <c r="D39" s="339"/>
      <c r="E39" s="426">
        <f t="shared" si="1"/>
        <v>10793668.185000001</v>
      </c>
      <c r="F39" s="340"/>
      <c r="G39" s="357"/>
      <c r="H39" s="336"/>
      <c r="I39" s="341"/>
    </row>
    <row r="40" spans="1:10" s="115" customFormat="1" ht="31.5" customHeight="1" x14ac:dyDescent="0.15">
      <c r="A40" s="352" t="s">
        <v>780</v>
      </c>
      <c r="B40" s="298" t="s">
        <v>880</v>
      </c>
      <c r="C40" s="339">
        <f>'PRESUPUESTO OBRA'!G44</f>
        <v>363618.72</v>
      </c>
      <c r="D40" s="339"/>
      <c r="E40" s="426">
        <f t="shared" si="1"/>
        <v>363618.72</v>
      </c>
      <c r="F40" s="340"/>
      <c r="G40" s="357"/>
      <c r="H40" s="336"/>
      <c r="I40" s="341"/>
    </row>
    <row r="41" spans="1:10" s="195" customFormat="1" ht="18.75" customHeight="1" x14ac:dyDescent="0.15">
      <c r="A41" s="508" t="s">
        <v>586</v>
      </c>
      <c r="B41" s="509"/>
      <c r="C41" s="342">
        <f>SUM(C22:C40)</f>
        <v>172162167.59100005</v>
      </c>
      <c r="D41" s="343">
        <f>SUM(D22:D40)</f>
        <v>6043547.6300000008</v>
      </c>
      <c r="E41" s="343">
        <f t="shared" ref="E41:G41" si="2">SUM(E22:E40)</f>
        <v>166118619.96100003</v>
      </c>
      <c r="F41" s="343">
        <f t="shared" si="2"/>
        <v>0</v>
      </c>
      <c r="G41" s="360">
        <f t="shared" si="2"/>
        <v>0</v>
      </c>
      <c r="H41" s="344"/>
      <c r="I41" s="344"/>
      <c r="J41" s="344"/>
    </row>
    <row r="42" spans="1:10" s="338" customFormat="1" ht="15.75" customHeight="1" x14ac:dyDescent="0.15">
      <c r="A42" s="359">
        <v>4</v>
      </c>
      <c r="B42" s="517" t="s">
        <v>80</v>
      </c>
      <c r="C42" s="517"/>
      <c r="D42" s="517"/>
      <c r="E42" s="517"/>
      <c r="F42" s="517"/>
      <c r="G42" s="518"/>
      <c r="H42" s="336"/>
      <c r="I42" s="337"/>
    </row>
    <row r="43" spans="1:10" s="115" customFormat="1" ht="19.5" customHeight="1" x14ac:dyDescent="0.15">
      <c r="A43" s="352" t="s">
        <v>263</v>
      </c>
      <c r="B43" s="298" t="s">
        <v>167</v>
      </c>
      <c r="C43" s="339">
        <f>'PRESUPUESTO OBRA'!G48</f>
        <v>31604965.395999998</v>
      </c>
      <c r="D43" s="339"/>
      <c r="E43" s="426">
        <f>C43</f>
        <v>31604965.395999998</v>
      </c>
      <c r="F43" s="340"/>
      <c r="G43" s="357"/>
      <c r="H43" s="336"/>
      <c r="I43" s="341"/>
    </row>
    <row r="44" spans="1:10" s="115" customFormat="1" ht="19.5" customHeight="1" x14ac:dyDescent="0.15">
      <c r="A44" s="352" t="s">
        <v>264</v>
      </c>
      <c r="B44" s="298" t="s">
        <v>728</v>
      </c>
      <c r="C44" s="339">
        <f>'PRESUPUESTO OBRA'!G49</f>
        <v>41302179.940000005</v>
      </c>
      <c r="D44" s="339"/>
      <c r="E44" s="426">
        <f>C44*0.3</f>
        <v>12390653.982000001</v>
      </c>
      <c r="F44" s="427">
        <f>C44*0.7</f>
        <v>28911525.958000001</v>
      </c>
      <c r="G44" s="357"/>
      <c r="H44" s="336"/>
      <c r="I44" s="341"/>
    </row>
    <row r="45" spans="1:10" s="115" customFormat="1" ht="19.5" customHeight="1" x14ac:dyDescent="0.15">
      <c r="A45" s="352" t="s">
        <v>265</v>
      </c>
      <c r="B45" s="298" t="s">
        <v>747</v>
      </c>
      <c r="C45" s="339">
        <f>'PRESUPUESTO OBRA'!G50</f>
        <v>4465628.16</v>
      </c>
      <c r="D45" s="339"/>
      <c r="E45" s="340"/>
      <c r="F45" s="427">
        <f>C45</f>
        <v>4465628.16</v>
      </c>
      <c r="G45" s="357"/>
      <c r="H45" s="336"/>
      <c r="I45" s="341"/>
    </row>
    <row r="46" spans="1:10" s="195" customFormat="1" ht="18.75" customHeight="1" x14ac:dyDescent="0.15">
      <c r="A46" s="508" t="s">
        <v>587</v>
      </c>
      <c r="B46" s="509"/>
      <c r="C46" s="342">
        <f>SUM(C43:C45)</f>
        <v>77372773.495999992</v>
      </c>
      <c r="D46" s="343">
        <f>SUM(D43:D45)</f>
        <v>0</v>
      </c>
      <c r="E46" s="343">
        <f>SUM(E43:E45)</f>
        <v>43995619.377999999</v>
      </c>
      <c r="F46" s="343">
        <f>SUM(F43:F45)</f>
        <v>33377154.118000001</v>
      </c>
      <c r="G46" s="360">
        <f>SUM(G43:G45)</f>
        <v>0</v>
      </c>
      <c r="H46" s="344"/>
      <c r="I46" s="344"/>
      <c r="J46" s="344"/>
    </row>
    <row r="47" spans="1:10" s="338" customFormat="1" ht="15.75" customHeight="1" x14ac:dyDescent="0.15">
      <c r="A47" s="359">
        <v>5</v>
      </c>
      <c r="B47" s="517" t="s">
        <v>9</v>
      </c>
      <c r="C47" s="517"/>
      <c r="D47" s="517"/>
      <c r="E47" s="517"/>
      <c r="F47" s="517"/>
      <c r="G47" s="518"/>
      <c r="H47" s="336"/>
      <c r="I47" s="337"/>
    </row>
    <row r="48" spans="1:10" s="115" customFormat="1" ht="18.75" customHeight="1" x14ac:dyDescent="0.15">
      <c r="A48" s="352" t="s">
        <v>230</v>
      </c>
      <c r="B48" s="298" t="s">
        <v>184</v>
      </c>
      <c r="C48" s="339">
        <f>'PRESUPUESTO OBRA'!G54</f>
        <v>17037050.603</v>
      </c>
      <c r="D48" s="339"/>
      <c r="E48" s="340"/>
      <c r="F48" s="427">
        <f>C48*0.5</f>
        <v>8518525.3015000001</v>
      </c>
      <c r="G48" s="428">
        <f>C48*0.5</f>
        <v>8518525.3015000001</v>
      </c>
      <c r="H48" s="336"/>
      <c r="I48" s="341"/>
    </row>
    <row r="49" spans="1:10" s="115" customFormat="1" ht="18.75" customHeight="1" x14ac:dyDescent="0.15">
      <c r="A49" s="352" t="s">
        <v>231</v>
      </c>
      <c r="B49" s="298" t="s">
        <v>647</v>
      </c>
      <c r="C49" s="339">
        <f>'PRESUPUESTO OBRA'!G55</f>
        <v>17044112.226999998</v>
      </c>
      <c r="D49" s="339"/>
      <c r="E49" s="340"/>
      <c r="F49" s="427">
        <f t="shared" ref="F49" si="3">C49*0.5</f>
        <v>8522056.113499999</v>
      </c>
      <c r="G49" s="428">
        <f t="shared" ref="G49" si="4">C49*0.5</f>
        <v>8522056.113499999</v>
      </c>
      <c r="H49" s="336"/>
      <c r="I49" s="341"/>
    </row>
    <row r="50" spans="1:10" s="115" customFormat="1" ht="18.75" customHeight="1" x14ac:dyDescent="0.15">
      <c r="A50" s="352" t="s">
        <v>232</v>
      </c>
      <c r="B50" s="298" t="s">
        <v>670</v>
      </c>
      <c r="C50" s="339">
        <f>'PRESUPUESTO OBRA'!G56</f>
        <v>4184216.8200000003</v>
      </c>
      <c r="D50" s="339"/>
      <c r="E50" s="340"/>
      <c r="F50" s="340"/>
      <c r="G50" s="428">
        <f>C50</f>
        <v>4184216.8200000003</v>
      </c>
      <c r="H50" s="336"/>
      <c r="I50" s="341"/>
    </row>
    <row r="51" spans="1:10" s="115" customFormat="1" ht="18.75" customHeight="1" x14ac:dyDescent="0.15">
      <c r="A51" s="352" t="s">
        <v>242</v>
      </c>
      <c r="B51" s="298" t="s">
        <v>657</v>
      </c>
      <c r="C51" s="339">
        <f>'PRESUPUESTO OBRA'!G57</f>
        <v>1116735.8999999999</v>
      </c>
      <c r="D51" s="339"/>
      <c r="E51" s="340"/>
      <c r="F51" s="340"/>
      <c r="G51" s="428">
        <f>C51</f>
        <v>1116735.8999999999</v>
      </c>
      <c r="H51" s="336"/>
      <c r="I51" s="341"/>
    </row>
    <row r="52" spans="1:10" s="115" customFormat="1" ht="18.75" customHeight="1" x14ac:dyDescent="0.15">
      <c r="A52" s="352" t="s">
        <v>548</v>
      </c>
      <c r="B52" s="298" t="s">
        <v>645</v>
      </c>
      <c r="C52" s="339">
        <f>'PRESUPUESTO OBRA'!G58</f>
        <v>20052225</v>
      </c>
      <c r="D52" s="339"/>
      <c r="E52" s="340"/>
      <c r="F52" s="340"/>
      <c r="G52" s="428">
        <f>C52</f>
        <v>20052225</v>
      </c>
      <c r="H52" s="336"/>
      <c r="I52" s="341"/>
    </row>
    <row r="53" spans="1:10" s="115" customFormat="1" ht="18.75" customHeight="1" x14ac:dyDescent="0.15">
      <c r="A53" s="352" t="s">
        <v>549</v>
      </c>
      <c r="B53" s="298" t="s">
        <v>646</v>
      </c>
      <c r="C53" s="339">
        <f>'PRESUPUESTO OBRA'!G59</f>
        <v>15145377</v>
      </c>
      <c r="D53" s="339"/>
      <c r="E53" s="340"/>
      <c r="F53" s="427">
        <f>C53</f>
        <v>15145377</v>
      </c>
      <c r="G53" s="357"/>
      <c r="H53" s="336"/>
      <c r="I53" s="341"/>
    </row>
    <row r="54" spans="1:10" s="115" customFormat="1" ht="18.75" customHeight="1" x14ac:dyDescent="0.15">
      <c r="A54" s="352" t="s">
        <v>668</v>
      </c>
      <c r="B54" s="298" t="s">
        <v>683</v>
      </c>
      <c r="C54" s="339">
        <f>'PRESUPUESTO OBRA'!G60</f>
        <v>5002307.0999999996</v>
      </c>
      <c r="D54" s="339"/>
      <c r="E54" s="340"/>
      <c r="F54" s="427">
        <f>C54</f>
        <v>5002307.0999999996</v>
      </c>
      <c r="G54" s="357"/>
      <c r="H54" s="336"/>
      <c r="I54" s="341"/>
    </row>
    <row r="55" spans="1:10" s="115" customFormat="1" ht="18.75" customHeight="1" x14ac:dyDescent="0.15">
      <c r="A55" s="352" t="s">
        <v>978</v>
      </c>
      <c r="B55" s="298" t="s">
        <v>990</v>
      </c>
      <c r="C55" s="339">
        <f>'PRESUPUESTO OBRA'!G61</f>
        <v>5131594.7142000003</v>
      </c>
      <c r="D55" s="339"/>
      <c r="E55" s="340"/>
      <c r="F55" s="340"/>
      <c r="G55" s="428">
        <f>C55</f>
        <v>5131594.7142000003</v>
      </c>
      <c r="H55" s="336"/>
      <c r="I55" s="341"/>
    </row>
    <row r="56" spans="1:10" s="115" customFormat="1" ht="18.75" customHeight="1" x14ac:dyDescent="0.15">
      <c r="A56" s="352" t="s">
        <v>797</v>
      </c>
      <c r="B56" s="298" t="s">
        <v>794</v>
      </c>
      <c r="C56" s="339">
        <f>'PRESUPUESTO OBRA'!G62</f>
        <v>1971311.16</v>
      </c>
      <c r="D56" s="339"/>
      <c r="E56" s="340"/>
      <c r="F56" s="340"/>
      <c r="G56" s="428">
        <f>C56</f>
        <v>1971311.16</v>
      </c>
      <c r="H56" s="336"/>
      <c r="I56" s="341"/>
    </row>
    <row r="57" spans="1:10" s="115" customFormat="1" ht="18.75" customHeight="1" x14ac:dyDescent="0.15">
      <c r="A57" s="352" t="s">
        <v>798</v>
      </c>
      <c r="B57" s="298" t="s">
        <v>795</v>
      </c>
      <c r="C57" s="339">
        <f>'PRESUPUESTO OBRA'!G63</f>
        <v>10114420.162</v>
      </c>
      <c r="D57" s="339"/>
      <c r="E57" s="340"/>
      <c r="F57" s="340"/>
      <c r="G57" s="428">
        <f>C57</f>
        <v>10114420.162</v>
      </c>
      <c r="H57" s="336"/>
      <c r="I57" s="341"/>
    </row>
    <row r="58" spans="1:10" s="195" customFormat="1" ht="18.75" customHeight="1" x14ac:dyDescent="0.15">
      <c r="A58" s="526" t="s">
        <v>588</v>
      </c>
      <c r="B58" s="527"/>
      <c r="C58" s="342">
        <f>SUM(C48:C57)</f>
        <v>96799350.686199993</v>
      </c>
      <c r="D58" s="343">
        <f t="shared" ref="D58:G58" si="5">SUM(D48:D57)</f>
        <v>0</v>
      </c>
      <c r="E58" s="343">
        <f t="shared" si="5"/>
        <v>0</v>
      </c>
      <c r="F58" s="343">
        <f t="shared" si="5"/>
        <v>37188265.515000001</v>
      </c>
      <c r="G58" s="360">
        <f t="shared" si="5"/>
        <v>59611085.171199992</v>
      </c>
      <c r="H58" s="344"/>
      <c r="I58" s="344"/>
      <c r="J58" s="344"/>
    </row>
    <row r="59" spans="1:10" s="338" customFormat="1" ht="15.75" customHeight="1" x14ac:dyDescent="0.15">
      <c r="A59" s="359">
        <v>6</v>
      </c>
      <c r="B59" s="517" t="s">
        <v>559</v>
      </c>
      <c r="C59" s="517"/>
      <c r="D59" s="517"/>
      <c r="E59" s="517"/>
      <c r="F59" s="517"/>
      <c r="G59" s="518"/>
      <c r="H59" s="336"/>
      <c r="I59" s="337"/>
    </row>
    <row r="60" spans="1:10" s="115" customFormat="1" ht="46.5" customHeight="1" x14ac:dyDescent="0.15">
      <c r="A60" s="352" t="s">
        <v>493</v>
      </c>
      <c r="B60" s="298" t="s">
        <v>650</v>
      </c>
      <c r="C60" s="339">
        <f>'PRESUPUESTO OBRA'!G67</f>
        <v>970142</v>
      </c>
      <c r="D60" s="339"/>
      <c r="E60" s="340"/>
      <c r="F60" s="427">
        <f>C60</f>
        <v>970142</v>
      </c>
      <c r="G60" s="357"/>
      <c r="H60" s="336"/>
      <c r="I60" s="341"/>
    </row>
    <row r="61" spans="1:10" s="115" customFormat="1" ht="21.75" customHeight="1" x14ac:dyDescent="0.15">
      <c r="A61" s="352" t="s">
        <v>494</v>
      </c>
      <c r="B61" s="298" t="s">
        <v>803</v>
      </c>
      <c r="C61" s="339">
        <f>'PRESUPUESTO OBRA'!G68</f>
        <v>668496</v>
      </c>
      <c r="D61" s="339"/>
      <c r="E61" s="340"/>
      <c r="F61" s="427">
        <f t="shared" ref="F61:F63" si="6">C61</f>
        <v>668496</v>
      </c>
      <c r="G61" s="357"/>
      <c r="H61" s="336"/>
      <c r="I61" s="341"/>
    </row>
    <row r="62" spans="1:10" s="115" customFormat="1" ht="21.75" customHeight="1" x14ac:dyDescent="0.15">
      <c r="A62" s="352" t="s">
        <v>495</v>
      </c>
      <c r="B62" s="298" t="s">
        <v>804</v>
      </c>
      <c r="C62" s="339">
        <f>'PRESUPUESTO OBRA'!G69</f>
        <v>825680</v>
      </c>
      <c r="D62" s="339"/>
      <c r="E62" s="340"/>
      <c r="F62" s="427">
        <f t="shared" si="6"/>
        <v>825680</v>
      </c>
      <c r="G62" s="357"/>
      <c r="H62" s="336"/>
      <c r="I62" s="341"/>
    </row>
    <row r="63" spans="1:10" s="115" customFormat="1" ht="21.75" customHeight="1" x14ac:dyDescent="0.15">
      <c r="A63" s="352" t="s">
        <v>566</v>
      </c>
      <c r="B63" s="298" t="s">
        <v>805</v>
      </c>
      <c r="C63" s="339">
        <f>'PRESUPUESTO OBRA'!G70</f>
        <v>1576271</v>
      </c>
      <c r="D63" s="339"/>
      <c r="E63" s="340"/>
      <c r="F63" s="427">
        <f t="shared" si="6"/>
        <v>1576271</v>
      </c>
      <c r="G63" s="357"/>
      <c r="H63" s="336"/>
      <c r="I63" s="341"/>
    </row>
    <row r="64" spans="1:10" s="338" customFormat="1" ht="15.75" customHeight="1" x14ac:dyDescent="0.15">
      <c r="A64" s="359"/>
      <c r="B64" s="517"/>
      <c r="C64" s="517"/>
      <c r="D64" s="517"/>
      <c r="E64" s="517"/>
      <c r="F64" s="517"/>
      <c r="G64" s="518"/>
      <c r="H64" s="336"/>
      <c r="I64" s="337"/>
    </row>
    <row r="65" spans="1:10" s="115" customFormat="1" ht="19.5" customHeight="1" x14ac:dyDescent="0.15">
      <c r="A65" s="352" t="s">
        <v>593</v>
      </c>
      <c r="B65" s="298" t="s">
        <v>565</v>
      </c>
      <c r="C65" s="339">
        <f>'PRESUPUESTO OBRA'!G72</f>
        <v>303191</v>
      </c>
      <c r="D65" s="339"/>
      <c r="E65" s="340"/>
      <c r="F65" s="340"/>
      <c r="G65" s="428">
        <f>C65</f>
        <v>303191</v>
      </c>
      <c r="H65" s="336"/>
      <c r="I65" s="341"/>
    </row>
    <row r="66" spans="1:10" s="195" customFormat="1" ht="18.75" customHeight="1" x14ac:dyDescent="0.15">
      <c r="A66" s="508" t="s">
        <v>594</v>
      </c>
      <c r="B66" s="509"/>
      <c r="C66" s="342">
        <f t="shared" ref="C66:G66" si="7">SUM(C60:C65)</f>
        <v>4343780</v>
      </c>
      <c r="D66" s="343">
        <f t="shared" si="7"/>
        <v>0</v>
      </c>
      <c r="E66" s="343">
        <f t="shared" si="7"/>
        <v>0</v>
      </c>
      <c r="F66" s="343">
        <f t="shared" si="7"/>
        <v>4040589</v>
      </c>
      <c r="G66" s="360">
        <f t="shared" si="7"/>
        <v>303191</v>
      </c>
      <c r="H66" s="344"/>
      <c r="I66" s="344"/>
      <c r="J66" s="344"/>
    </row>
    <row r="67" spans="1:10" s="338" customFormat="1" ht="15.75" customHeight="1" x14ac:dyDescent="0.15">
      <c r="A67" s="359">
        <v>7</v>
      </c>
      <c r="B67" s="517" t="s">
        <v>424</v>
      </c>
      <c r="C67" s="517"/>
      <c r="D67" s="517"/>
      <c r="E67" s="517"/>
      <c r="F67" s="517"/>
      <c r="G67" s="518"/>
      <c r="H67" s="336"/>
      <c r="I67" s="337"/>
    </row>
    <row r="68" spans="1:10" s="115" customFormat="1" ht="19.5" customHeight="1" x14ac:dyDescent="0.15">
      <c r="A68" s="352" t="s">
        <v>234</v>
      </c>
      <c r="B68" s="298" t="s">
        <v>649</v>
      </c>
      <c r="C68" s="339">
        <f>'PRESUPUESTO OBRA'!G76</f>
        <v>8878221</v>
      </c>
      <c r="D68" s="339"/>
      <c r="E68" s="340"/>
      <c r="F68" s="340"/>
      <c r="G68" s="428">
        <f>C68</f>
        <v>8878221</v>
      </c>
      <c r="H68" s="336"/>
      <c r="I68" s="341"/>
    </row>
    <row r="69" spans="1:10" s="115" customFormat="1" ht="19.5" customHeight="1" x14ac:dyDescent="0.15">
      <c r="A69" s="352" t="s">
        <v>235</v>
      </c>
      <c r="B69" s="298" t="s">
        <v>1002</v>
      </c>
      <c r="C69" s="339">
        <f>'PRESUPUESTO OBRA'!G77</f>
        <v>373018</v>
      </c>
      <c r="D69" s="339"/>
      <c r="E69" s="340"/>
      <c r="F69" s="340"/>
      <c r="G69" s="428">
        <f>C69</f>
        <v>373018</v>
      </c>
      <c r="H69" s="336"/>
      <c r="I69" s="341"/>
    </row>
    <row r="70" spans="1:10" s="115" customFormat="1" ht="29.25" customHeight="1" x14ac:dyDescent="0.15">
      <c r="A70" s="352" t="s">
        <v>243</v>
      </c>
      <c r="B70" s="298" t="s">
        <v>1001</v>
      </c>
      <c r="C70" s="339">
        <f>'PRESUPUESTO OBRA'!G78</f>
        <v>8676439</v>
      </c>
      <c r="D70" s="339"/>
      <c r="E70" s="426">
        <f>C70</f>
        <v>8676439</v>
      </c>
      <c r="F70" s="340"/>
      <c r="G70" s="357"/>
      <c r="H70" s="336"/>
      <c r="I70" s="341"/>
    </row>
    <row r="71" spans="1:10" s="115" customFormat="1" ht="19.5" customHeight="1" x14ac:dyDescent="0.15">
      <c r="A71" s="352" t="s">
        <v>1014</v>
      </c>
      <c r="B71" s="298" t="s">
        <v>827</v>
      </c>
      <c r="C71" s="339">
        <f>'PRESUPUESTO OBRA'!G79</f>
        <v>660920</v>
      </c>
      <c r="D71" s="339"/>
      <c r="E71" s="340"/>
      <c r="F71" s="427">
        <f>C71</f>
        <v>660920</v>
      </c>
      <c r="G71" s="357"/>
      <c r="H71" s="336"/>
      <c r="I71" s="341"/>
    </row>
    <row r="72" spans="1:10" s="115" customFormat="1" ht="19.5" customHeight="1" x14ac:dyDescent="0.15">
      <c r="A72" s="352" t="s">
        <v>820</v>
      </c>
      <c r="B72" s="298" t="s">
        <v>828</v>
      </c>
      <c r="C72" s="339">
        <f>'PRESUPUESTO OBRA'!G80</f>
        <v>927117</v>
      </c>
      <c r="D72" s="339"/>
      <c r="E72" s="340"/>
      <c r="F72" s="427">
        <f t="shared" ref="F72:F78" si="8">C72</f>
        <v>927117</v>
      </c>
      <c r="G72" s="357"/>
      <c r="H72" s="336"/>
      <c r="I72" s="341"/>
    </row>
    <row r="73" spans="1:10" s="115" customFormat="1" ht="19.5" customHeight="1" x14ac:dyDescent="0.15">
      <c r="A73" s="352" t="s">
        <v>821</v>
      </c>
      <c r="B73" s="298" t="s">
        <v>829</v>
      </c>
      <c r="C73" s="339">
        <f>'PRESUPUESTO OBRA'!G81</f>
        <v>1293741</v>
      </c>
      <c r="D73" s="339"/>
      <c r="E73" s="340"/>
      <c r="F73" s="427">
        <f t="shared" si="8"/>
        <v>1293741</v>
      </c>
      <c r="G73" s="357"/>
      <c r="H73" s="336"/>
      <c r="I73" s="341"/>
    </row>
    <row r="74" spans="1:10" s="115" customFormat="1" ht="19.5" customHeight="1" x14ac:dyDescent="0.15">
      <c r="A74" s="352" t="s">
        <v>822</v>
      </c>
      <c r="B74" s="298" t="s">
        <v>413</v>
      </c>
      <c r="C74" s="339">
        <f>'PRESUPUESTO OBRA'!G82</f>
        <v>574996</v>
      </c>
      <c r="D74" s="339"/>
      <c r="E74" s="340"/>
      <c r="F74" s="427">
        <f t="shared" si="8"/>
        <v>574996</v>
      </c>
      <c r="G74" s="357"/>
      <c r="H74" s="336"/>
      <c r="I74" s="341"/>
    </row>
    <row r="75" spans="1:10" s="115" customFormat="1" ht="19.5" customHeight="1" x14ac:dyDescent="0.15">
      <c r="A75" s="352" t="s">
        <v>823</v>
      </c>
      <c r="B75" s="298" t="s">
        <v>830</v>
      </c>
      <c r="C75" s="339">
        <f>'PRESUPUESTO OBRA'!G83</f>
        <v>487605</v>
      </c>
      <c r="D75" s="339"/>
      <c r="E75" s="340"/>
      <c r="F75" s="427">
        <f t="shared" si="8"/>
        <v>487605</v>
      </c>
      <c r="G75" s="357"/>
      <c r="H75" s="336"/>
      <c r="I75" s="341"/>
    </row>
    <row r="76" spans="1:10" s="115" customFormat="1" ht="19.5" customHeight="1" x14ac:dyDescent="0.15">
      <c r="A76" s="352" t="s">
        <v>824</v>
      </c>
      <c r="B76" s="298" t="s">
        <v>831</v>
      </c>
      <c r="C76" s="339">
        <f>'PRESUPUESTO OBRA'!G84</f>
        <v>362700</v>
      </c>
      <c r="D76" s="339"/>
      <c r="E76" s="340"/>
      <c r="F76" s="427">
        <f t="shared" si="8"/>
        <v>362700</v>
      </c>
      <c r="G76" s="357"/>
      <c r="H76" s="336"/>
      <c r="I76" s="341"/>
    </row>
    <row r="77" spans="1:10" s="115" customFormat="1" ht="31.5" customHeight="1" x14ac:dyDescent="0.15">
      <c r="A77" s="352" t="s">
        <v>825</v>
      </c>
      <c r="B77" s="298" t="s">
        <v>832</v>
      </c>
      <c r="C77" s="339">
        <f>'PRESUPUESTO OBRA'!G85</f>
        <v>877689</v>
      </c>
      <c r="D77" s="339"/>
      <c r="E77" s="340"/>
      <c r="F77" s="427">
        <f t="shared" si="8"/>
        <v>877689</v>
      </c>
      <c r="G77" s="357"/>
      <c r="H77" s="336"/>
      <c r="I77" s="341"/>
    </row>
    <row r="78" spans="1:10" s="115" customFormat="1" ht="19.5" customHeight="1" x14ac:dyDescent="0.15">
      <c r="A78" s="352" t="s">
        <v>826</v>
      </c>
      <c r="B78" s="298" t="s">
        <v>833</v>
      </c>
      <c r="C78" s="339">
        <f>'PRESUPUESTO OBRA'!G86</f>
        <v>6112012.5</v>
      </c>
      <c r="D78" s="339"/>
      <c r="E78" s="340"/>
      <c r="F78" s="427">
        <f t="shared" si="8"/>
        <v>6112012.5</v>
      </c>
      <c r="G78" s="357"/>
      <c r="H78" s="336"/>
      <c r="I78" s="341"/>
    </row>
    <row r="79" spans="1:10" s="115" customFormat="1" ht="19.5" customHeight="1" x14ac:dyDescent="0.15">
      <c r="A79" s="352" t="s">
        <v>836</v>
      </c>
      <c r="B79" s="298" t="s">
        <v>1015</v>
      </c>
      <c r="C79" s="339">
        <f>'PRESUPUESTO OBRA'!G87</f>
        <v>278518</v>
      </c>
      <c r="D79" s="339"/>
      <c r="E79" s="340"/>
      <c r="F79" s="340"/>
      <c r="G79" s="428">
        <f>C79</f>
        <v>278518</v>
      </c>
      <c r="H79" s="336"/>
      <c r="I79" s="341"/>
    </row>
    <row r="80" spans="1:10" s="115" customFormat="1" ht="27.75" customHeight="1" x14ac:dyDescent="0.15">
      <c r="A80" s="352" t="s">
        <v>842</v>
      </c>
      <c r="B80" s="298" t="s">
        <v>840</v>
      </c>
      <c r="C80" s="339">
        <f>'PRESUPUESTO OBRA'!G88</f>
        <v>3042912</v>
      </c>
      <c r="D80" s="339"/>
      <c r="E80" s="340"/>
      <c r="F80" s="427">
        <f>C80</f>
        <v>3042912</v>
      </c>
      <c r="G80" s="357"/>
      <c r="H80" s="336"/>
      <c r="I80" s="341"/>
    </row>
    <row r="81" spans="1:10" s="195" customFormat="1" ht="18.75" customHeight="1" x14ac:dyDescent="0.15">
      <c r="A81" s="508" t="s">
        <v>595</v>
      </c>
      <c r="B81" s="509"/>
      <c r="C81" s="342">
        <f t="shared" ref="C81:G81" si="9">SUM(C68:C80)</f>
        <v>32545888.5</v>
      </c>
      <c r="D81" s="343">
        <f t="shared" si="9"/>
        <v>0</v>
      </c>
      <c r="E81" s="343">
        <f t="shared" si="9"/>
        <v>8676439</v>
      </c>
      <c r="F81" s="343">
        <f t="shared" si="9"/>
        <v>14339692.5</v>
      </c>
      <c r="G81" s="360">
        <f t="shared" si="9"/>
        <v>9529757</v>
      </c>
      <c r="H81" s="344"/>
      <c r="I81" s="344"/>
      <c r="J81" s="344"/>
    </row>
    <row r="82" spans="1:10" s="338" customFormat="1" ht="15.75" customHeight="1" x14ac:dyDescent="0.15">
      <c r="A82" s="359">
        <v>8</v>
      </c>
      <c r="B82" s="517" t="s">
        <v>425</v>
      </c>
      <c r="C82" s="517"/>
      <c r="D82" s="517"/>
      <c r="E82" s="517"/>
      <c r="F82" s="517"/>
      <c r="G82" s="518"/>
      <c r="H82" s="336"/>
      <c r="I82" s="337"/>
    </row>
    <row r="83" spans="1:10" s="115" customFormat="1" ht="22.5" customHeight="1" x14ac:dyDescent="0.15">
      <c r="A83" s="352" t="s">
        <v>236</v>
      </c>
      <c r="B83" s="298" t="s">
        <v>655</v>
      </c>
      <c r="C83" s="339">
        <f>'PRESUPUESTO OBRA'!G92</f>
        <v>1063574</v>
      </c>
      <c r="D83" s="339"/>
      <c r="E83" s="340"/>
      <c r="F83" s="427">
        <f>C83</f>
        <v>1063574</v>
      </c>
      <c r="G83" s="357"/>
      <c r="H83" s="336"/>
      <c r="I83" s="341"/>
    </row>
    <row r="84" spans="1:10" s="115" customFormat="1" ht="22.5" customHeight="1" x14ac:dyDescent="0.15">
      <c r="A84" s="352" t="s">
        <v>237</v>
      </c>
      <c r="B84" s="298" t="s">
        <v>652</v>
      </c>
      <c r="C84" s="339">
        <f>'PRESUPUESTO OBRA'!G93</f>
        <v>763802</v>
      </c>
      <c r="D84" s="339"/>
      <c r="E84" s="340"/>
      <c r="F84" s="340"/>
      <c r="G84" s="428">
        <f>C84</f>
        <v>763802</v>
      </c>
      <c r="H84" s="336"/>
      <c r="I84" s="341"/>
    </row>
    <row r="85" spans="1:10" s="115" customFormat="1" ht="22.5" customHeight="1" x14ac:dyDescent="0.15">
      <c r="A85" s="352" t="s">
        <v>238</v>
      </c>
      <c r="B85" s="298" t="s">
        <v>653</v>
      </c>
      <c r="C85" s="339">
        <f>'PRESUPUESTO OBRA'!G94</f>
        <v>287098</v>
      </c>
      <c r="D85" s="339"/>
      <c r="E85" s="340"/>
      <c r="F85" s="340"/>
      <c r="G85" s="428">
        <f t="shared" ref="G85:G87" si="10">C85</f>
        <v>287098</v>
      </c>
      <c r="H85" s="336"/>
      <c r="I85" s="341"/>
    </row>
    <row r="86" spans="1:10" s="115" customFormat="1" ht="33" customHeight="1" x14ac:dyDescent="0.15">
      <c r="A86" s="352" t="s">
        <v>239</v>
      </c>
      <c r="B86" s="298" t="s">
        <v>654</v>
      </c>
      <c r="C86" s="339">
        <f>'PRESUPUESTO OBRA'!G95</f>
        <v>1774890</v>
      </c>
      <c r="D86" s="339"/>
      <c r="E86" s="340"/>
      <c r="F86" s="340"/>
      <c r="G86" s="428">
        <f t="shared" si="10"/>
        <v>1774890</v>
      </c>
      <c r="H86" s="336"/>
      <c r="I86" s="341"/>
    </row>
    <row r="87" spans="1:10" s="115" customFormat="1" ht="22.5" customHeight="1" x14ac:dyDescent="0.15">
      <c r="A87" s="352" t="s">
        <v>255</v>
      </c>
      <c r="B87" s="298" t="s">
        <v>651</v>
      </c>
      <c r="C87" s="339">
        <f>'PRESUPUESTO OBRA'!G96</f>
        <v>2318885</v>
      </c>
      <c r="D87" s="339"/>
      <c r="E87" s="340"/>
      <c r="F87" s="340"/>
      <c r="G87" s="428">
        <f t="shared" si="10"/>
        <v>2318885</v>
      </c>
      <c r="H87" s="336"/>
      <c r="I87" s="341"/>
    </row>
    <row r="88" spans="1:10" s="115" customFormat="1" ht="22.5" customHeight="1" x14ac:dyDescent="0.15">
      <c r="A88" s="352" t="s">
        <v>256</v>
      </c>
      <c r="B88" s="298" t="s">
        <v>843</v>
      </c>
      <c r="C88" s="339">
        <f>'PRESUPUESTO OBRA'!G97</f>
        <v>13889928</v>
      </c>
      <c r="D88" s="339"/>
      <c r="E88" s="340"/>
      <c r="F88" s="427">
        <f>C88</f>
        <v>13889928</v>
      </c>
      <c r="G88" s="357"/>
      <c r="H88" s="336"/>
      <c r="I88" s="341"/>
    </row>
    <row r="89" spans="1:10" s="115" customFormat="1" ht="22.5" customHeight="1" x14ac:dyDescent="0.15">
      <c r="A89" s="352" t="s">
        <v>257</v>
      </c>
      <c r="B89" s="298" t="s">
        <v>411</v>
      </c>
      <c r="C89" s="339">
        <f>'PRESUPUESTO OBRA'!G98</f>
        <v>4462207</v>
      </c>
      <c r="D89" s="339"/>
      <c r="E89" s="340"/>
      <c r="F89" s="427">
        <f>C89</f>
        <v>4462207</v>
      </c>
      <c r="G89" s="357"/>
      <c r="H89" s="336"/>
      <c r="I89" s="341"/>
    </row>
    <row r="90" spans="1:10" s="115" customFormat="1" ht="22.5" customHeight="1" x14ac:dyDescent="0.15">
      <c r="A90" s="352" t="s">
        <v>258</v>
      </c>
      <c r="B90" s="298" t="s">
        <v>844</v>
      </c>
      <c r="C90" s="339">
        <f>'PRESUPUESTO OBRA'!G99</f>
        <v>270721</v>
      </c>
      <c r="D90" s="339"/>
      <c r="E90" s="340"/>
      <c r="F90" s="340"/>
      <c r="G90" s="428">
        <f t="shared" ref="G90:G93" si="11">C90</f>
        <v>270721</v>
      </c>
      <c r="H90" s="336"/>
      <c r="I90" s="341"/>
    </row>
    <row r="91" spans="1:10" s="115" customFormat="1" ht="22.5" customHeight="1" x14ac:dyDescent="0.15">
      <c r="A91" s="352" t="s">
        <v>259</v>
      </c>
      <c r="B91" s="298" t="s">
        <v>412</v>
      </c>
      <c r="C91" s="339">
        <f>'PRESUPUESTO OBRA'!G100</f>
        <v>404808</v>
      </c>
      <c r="D91" s="339"/>
      <c r="E91" s="340"/>
      <c r="F91" s="340"/>
      <c r="G91" s="428">
        <f t="shared" si="11"/>
        <v>404808</v>
      </c>
      <c r="H91" s="336"/>
      <c r="I91" s="341"/>
    </row>
    <row r="92" spans="1:10" s="115" customFormat="1" ht="22.5" customHeight="1" x14ac:dyDescent="0.15">
      <c r="A92" s="352" t="s">
        <v>260</v>
      </c>
      <c r="B92" s="298" t="s">
        <v>845</v>
      </c>
      <c r="C92" s="339">
        <f>'PRESUPUESTO OBRA'!G101</f>
        <v>194728</v>
      </c>
      <c r="D92" s="339"/>
      <c r="E92" s="340"/>
      <c r="F92" s="340"/>
      <c r="G92" s="428">
        <f t="shared" si="11"/>
        <v>194728</v>
      </c>
      <c r="H92" s="336"/>
      <c r="I92" s="341"/>
    </row>
    <row r="93" spans="1:10" s="115" customFormat="1" ht="22.5" customHeight="1" x14ac:dyDescent="0.15">
      <c r="A93" s="352" t="s">
        <v>261</v>
      </c>
      <c r="B93" s="298" t="s">
        <v>846</v>
      </c>
      <c r="C93" s="339">
        <f>'PRESUPUESTO OBRA'!G102</f>
        <v>19850558</v>
      </c>
      <c r="D93" s="339"/>
      <c r="E93" s="340"/>
      <c r="F93" s="340"/>
      <c r="G93" s="428">
        <f t="shared" si="11"/>
        <v>19850558</v>
      </c>
      <c r="H93" s="336"/>
      <c r="I93" s="341"/>
    </row>
    <row r="94" spans="1:10" s="115" customFormat="1" ht="22.5" customHeight="1" x14ac:dyDescent="0.15">
      <c r="A94" s="352" t="s">
        <v>497</v>
      </c>
      <c r="B94" s="298" t="s">
        <v>847</v>
      </c>
      <c r="C94" s="339">
        <f>'PRESUPUESTO OBRA'!G103</f>
        <v>1014304</v>
      </c>
      <c r="D94" s="339"/>
      <c r="E94" s="340"/>
      <c r="F94" s="427">
        <f>C94</f>
        <v>1014304</v>
      </c>
      <c r="G94" s="357"/>
      <c r="H94" s="336"/>
      <c r="I94" s="341"/>
    </row>
    <row r="95" spans="1:10" s="195" customFormat="1" ht="18.75" customHeight="1" x14ac:dyDescent="0.15">
      <c r="A95" s="508" t="s">
        <v>596</v>
      </c>
      <c r="B95" s="509"/>
      <c r="C95" s="342">
        <f>SUM(C83:C94)</f>
        <v>46295503</v>
      </c>
      <c r="D95" s="343">
        <f>SUM(D83:D94)</f>
        <v>0</v>
      </c>
      <c r="E95" s="343">
        <f>SUM(E83:E94)</f>
        <v>0</v>
      </c>
      <c r="F95" s="343">
        <f>SUM(F83:F94)</f>
        <v>20430013</v>
      </c>
      <c r="G95" s="360">
        <f>SUM(G83:G94)</f>
        <v>25865490</v>
      </c>
      <c r="H95" s="344"/>
      <c r="I95" s="344"/>
      <c r="J95" s="344"/>
    </row>
    <row r="96" spans="1:10" s="338" customFormat="1" ht="15.75" customHeight="1" x14ac:dyDescent="0.15">
      <c r="A96" s="359">
        <v>9</v>
      </c>
      <c r="B96" s="517" t="s">
        <v>107</v>
      </c>
      <c r="C96" s="517"/>
      <c r="D96" s="517"/>
      <c r="E96" s="517"/>
      <c r="F96" s="517"/>
      <c r="G96" s="518"/>
      <c r="H96" s="336"/>
      <c r="I96" s="337"/>
    </row>
    <row r="97" spans="1:10" s="115" customFormat="1" ht="22.5" customHeight="1" x14ac:dyDescent="0.15">
      <c r="A97" s="352" t="s">
        <v>247</v>
      </c>
      <c r="B97" s="298" t="s">
        <v>656</v>
      </c>
      <c r="C97" s="339">
        <f>'PRESUPUESTO OBRA'!G107</f>
        <v>25275576.299999997</v>
      </c>
      <c r="D97" s="339"/>
      <c r="E97" s="340"/>
      <c r="F97" s="427">
        <f>C97</f>
        <v>25275576.299999997</v>
      </c>
      <c r="G97" s="357"/>
      <c r="H97" s="336"/>
      <c r="I97" s="341"/>
    </row>
    <row r="98" spans="1:10" s="115" customFormat="1" ht="22.5" customHeight="1" x14ac:dyDescent="0.15">
      <c r="A98" s="352" t="s">
        <v>248</v>
      </c>
      <c r="B98" s="298" t="s">
        <v>865</v>
      </c>
      <c r="C98" s="339">
        <f>'PRESUPUESTO OBRA'!G108</f>
        <v>3241054.1350000002</v>
      </c>
      <c r="D98" s="339"/>
      <c r="E98" s="340"/>
      <c r="F98" s="427">
        <f t="shared" ref="F98:F99" si="12">C98</f>
        <v>3241054.1350000002</v>
      </c>
      <c r="G98" s="357"/>
      <c r="H98" s="336"/>
      <c r="I98" s="341"/>
    </row>
    <row r="99" spans="1:10" s="115" customFormat="1" ht="33" customHeight="1" x14ac:dyDescent="0.15">
      <c r="A99" s="352" t="s">
        <v>249</v>
      </c>
      <c r="B99" s="298" t="s">
        <v>866</v>
      </c>
      <c r="C99" s="339">
        <f>'PRESUPUESTO OBRA'!G109</f>
        <v>5396976</v>
      </c>
      <c r="D99" s="339"/>
      <c r="E99" s="340"/>
      <c r="F99" s="427">
        <f t="shared" si="12"/>
        <v>5396976</v>
      </c>
      <c r="G99" s="357"/>
      <c r="H99" s="336"/>
      <c r="I99" s="341"/>
    </row>
    <row r="100" spans="1:10" s="195" customFormat="1" ht="18.75" customHeight="1" x14ac:dyDescent="0.15">
      <c r="A100" s="508" t="s">
        <v>597</v>
      </c>
      <c r="B100" s="509"/>
      <c r="C100" s="342">
        <f>SUM(C97:C99)</f>
        <v>33913606.435000002</v>
      </c>
      <c r="D100" s="343">
        <f>SUM(D97:D99)</f>
        <v>0</v>
      </c>
      <c r="E100" s="343">
        <f>SUM(E97:E99)</f>
        <v>0</v>
      </c>
      <c r="F100" s="343">
        <f>SUM(F97:F99)</f>
        <v>33913606.435000002</v>
      </c>
      <c r="G100" s="360">
        <f>SUM(G97:G99)</f>
        <v>0</v>
      </c>
      <c r="H100" s="344"/>
      <c r="I100" s="344"/>
      <c r="J100" s="344"/>
    </row>
    <row r="101" spans="1:10" s="338" customFormat="1" ht="15.75" customHeight="1" x14ac:dyDescent="0.15">
      <c r="A101" s="359">
        <v>10</v>
      </c>
      <c r="B101" s="517" t="s">
        <v>233</v>
      </c>
      <c r="C101" s="517"/>
      <c r="D101" s="517"/>
      <c r="E101" s="517"/>
      <c r="F101" s="517"/>
      <c r="G101" s="518"/>
      <c r="H101" s="336"/>
      <c r="I101" s="337"/>
    </row>
    <row r="102" spans="1:10" s="115" customFormat="1" ht="23.25" customHeight="1" x14ac:dyDescent="0.15">
      <c r="A102" s="352" t="s">
        <v>250</v>
      </c>
      <c r="B102" s="298" t="s">
        <v>1051</v>
      </c>
      <c r="C102" s="339">
        <f>'PRESUPUESTO OBRA'!G113</f>
        <v>3621411</v>
      </c>
      <c r="D102" s="339"/>
      <c r="E102" s="340"/>
      <c r="F102" s="340"/>
      <c r="G102" s="428">
        <f>C102</f>
        <v>3621411</v>
      </c>
      <c r="H102" s="336"/>
      <c r="I102" s="341"/>
    </row>
    <row r="103" spans="1:10" s="115" customFormat="1" ht="23.25" customHeight="1" x14ac:dyDescent="0.15">
      <c r="A103" s="352" t="s">
        <v>533</v>
      </c>
      <c r="B103" s="298" t="s">
        <v>648</v>
      </c>
      <c r="C103" s="339">
        <f>'PRESUPUESTO OBRA'!G114</f>
        <v>14397639.300000001</v>
      </c>
      <c r="D103" s="339"/>
      <c r="E103" s="340"/>
      <c r="F103" s="340"/>
      <c r="G103" s="428">
        <f>C103</f>
        <v>14397639.300000001</v>
      </c>
      <c r="H103" s="336"/>
      <c r="I103" s="341"/>
    </row>
    <row r="104" spans="1:10" s="115" customFormat="1" ht="23.25" customHeight="1" x14ac:dyDescent="0.15">
      <c r="A104" s="352" t="s">
        <v>570</v>
      </c>
      <c r="B104" s="298" t="s">
        <v>769</v>
      </c>
      <c r="C104" s="339">
        <f>'PRESUPUESTO OBRA'!G115</f>
        <v>11129617.800000001</v>
      </c>
      <c r="D104" s="339"/>
      <c r="E104" s="340"/>
      <c r="F104" s="340"/>
      <c r="G104" s="428">
        <f>C104</f>
        <v>11129617.800000001</v>
      </c>
      <c r="H104" s="336"/>
      <c r="I104" s="341"/>
    </row>
    <row r="105" spans="1:10" s="115" customFormat="1" ht="23.25" customHeight="1" x14ac:dyDescent="0.15">
      <c r="A105" s="352" t="s">
        <v>571</v>
      </c>
      <c r="B105" s="298" t="s">
        <v>1058</v>
      </c>
      <c r="C105" s="339">
        <f>'PRESUPUESTO OBRA'!G116</f>
        <v>1178985.5999999999</v>
      </c>
      <c r="D105" s="339"/>
      <c r="E105" s="340"/>
      <c r="F105" s="340"/>
      <c r="G105" s="428">
        <f>C105</f>
        <v>1178985.5999999999</v>
      </c>
      <c r="H105" s="336"/>
      <c r="I105" s="341"/>
    </row>
    <row r="106" spans="1:10" s="115" customFormat="1" ht="23.25" customHeight="1" x14ac:dyDescent="0.15">
      <c r="A106" s="352" t="s">
        <v>574</v>
      </c>
      <c r="B106" s="298" t="s">
        <v>867</v>
      </c>
      <c r="C106" s="339">
        <f>'PRESUPUESTO OBRA'!G117</f>
        <v>1752103</v>
      </c>
      <c r="D106" s="339"/>
      <c r="E106" s="340"/>
      <c r="F106" s="427">
        <f>C106</f>
        <v>1752103</v>
      </c>
      <c r="G106" s="357"/>
      <c r="H106" s="336"/>
      <c r="I106" s="341"/>
    </row>
    <row r="107" spans="1:10" s="195" customFormat="1" ht="18.75" customHeight="1" x14ac:dyDescent="0.15">
      <c r="A107" s="508" t="s">
        <v>598</v>
      </c>
      <c r="B107" s="509"/>
      <c r="C107" s="342">
        <f t="shared" ref="C107:G107" si="13">SUM(C102:C106)</f>
        <v>32079756.700000003</v>
      </c>
      <c r="D107" s="343">
        <f t="shared" si="13"/>
        <v>0</v>
      </c>
      <c r="E107" s="343">
        <f t="shared" si="13"/>
        <v>0</v>
      </c>
      <c r="F107" s="343">
        <f t="shared" si="13"/>
        <v>1752103</v>
      </c>
      <c r="G107" s="360">
        <f t="shared" si="13"/>
        <v>30327653.700000003</v>
      </c>
      <c r="H107" s="344"/>
      <c r="I107" s="344"/>
      <c r="J107" s="344"/>
    </row>
    <row r="108" spans="1:10" s="338" customFormat="1" ht="15.75" customHeight="1" x14ac:dyDescent="0.15">
      <c r="A108" s="359">
        <v>11</v>
      </c>
      <c r="B108" s="517" t="s">
        <v>443</v>
      </c>
      <c r="C108" s="517"/>
      <c r="D108" s="517"/>
      <c r="E108" s="517"/>
      <c r="F108" s="517"/>
      <c r="G108" s="518"/>
      <c r="H108" s="336"/>
      <c r="I108" s="337"/>
    </row>
    <row r="109" spans="1:10" s="115" customFormat="1" ht="22.5" customHeight="1" x14ac:dyDescent="0.15">
      <c r="A109" s="352" t="s">
        <v>535</v>
      </c>
      <c r="B109" s="298" t="s">
        <v>715</v>
      </c>
      <c r="C109" s="339">
        <f>'PRESUPUESTO OBRA'!G121</f>
        <v>2948802</v>
      </c>
      <c r="D109" s="339"/>
      <c r="E109" s="340"/>
      <c r="F109" s="340"/>
      <c r="G109" s="428">
        <f>C109</f>
        <v>2948802</v>
      </c>
      <c r="H109" s="336"/>
      <c r="I109" s="341"/>
    </row>
    <row r="110" spans="1:10" s="115" customFormat="1" ht="19.5" customHeight="1" x14ac:dyDescent="0.15">
      <c r="A110" s="352" t="s">
        <v>536</v>
      </c>
      <c r="B110" s="298" t="s">
        <v>746</v>
      </c>
      <c r="C110" s="339">
        <f>'PRESUPUESTO OBRA'!G122</f>
        <v>4295499.8975999998</v>
      </c>
      <c r="D110" s="339"/>
      <c r="E110" s="340"/>
      <c r="F110" s="340"/>
      <c r="G110" s="428">
        <f>C110</f>
        <v>4295499.8975999998</v>
      </c>
      <c r="H110" s="336"/>
      <c r="I110" s="341"/>
    </row>
    <row r="111" spans="1:10" s="195" customFormat="1" ht="18.75" customHeight="1" x14ac:dyDescent="0.15">
      <c r="A111" s="508" t="s">
        <v>599</v>
      </c>
      <c r="B111" s="509"/>
      <c r="C111" s="342">
        <f>SUM(C109:C110)</f>
        <v>7244301.8975999998</v>
      </c>
      <c r="D111" s="343">
        <f>SUM(D109:D110)</f>
        <v>0</v>
      </c>
      <c r="E111" s="343">
        <f>SUM(E109:E110)</f>
        <v>0</v>
      </c>
      <c r="F111" s="343">
        <f>SUM(F109:F110)</f>
        <v>0</v>
      </c>
      <c r="G111" s="360">
        <f>SUM(G109:G110)</f>
        <v>7244301.8975999998</v>
      </c>
      <c r="I111" s="344"/>
      <c r="J111" s="344"/>
    </row>
    <row r="112" spans="1:10" s="338" customFormat="1" ht="15.75" customHeight="1" x14ac:dyDescent="0.15">
      <c r="A112" s="359">
        <v>12</v>
      </c>
      <c r="B112" s="517" t="s">
        <v>658</v>
      </c>
      <c r="C112" s="517"/>
      <c r="D112" s="517"/>
      <c r="E112" s="517"/>
      <c r="F112" s="517"/>
      <c r="G112" s="518"/>
      <c r="H112" s="336"/>
      <c r="I112" s="337"/>
    </row>
    <row r="113" spans="1:10" s="115" customFormat="1" ht="19.5" customHeight="1" x14ac:dyDescent="0.15">
      <c r="A113" s="352" t="s">
        <v>572</v>
      </c>
      <c r="B113" s="298" t="s">
        <v>659</v>
      </c>
      <c r="C113" s="339">
        <f>'PRESUPUESTO OBRA'!G126</f>
        <v>511925.4375</v>
      </c>
      <c r="D113" s="339"/>
      <c r="E113" s="340"/>
      <c r="F113" s="340"/>
      <c r="G113" s="428">
        <f>C113</f>
        <v>511925.4375</v>
      </c>
      <c r="H113" s="336"/>
      <c r="I113" s="341"/>
    </row>
    <row r="114" spans="1:10" s="195" customFormat="1" ht="18.75" customHeight="1" x14ac:dyDescent="0.15">
      <c r="A114" s="508" t="s">
        <v>600</v>
      </c>
      <c r="B114" s="509"/>
      <c r="C114" s="342">
        <f>SUM(C113:C113)</f>
        <v>511925.4375</v>
      </c>
      <c r="D114" s="343">
        <f>SUM(D113:D113)</f>
        <v>0</v>
      </c>
      <c r="E114" s="343">
        <f>SUM(E113:E113)</f>
        <v>0</v>
      </c>
      <c r="F114" s="343">
        <f>SUM(F113:F113)</f>
        <v>0</v>
      </c>
      <c r="G114" s="360">
        <f>SUM(G113:G113)</f>
        <v>511925.4375</v>
      </c>
      <c r="I114" s="344"/>
      <c r="J114" s="344"/>
    </row>
    <row r="115" spans="1:10" s="115" customFormat="1" ht="15.75" customHeight="1" thickBot="1" x14ac:dyDescent="0.2">
      <c r="A115" s="523"/>
      <c r="B115" s="524"/>
      <c r="C115" s="524"/>
      <c r="D115" s="524"/>
      <c r="E115" s="524"/>
      <c r="F115" s="524"/>
      <c r="G115" s="525"/>
      <c r="I115" s="341"/>
    </row>
    <row r="116" spans="1:10" ht="14" thickBot="1" x14ac:dyDescent="0.2">
      <c r="A116" s="76"/>
      <c r="B116" s="76"/>
      <c r="C116" s="76"/>
      <c r="D116" s="76"/>
      <c r="E116" s="76"/>
      <c r="F116" s="76"/>
      <c r="G116" s="76"/>
    </row>
    <row r="117" spans="1:10" s="115" customFormat="1" ht="15.75" customHeight="1" x14ac:dyDescent="0.15">
      <c r="A117" s="345"/>
      <c r="B117" s="353" t="s">
        <v>334</v>
      </c>
      <c r="C117" s="354">
        <f>C114+C111+C107+C100+C95+C81+C66+C58+C46+C41+C20+C14</f>
        <v>538461538.46264005</v>
      </c>
      <c r="D117" s="354">
        <f>D114+D111+D107+D100+D95+D81+D66+D58+D46+D41+D20+D14</f>
        <v>32075561.780499998</v>
      </c>
      <c r="E117" s="354">
        <f>E114+E111+E107+E100+E95+E81+E66+E58+E46+E41+E20+E14</f>
        <v>227086060.23024002</v>
      </c>
      <c r="F117" s="354">
        <f>F114+F111+F107+F100+F95+F81+F66+F58+F46+F41+F20+F14</f>
        <v>145473967.90680003</v>
      </c>
      <c r="G117" s="355">
        <f>G114+G111+G107+G100+G95+G81+G66+G58+G46+G41+G20+G14</f>
        <v>133825948.5451</v>
      </c>
      <c r="H117" s="341"/>
      <c r="I117" s="341"/>
    </row>
    <row r="118" spans="1:10" s="115" customFormat="1" ht="14" x14ac:dyDescent="0.15">
      <c r="A118" s="345"/>
      <c r="B118" s="356" t="s">
        <v>580</v>
      </c>
      <c r="C118" s="339">
        <f>C117*0.23</f>
        <v>123846153.84640722</v>
      </c>
      <c r="D118" s="340">
        <f>C118*0.25</f>
        <v>30961538.461601805</v>
      </c>
      <c r="E118" s="340">
        <f>C118*0.25</f>
        <v>30961538.461601805</v>
      </c>
      <c r="F118" s="340">
        <f>C118*0.25</f>
        <v>30961538.461601805</v>
      </c>
      <c r="G118" s="357">
        <f>C118*0.25</f>
        <v>30961538.461601805</v>
      </c>
      <c r="H118" s="341"/>
      <c r="I118" s="341"/>
    </row>
    <row r="119" spans="1:10" s="115" customFormat="1" ht="14" x14ac:dyDescent="0.15">
      <c r="A119" s="345"/>
      <c r="B119" s="356" t="s">
        <v>581</v>
      </c>
      <c r="C119" s="339">
        <f>C117*0.04</f>
        <v>21538461.538505603</v>
      </c>
      <c r="D119" s="340">
        <f>C119*0.25</f>
        <v>5384615.3846264007</v>
      </c>
      <c r="E119" s="340">
        <f>C119*0.25</f>
        <v>5384615.3846264007</v>
      </c>
      <c r="F119" s="340">
        <f>C119*0.25</f>
        <v>5384615.3846264007</v>
      </c>
      <c r="G119" s="357">
        <f>C119*0.25</f>
        <v>5384615.3846264007</v>
      </c>
      <c r="H119" s="341"/>
      <c r="I119" s="341"/>
    </row>
    <row r="120" spans="1:10" s="115" customFormat="1" ht="14" x14ac:dyDescent="0.15">
      <c r="A120" s="345"/>
      <c r="B120" s="356" t="s">
        <v>207</v>
      </c>
      <c r="C120" s="339">
        <f>C117*0.03</f>
        <v>16153846.153879201</v>
      </c>
      <c r="D120" s="340">
        <f>C120*0.25</f>
        <v>4038461.5384698003</v>
      </c>
      <c r="E120" s="340">
        <f>C120*0.25</f>
        <v>4038461.5384698003</v>
      </c>
      <c r="F120" s="340">
        <f>C120*0.25</f>
        <v>4038461.5384698003</v>
      </c>
      <c r="G120" s="357">
        <f>C120*0.25</f>
        <v>4038461.5384698003</v>
      </c>
      <c r="H120" s="341"/>
      <c r="I120" s="341"/>
    </row>
    <row r="121" spans="1:10" s="115" customFormat="1" x14ac:dyDescent="0.15">
      <c r="A121" s="345"/>
      <c r="B121" s="510"/>
      <c r="C121" s="511"/>
      <c r="D121" s="511"/>
      <c r="E121" s="511"/>
      <c r="F121" s="511"/>
      <c r="G121" s="512"/>
      <c r="H121" s="341"/>
      <c r="I121" s="341"/>
    </row>
    <row r="122" spans="1:10" s="338" customFormat="1" ht="14" x14ac:dyDescent="0.15">
      <c r="A122" s="92"/>
      <c r="B122" s="356" t="s">
        <v>208</v>
      </c>
      <c r="C122" s="346">
        <f>C120+C119+C118+C117</f>
        <v>700000000.00143206</v>
      </c>
      <c r="D122" s="346">
        <f t="shared" ref="D122:G122" si="14">D120+D119+D118+D117</f>
        <v>72460177.165197998</v>
      </c>
      <c r="E122" s="346">
        <f t="shared" si="14"/>
        <v>267470675.61493802</v>
      </c>
      <c r="F122" s="346">
        <f t="shared" si="14"/>
        <v>185858583.29149804</v>
      </c>
      <c r="G122" s="346">
        <f t="shared" si="14"/>
        <v>174210563.92979801</v>
      </c>
      <c r="H122" s="337"/>
      <c r="I122" s="337"/>
    </row>
    <row r="123" spans="1:10" s="115" customFormat="1" x14ac:dyDescent="0.15">
      <c r="A123" s="345"/>
      <c r="B123" s="510"/>
      <c r="C123" s="511"/>
      <c r="D123" s="511"/>
      <c r="E123" s="511"/>
      <c r="F123" s="511"/>
      <c r="G123" s="512"/>
      <c r="I123" s="341"/>
    </row>
    <row r="124" spans="1:10" s="115" customFormat="1" ht="14" x14ac:dyDescent="0.15">
      <c r="A124" s="345"/>
      <c r="B124" s="356" t="s">
        <v>589</v>
      </c>
      <c r="C124" s="340">
        <f>C117*0.065</f>
        <v>35000000.000071608</v>
      </c>
      <c r="D124" s="340">
        <f>C124*0.25</f>
        <v>8750000.0000179019</v>
      </c>
      <c r="E124" s="340">
        <f>C124*0.25</f>
        <v>8750000.0000179019</v>
      </c>
      <c r="F124" s="340">
        <f>C124*0.25</f>
        <v>8750000.0000179019</v>
      </c>
      <c r="G124" s="357">
        <f>C124*0.25</f>
        <v>8750000.0000179019</v>
      </c>
      <c r="H124" s="341"/>
      <c r="I124" s="341"/>
    </row>
    <row r="125" spans="1:10" s="115" customFormat="1" x14ac:dyDescent="0.15">
      <c r="A125" s="345"/>
      <c r="B125" s="510"/>
      <c r="C125" s="511"/>
      <c r="D125" s="511"/>
      <c r="E125" s="511"/>
      <c r="F125" s="511"/>
      <c r="G125" s="512"/>
      <c r="I125" s="341"/>
    </row>
    <row r="126" spans="1:10" s="115" customFormat="1" ht="14" x14ac:dyDescent="0.15">
      <c r="A126" s="345"/>
      <c r="B126" s="356" t="s">
        <v>590</v>
      </c>
      <c r="C126" s="347">
        <f>C122+C124</f>
        <v>735000000.00150371</v>
      </c>
      <c r="D126" s="519"/>
      <c r="E126" s="519"/>
      <c r="F126" s="519"/>
      <c r="G126" s="520"/>
      <c r="I126" s="341"/>
    </row>
    <row r="127" spans="1:10" s="115" customFormat="1" x14ac:dyDescent="0.15">
      <c r="A127" s="345"/>
      <c r="B127" s="510"/>
      <c r="C127" s="511"/>
      <c r="D127" s="511"/>
      <c r="E127" s="511"/>
      <c r="F127" s="511"/>
      <c r="G127" s="512"/>
      <c r="I127" s="341"/>
    </row>
    <row r="128" spans="1:10" s="115" customFormat="1" x14ac:dyDescent="0.15">
      <c r="A128" s="345"/>
      <c r="B128" s="521" t="s">
        <v>591</v>
      </c>
      <c r="C128" s="522">
        <f>SUM(C117+C118+C120+C119+C124)</f>
        <v>735000000.00150359</v>
      </c>
      <c r="D128" s="348">
        <f>D124+D122</f>
        <v>81210177.165215895</v>
      </c>
      <c r="E128" s="348">
        <f t="shared" ref="E128:G128" si="15">SUM(E117+E118+E120+E119+E124)</f>
        <v>276220675.6149559</v>
      </c>
      <c r="F128" s="348">
        <f t="shared" si="15"/>
        <v>194608583.29151592</v>
      </c>
      <c r="G128" s="348">
        <f t="shared" si="15"/>
        <v>182960563.92981589</v>
      </c>
      <c r="I128" s="341"/>
    </row>
    <row r="129" spans="1:8" s="115" customFormat="1" x14ac:dyDescent="0.15">
      <c r="A129" s="345"/>
      <c r="B129" s="510"/>
      <c r="C129" s="511"/>
      <c r="D129" s="511"/>
      <c r="E129" s="511"/>
      <c r="F129" s="511"/>
      <c r="G129" s="512"/>
    </row>
    <row r="130" spans="1:8" s="351" customFormat="1" ht="17" thickBot="1" x14ac:dyDescent="0.2">
      <c r="A130" s="349"/>
      <c r="B130" s="513" t="s">
        <v>592</v>
      </c>
      <c r="C130" s="514"/>
      <c r="D130" s="514"/>
      <c r="E130" s="514"/>
      <c r="F130" s="515">
        <f>SUM(D128:G128)</f>
        <v>735000000.00150359</v>
      </c>
      <c r="G130" s="516"/>
      <c r="H130" s="350"/>
    </row>
    <row r="134" spans="1:8" x14ac:dyDescent="0.15">
      <c r="C134" s="231"/>
      <c r="F134" s="14"/>
      <c r="G134" s="14"/>
    </row>
    <row r="135" spans="1:8" x14ac:dyDescent="0.15">
      <c r="F135" s="105"/>
    </row>
    <row r="136" spans="1:8" x14ac:dyDescent="0.15">
      <c r="C136" s="105"/>
      <c r="F136" s="177"/>
      <c r="G136" s="177"/>
    </row>
    <row r="137" spans="1:8" ht="14" x14ac:dyDescent="0.15">
      <c r="B137" s="101" t="s">
        <v>534</v>
      </c>
      <c r="C137" s="101"/>
      <c r="D137" s="101"/>
      <c r="F137" s="105"/>
    </row>
    <row r="138" spans="1:8" ht="14" x14ac:dyDescent="0.15">
      <c r="B138" s="83" t="s">
        <v>448</v>
      </c>
      <c r="C138" s="83"/>
      <c r="D138" s="83"/>
    </row>
    <row r="139" spans="1:8" ht="14" x14ac:dyDescent="0.15">
      <c r="B139" s="101"/>
      <c r="C139" s="83"/>
      <c r="D139" s="83"/>
      <c r="F139" s="105"/>
    </row>
    <row r="140" spans="1:8" ht="14" x14ac:dyDescent="0.15">
      <c r="B140" s="83"/>
      <c r="C140" s="40"/>
      <c r="D140" s="40"/>
      <c r="E140" s="40"/>
      <c r="F140" s="40"/>
      <c r="G140" s="40"/>
    </row>
    <row r="141" spans="1:8" ht="14" x14ac:dyDescent="0.15">
      <c r="B141" s="83"/>
      <c r="C141" s="40"/>
      <c r="D141" s="40"/>
      <c r="E141" s="40"/>
      <c r="F141" s="40"/>
      <c r="G141" s="40"/>
    </row>
  </sheetData>
  <mergeCells count="41">
    <mergeCell ref="A41:B41"/>
    <mergeCell ref="A1:G1"/>
    <mergeCell ref="A2:G2"/>
    <mergeCell ref="A3:G3"/>
    <mergeCell ref="A4:G4"/>
    <mergeCell ref="A5:G5"/>
    <mergeCell ref="A7:G7"/>
    <mergeCell ref="B8:G8"/>
    <mergeCell ref="A14:B14"/>
    <mergeCell ref="B15:G15"/>
    <mergeCell ref="A20:B20"/>
    <mergeCell ref="B21:G21"/>
    <mergeCell ref="B42:G42"/>
    <mergeCell ref="A46:B46"/>
    <mergeCell ref="B112:G112"/>
    <mergeCell ref="A114:B114"/>
    <mergeCell ref="A115:G115"/>
    <mergeCell ref="B59:G59"/>
    <mergeCell ref="A66:B66"/>
    <mergeCell ref="B47:G47"/>
    <mergeCell ref="A58:B58"/>
    <mergeCell ref="B108:G108"/>
    <mergeCell ref="B64:G64"/>
    <mergeCell ref="B82:G82"/>
    <mergeCell ref="A95:B95"/>
    <mergeCell ref="B96:G96"/>
    <mergeCell ref="A100:B100"/>
    <mergeCell ref="B67:G67"/>
    <mergeCell ref="A81:B81"/>
    <mergeCell ref="B129:G129"/>
    <mergeCell ref="B130:E130"/>
    <mergeCell ref="F130:G130"/>
    <mergeCell ref="B101:G101"/>
    <mergeCell ref="A107:B107"/>
    <mergeCell ref="A111:B111"/>
    <mergeCell ref="B121:G121"/>
    <mergeCell ref="B123:G123"/>
    <mergeCell ref="B125:G125"/>
    <mergeCell ref="D126:G126"/>
    <mergeCell ref="B127:G127"/>
    <mergeCell ref="B128:C128"/>
  </mergeCells>
  <pageMargins left="0.70866141732283472" right="0.31496062992125984" top="0.74803149606299213" bottom="0.74803149606299213" header="0.31496062992125984" footer="0.31496062992125984"/>
  <pageSetup scale="75" orientation="landscape" r:id="rId1"/>
  <ignoredErrors>
    <ignoredError sqref="D128:G128" 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2" tint="-0.499984740745262"/>
  </sheetPr>
  <dimension ref="A1:T3012"/>
  <sheetViews>
    <sheetView view="pageBreakPreview" topLeftCell="A37" zoomScaleNormal="100" zoomScaleSheetLayoutView="100" workbookViewId="0">
      <selection activeCell="H50" sqref="H50"/>
    </sheetView>
  </sheetViews>
  <sheetFormatPr baseColWidth="10" defaultColWidth="15.83203125" defaultRowHeight="13" x14ac:dyDescent="0.15"/>
  <cols>
    <col min="1" max="1" width="6.83203125" style="119" customWidth="1"/>
    <col min="2" max="3" width="12.1640625" style="119" customWidth="1"/>
    <col min="4" max="6" width="10.6640625" style="119" customWidth="1"/>
    <col min="7" max="7" width="9.33203125" style="119" customWidth="1"/>
    <col min="8" max="8" width="10.6640625" style="119" customWidth="1"/>
    <col min="9" max="10" width="10.6640625" style="143" customWidth="1"/>
    <col min="11" max="11" width="12.5" style="119" customWidth="1"/>
    <col min="12" max="12" width="13.33203125" style="119" customWidth="1"/>
    <col min="13" max="17" width="10.6640625" style="119" customWidth="1"/>
    <col min="18" max="19" width="10.83203125" style="119" customWidth="1"/>
    <col min="20" max="20" width="22.5" style="119" customWidth="1"/>
    <col min="21" max="256" width="10.83203125" style="119" customWidth="1"/>
    <col min="257" max="16384" width="15.83203125" style="119"/>
  </cols>
  <sheetData>
    <row r="1" spans="1:17" customFormat="1" ht="41.25" customHeight="1" x14ac:dyDescent="0.15">
      <c r="A1" s="444" t="s">
        <v>1065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92"/>
      <c r="P1" s="492"/>
      <c r="Q1" s="492"/>
    </row>
    <row r="2" spans="1:17" customFormat="1" ht="14.25" customHeight="1" x14ac:dyDescent="0.15">
      <c r="A2" s="447" t="s">
        <v>446</v>
      </c>
      <c r="B2" s="447"/>
      <c r="C2" s="447"/>
      <c r="D2" s="447"/>
      <c r="E2" s="447"/>
      <c r="F2" s="447"/>
      <c r="G2" s="447"/>
      <c r="H2" s="447"/>
      <c r="I2" s="447"/>
      <c r="J2" s="447"/>
      <c r="K2" s="447"/>
      <c r="L2" s="447"/>
      <c r="M2" s="447"/>
      <c r="N2" s="447"/>
      <c r="O2" s="492"/>
      <c r="P2" s="492"/>
      <c r="Q2" s="492"/>
    </row>
    <row r="3" spans="1:17" customFormat="1" ht="14.25" customHeight="1" x14ac:dyDescent="0.15">
      <c r="A3" s="447" t="s">
        <v>447</v>
      </c>
      <c r="B3" s="447"/>
      <c r="C3" s="447"/>
      <c r="D3" s="447"/>
      <c r="E3" s="447"/>
      <c r="F3" s="447"/>
      <c r="G3" s="447"/>
      <c r="H3" s="447"/>
      <c r="I3" s="447"/>
      <c r="J3" s="447"/>
      <c r="K3" s="447"/>
      <c r="L3" s="447"/>
      <c r="M3" s="447"/>
      <c r="N3" s="447"/>
      <c r="O3" s="492"/>
      <c r="P3" s="492"/>
      <c r="Q3" s="492"/>
    </row>
    <row r="4" spans="1:17" customFormat="1" ht="30.75" customHeight="1" x14ac:dyDescent="0.15">
      <c r="A4" s="450" t="s">
        <v>890</v>
      </c>
      <c r="B4" s="450"/>
      <c r="C4" s="450"/>
      <c r="D4" s="450"/>
      <c r="E4" s="450"/>
      <c r="F4" s="450"/>
      <c r="G4" s="450"/>
      <c r="H4" s="450"/>
      <c r="I4" s="450"/>
      <c r="J4" s="450"/>
      <c r="K4" s="450"/>
      <c r="L4" s="450"/>
      <c r="M4" s="450"/>
      <c r="N4" s="450"/>
      <c r="O4" s="492"/>
      <c r="P4" s="492"/>
      <c r="Q4" s="492"/>
    </row>
    <row r="5" spans="1:17" customFormat="1" ht="19.5" customHeight="1" x14ac:dyDescent="0.15">
      <c r="A5" s="597" t="s">
        <v>722</v>
      </c>
      <c r="B5" s="598"/>
      <c r="C5" s="598"/>
      <c r="D5" s="598"/>
      <c r="E5" s="598"/>
      <c r="F5" s="598"/>
      <c r="G5" s="598"/>
      <c r="H5" s="598"/>
      <c r="I5" s="598"/>
      <c r="J5" s="598"/>
      <c r="K5" s="598"/>
      <c r="L5" s="598"/>
      <c r="M5" s="598"/>
      <c r="N5" s="598"/>
      <c r="O5" s="598"/>
      <c r="P5" s="598"/>
      <c r="Q5" s="599"/>
    </row>
    <row r="6" spans="1:17" x14ac:dyDescent="0.15">
      <c r="A6" s="550"/>
      <c r="B6" s="551"/>
      <c r="C6" s="551"/>
      <c r="D6" s="551"/>
      <c r="E6" s="551"/>
      <c r="F6" s="551"/>
      <c r="G6" s="551"/>
      <c r="H6" s="551"/>
      <c r="I6" s="551"/>
      <c r="J6" s="551"/>
      <c r="K6" s="551"/>
      <c r="L6" s="551"/>
      <c r="M6" s="551"/>
      <c r="N6" s="551"/>
      <c r="O6" s="551"/>
      <c r="P6" s="551"/>
      <c r="Q6" s="552"/>
    </row>
    <row r="7" spans="1:17" s="120" customFormat="1" ht="18" customHeight="1" x14ac:dyDescent="0.15">
      <c r="A7" s="396" t="s">
        <v>0</v>
      </c>
      <c r="B7" s="562" t="s">
        <v>166</v>
      </c>
      <c r="C7" s="563"/>
      <c r="D7" s="563"/>
      <c r="E7" s="563"/>
      <c r="F7" s="563"/>
      <c r="G7" s="563"/>
      <c r="H7" s="563"/>
      <c r="I7" s="563"/>
      <c r="J7" s="563"/>
      <c r="K7" s="563"/>
      <c r="L7" s="563"/>
      <c r="M7" s="563"/>
      <c r="N7" s="564"/>
      <c r="O7" s="394" t="s">
        <v>73</v>
      </c>
      <c r="P7" s="547" t="s">
        <v>5</v>
      </c>
      <c r="Q7" s="549"/>
    </row>
    <row r="8" spans="1:17" x14ac:dyDescent="0.15">
      <c r="A8" s="550"/>
      <c r="B8" s="551"/>
      <c r="C8" s="551"/>
      <c r="D8" s="551"/>
      <c r="E8" s="551"/>
      <c r="F8" s="551"/>
      <c r="G8" s="551"/>
      <c r="H8" s="551"/>
      <c r="I8" s="551"/>
      <c r="J8" s="551"/>
      <c r="K8" s="551"/>
      <c r="L8" s="551"/>
      <c r="M8" s="551"/>
      <c r="N8" s="551"/>
      <c r="O8" s="551"/>
      <c r="P8" s="551"/>
      <c r="Q8" s="552"/>
    </row>
    <row r="9" spans="1:17" s="125" customFormat="1" x14ac:dyDescent="0.15">
      <c r="A9" s="553" t="s">
        <v>150</v>
      </c>
      <c r="B9" s="540" t="s">
        <v>151</v>
      </c>
      <c r="C9" s="540"/>
      <c r="D9" s="541" t="s">
        <v>542</v>
      </c>
      <c r="E9" s="540" t="s">
        <v>152</v>
      </c>
      <c r="F9" s="540"/>
      <c r="G9" s="540"/>
      <c r="H9" s="543" t="s">
        <v>153</v>
      </c>
      <c r="I9" s="541" t="s">
        <v>159</v>
      </c>
      <c r="J9" s="543" t="s">
        <v>73</v>
      </c>
      <c r="K9" s="394" t="s">
        <v>154</v>
      </c>
      <c r="L9" s="568"/>
      <c r="M9" s="569"/>
      <c r="N9" s="569"/>
      <c r="O9" s="569"/>
      <c r="P9" s="569"/>
      <c r="Q9" s="570"/>
    </row>
    <row r="10" spans="1:17" s="129" customFormat="1" x14ac:dyDescent="0.15">
      <c r="A10" s="553"/>
      <c r="B10" s="540"/>
      <c r="C10" s="540"/>
      <c r="D10" s="542"/>
      <c r="E10" s="393" t="s">
        <v>155</v>
      </c>
      <c r="F10" s="393" t="s">
        <v>156</v>
      </c>
      <c r="G10" s="393" t="s">
        <v>157</v>
      </c>
      <c r="H10" s="544"/>
      <c r="I10" s="542"/>
      <c r="J10" s="544"/>
      <c r="K10" s="394" t="s">
        <v>158</v>
      </c>
      <c r="L10" s="571"/>
      <c r="M10" s="572"/>
      <c r="N10" s="572"/>
      <c r="O10" s="572"/>
      <c r="P10" s="572"/>
      <c r="Q10" s="573"/>
    </row>
    <row r="11" spans="1:17" ht="27.75" customHeight="1" x14ac:dyDescent="0.15">
      <c r="A11" s="130"/>
      <c r="B11" s="560" t="s">
        <v>891</v>
      </c>
      <c r="C11" s="561"/>
      <c r="D11" s="211">
        <v>0</v>
      </c>
      <c r="E11" s="397">
        <v>28.84</v>
      </c>
      <c r="F11" s="397">
        <v>21.38</v>
      </c>
      <c r="G11" s="142">
        <v>0</v>
      </c>
      <c r="H11" s="397">
        <v>1</v>
      </c>
      <c r="I11" s="397">
        <f>E11*F11</f>
        <v>616.5992</v>
      </c>
      <c r="J11" s="142" t="s">
        <v>5</v>
      </c>
      <c r="K11" s="211">
        <f>I11*H11</f>
        <v>616.5992</v>
      </c>
      <c r="L11" s="571"/>
      <c r="M11" s="572"/>
      <c r="N11" s="572"/>
      <c r="O11" s="572"/>
      <c r="P11" s="572"/>
      <c r="Q11" s="573"/>
    </row>
    <row r="12" spans="1:17" ht="22.5" customHeight="1" x14ac:dyDescent="0.15">
      <c r="A12" s="547" t="s">
        <v>149</v>
      </c>
      <c r="B12" s="548"/>
      <c r="C12" s="548"/>
      <c r="D12" s="548"/>
      <c r="E12" s="548"/>
      <c r="F12" s="548"/>
      <c r="G12" s="548"/>
      <c r="H12" s="548"/>
      <c r="I12" s="548"/>
      <c r="J12" s="549"/>
      <c r="K12" s="311">
        <f>SUM(K11)</f>
        <v>616.5992</v>
      </c>
      <c r="L12" s="574"/>
      <c r="M12" s="575"/>
      <c r="N12" s="575"/>
      <c r="O12" s="575"/>
      <c r="P12" s="575"/>
      <c r="Q12" s="576"/>
    </row>
    <row r="13" spans="1:17" x14ac:dyDescent="0.15">
      <c r="A13" s="550"/>
      <c r="B13" s="551"/>
      <c r="C13" s="551"/>
      <c r="D13" s="551"/>
      <c r="E13" s="551"/>
      <c r="F13" s="551"/>
      <c r="G13" s="551"/>
      <c r="H13" s="551"/>
      <c r="I13" s="551"/>
      <c r="J13" s="551"/>
      <c r="K13" s="551"/>
      <c r="L13" s="551"/>
      <c r="M13" s="551"/>
      <c r="N13" s="551"/>
      <c r="O13" s="551"/>
      <c r="P13" s="551"/>
      <c r="Q13" s="552"/>
    </row>
    <row r="14" spans="1:17" s="120" customFormat="1" ht="18" customHeight="1" x14ac:dyDescent="0.15">
      <c r="A14" s="396" t="s">
        <v>0</v>
      </c>
      <c r="B14" s="562" t="s">
        <v>892</v>
      </c>
      <c r="C14" s="563"/>
      <c r="D14" s="563"/>
      <c r="E14" s="563"/>
      <c r="F14" s="563"/>
      <c r="G14" s="563"/>
      <c r="H14" s="563"/>
      <c r="I14" s="563"/>
      <c r="J14" s="563"/>
      <c r="K14" s="563"/>
      <c r="L14" s="563"/>
      <c r="M14" s="563"/>
      <c r="N14" s="564"/>
      <c r="O14" s="394" t="s">
        <v>73</v>
      </c>
      <c r="P14" s="547" t="s">
        <v>5</v>
      </c>
      <c r="Q14" s="549"/>
    </row>
    <row r="15" spans="1:17" x14ac:dyDescent="0.15">
      <c r="A15" s="550"/>
      <c r="B15" s="551"/>
      <c r="C15" s="551"/>
      <c r="D15" s="551"/>
      <c r="E15" s="551"/>
      <c r="F15" s="551"/>
      <c r="G15" s="551"/>
      <c r="H15" s="551"/>
      <c r="I15" s="551"/>
      <c r="J15" s="551"/>
      <c r="K15" s="551"/>
      <c r="L15" s="551"/>
      <c r="M15" s="551"/>
      <c r="N15" s="551"/>
      <c r="O15" s="551"/>
      <c r="P15" s="551"/>
      <c r="Q15" s="552"/>
    </row>
    <row r="16" spans="1:17" s="125" customFormat="1" x14ac:dyDescent="0.15">
      <c r="A16" s="553" t="s">
        <v>150</v>
      </c>
      <c r="B16" s="540" t="s">
        <v>151</v>
      </c>
      <c r="C16" s="540"/>
      <c r="D16" s="541" t="s">
        <v>542</v>
      </c>
      <c r="E16" s="540" t="s">
        <v>152</v>
      </c>
      <c r="F16" s="540"/>
      <c r="G16" s="540"/>
      <c r="H16" s="543" t="s">
        <v>153</v>
      </c>
      <c r="I16" s="541" t="s">
        <v>159</v>
      </c>
      <c r="J16" s="543" t="s">
        <v>73</v>
      </c>
      <c r="K16" s="394" t="s">
        <v>154</v>
      </c>
      <c r="L16" s="568"/>
      <c r="M16" s="569"/>
      <c r="N16" s="569"/>
      <c r="O16" s="569"/>
      <c r="P16" s="569"/>
      <c r="Q16" s="570"/>
    </row>
    <row r="17" spans="1:17" s="129" customFormat="1" x14ac:dyDescent="0.15">
      <c r="A17" s="553"/>
      <c r="B17" s="540"/>
      <c r="C17" s="540"/>
      <c r="D17" s="542"/>
      <c r="E17" s="393" t="s">
        <v>155</v>
      </c>
      <c r="F17" s="393" t="s">
        <v>156</v>
      </c>
      <c r="G17" s="393" t="s">
        <v>157</v>
      </c>
      <c r="H17" s="544"/>
      <c r="I17" s="542"/>
      <c r="J17" s="544"/>
      <c r="K17" s="394" t="s">
        <v>158</v>
      </c>
      <c r="L17" s="571"/>
      <c r="M17" s="572"/>
      <c r="N17" s="572"/>
      <c r="O17" s="572"/>
      <c r="P17" s="572"/>
      <c r="Q17" s="573"/>
    </row>
    <row r="18" spans="1:17" ht="27.75" customHeight="1" x14ac:dyDescent="0.15">
      <c r="A18" s="130"/>
      <c r="B18" s="560" t="s">
        <v>776</v>
      </c>
      <c r="C18" s="561"/>
      <c r="D18" s="211">
        <v>450.25</v>
      </c>
      <c r="E18" s="397">
        <v>0</v>
      </c>
      <c r="F18" s="142">
        <v>0</v>
      </c>
      <c r="G18" s="142">
        <v>0</v>
      </c>
      <c r="H18" s="397">
        <v>1</v>
      </c>
      <c r="I18" s="397">
        <f>D18</f>
        <v>450.25</v>
      </c>
      <c r="J18" s="142" t="s">
        <v>5</v>
      </c>
      <c r="K18" s="211">
        <f>I18*H18</f>
        <v>450.25</v>
      </c>
      <c r="L18" s="571"/>
      <c r="M18" s="572"/>
      <c r="N18" s="572"/>
      <c r="O18" s="572"/>
      <c r="P18" s="572"/>
      <c r="Q18" s="573"/>
    </row>
    <row r="19" spans="1:17" ht="22.5" customHeight="1" x14ac:dyDescent="0.15">
      <c r="A19" s="547" t="s">
        <v>149</v>
      </c>
      <c r="B19" s="548"/>
      <c r="C19" s="548"/>
      <c r="D19" s="548"/>
      <c r="E19" s="548"/>
      <c r="F19" s="548"/>
      <c r="G19" s="548"/>
      <c r="H19" s="548"/>
      <c r="I19" s="548"/>
      <c r="J19" s="549"/>
      <c r="K19" s="311">
        <f>SUM(K18)</f>
        <v>450.25</v>
      </c>
      <c r="L19" s="574"/>
      <c r="M19" s="575"/>
      <c r="N19" s="575"/>
      <c r="O19" s="575"/>
      <c r="P19" s="575"/>
      <c r="Q19" s="576"/>
    </row>
    <row r="20" spans="1:17" x14ac:dyDescent="0.15">
      <c r="A20" s="550"/>
      <c r="B20" s="551"/>
      <c r="C20" s="551"/>
      <c r="D20" s="551"/>
      <c r="E20" s="551"/>
      <c r="F20" s="551"/>
      <c r="G20" s="551"/>
      <c r="H20" s="551"/>
      <c r="I20" s="551"/>
      <c r="J20" s="551"/>
      <c r="K20" s="551"/>
      <c r="L20" s="551"/>
      <c r="M20" s="551"/>
      <c r="N20" s="551"/>
      <c r="O20" s="551"/>
      <c r="P20" s="551"/>
      <c r="Q20" s="552"/>
    </row>
    <row r="21" spans="1:17" s="120" customFormat="1" ht="18" customHeight="1" x14ac:dyDescent="0.15">
      <c r="A21" s="396" t="s">
        <v>0</v>
      </c>
      <c r="B21" s="562" t="s">
        <v>893</v>
      </c>
      <c r="C21" s="563"/>
      <c r="D21" s="563"/>
      <c r="E21" s="563"/>
      <c r="F21" s="563"/>
      <c r="G21" s="563"/>
      <c r="H21" s="563"/>
      <c r="I21" s="563"/>
      <c r="J21" s="563"/>
      <c r="K21" s="563"/>
      <c r="L21" s="563"/>
      <c r="M21" s="563"/>
      <c r="N21" s="564"/>
      <c r="O21" s="394" t="s">
        <v>73</v>
      </c>
      <c r="P21" s="547" t="s">
        <v>5</v>
      </c>
      <c r="Q21" s="549"/>
    </row>
    <row r="22" spans="1:17" x14ac:dyDescent="0.15">
      <c r="A22" s="550"/>
      <c r="B22" s="551"/>
      <c r="C22" s="551"/>
      <c r="D22" s="551"/>
      <c r="E22" s="551"/>
      <c r="F22" s="551"/>
      <c r="G22" s="551"/>
      <c r="H22" s="551"/>
      <c r="I22" s="551"/>
      <c r="J22" s="551"/>
      <c r="K22" s="551"/>
      <c r="L22" s="551"/>
      <c r="M22" s="551"/>
      <c r="N22" s="551"/>
      <c r="O22" s="551"/>
      <c r="P22" s="551"/>
      <c r="Q22" s="552"/>
    </row>
    <row r="23" spans="1:17" s="125" customFormat="1" x14ac:dyDescent="0.15">
      <c r="A23" s="553" t="s">
        <v>150</v>
      </c>
      <c r="B23" s="540" t="s">
        <v>151</v>
      </c>
      <c r="C23" s="540"/>
      <c r="D23" s="541" t="s">
        <v>542</v>
      </c>
      <c r="E23" s="540" t="s">
        <v>152</v>
      </c>
      <c r="F23" s="540"/>
      <c r="G23" s="540"/>
      <c r="H23" s="543" t="s">
        <v>153</v>
      </c>
      <c r="I23" s="541" t="s">
        <v>159</v>
      </c>
      <c r="J23" s="543" t="s">
        <v>73</v>
      </c>
      <c r="K23" s="394" t="s">
        <v>154</v>
      </c>
      <c r="L23" s="568"/>
      <c r="M23" s="569"/>
      <c r="N23" s="569"/>
      <c r="O23" s="569"/>
      <c r="P23" s="569"/>
      <c r="Q23" s="570"/>
    </row>
    <row r="24" spans="1:17" s="129" customFormat="1" x14ac:dyDescent="0.15">
      <c r="A24" s="553"/>
      <c r="B24" s="540"/>
      <c r="C24" s="540"/>
      <c r="D24" s="542"/>
      <c r="E24" s="393" t="s">
        <v>155</v>
      </c>
      <c r="F24" s="393" t="s">
        <v>156</v>
      </c>
      <c r="G24" s="393" t="s">
        <v>157</v>
      </c>
      <c r="H24" s="544"/>
      <c r="I24" s="542"/>
      <c r="J24" s="544"/>
      <c r="K24" s="394" t="s">
        <v>158</v>
      </c>
      <c r="L24" s="571"/>
      <c r="M24" s="572"/>
      <c r="N24" s="572"/>
      <c r="O24" s="572"/>
      <c r="P24" s="572"/>
      <c r="Q24" s="573"/>
    </row>
    <row r="25" spans="1:17" ht="27.75" customHeight="1" x14ac:dyDescent="0.15">
      <c r="A25" s="130"/>
      <c r="B25" s="560" t="s">
        <v>723</v>
      </c>
      <c r="C25" s="561"/>
      <c r="D25" s="211">
        <v>0</v>
      </c>
      <c r="E25" s="397">
        <v>28.84</v>
      </c>
      <c r="F25" s="397">
        <v>21.38</v>
      </c>
      <c r="G25" s="142">
        <v>0</v>
      </c>
      <c r="H25" s="397">
        <v>1</v>
      </c>
      <c r="I25" s="397">
        <f>E25*F25</f>
        <v>616.5992</v>
      </c>
      <c r="J25" s="142" t="s">
        <v>5</v>
      </c>
      <c r="K25" s="211">
        <f>I25*H25</f>
        <v>616.5992</v>
      </c>
      <c r="L25" s="571"/>
      <c r="M25" s="572"/>
      <c r="N25" s="572"/>
      <c r="O25" s="572"/>
      <c r="P25" s="572"/>
      <c r="Q25" s="573"/>
    </row>
    <row r="26" spans="1:17" ht="22.5" customHeight="1" x14ac:dyDescent="0.15">
      <c r="A26" s="547" t="s">
        <v>149</v>
      </c>
      <c r="B26" s="548"/>
      <c r="C26" s="548"/>
      <c r="D26" s="548"/>
      <c r="E26" s="548"/>
      <c r="F26" s="548"/>
      <c r="G26" s="548"/>
      <c r="H26" s="548"/>
      <c r="I26" s="548"/>
      <c r="J26" s="549"/>
      <c r="K26" s="311">
        <f>SUM(K25)</f>
        <v>616.5992</v>
      </c>
      <c r="L26" s="574"/>
      <c r="M26" s="575"/>
      <c r="N26" s="575"/>
      <c r="O26" s="575"/>
      <c r="P26" s="575"/>
      <c r="Q26" s="576"/>
    </row>
    <row r="27" spans="1:17" x14ac:dyDescent="0.15">
      <c r="A27" s="550"/>
      <c r="B27" s="551"/>
      <c r="C27" s="551"/>
      <c r="D27" s="551"/>
      <c r="E27" s="551"/>
      <c r="F27" s="551"/>
      <c r="G27" s="551"/>
      <c r="H27" s="551"/>
      <c r="I27" s="551"/>
      <c r="J27" s="551"/>
      <c r="K27" s="551"/>
      <c r="L27" s="551"/>
      <c r="M27" s="551"/>
      <c r="N27" s="551"/>
      <c r="O27" s="551"/>
      <c r="P27" s="551"/>
      <c r="Q27" s="552"/>
    </row>
    <row r="28" spans="1:17" s="120" customFormat="1" ht="18" customHeight="1" x14ac:dyDescent="0.15">
      <c r="A28" s="396" t="s">
        <v>0</v>
      </c>
      <c r="B28" s="562" t="s">
        <v>895</v>
      </c>
      <c r="C28" s="563"/>
      <c r="D28" s="563"/>
      <c r="E28" s="563"/>
      <c r="F28" s="563"/>
      <c r="G28" s="563"/>
      <c r="H28" s="563"/>
      <c r="I28" s="563"/>
      <c r="J28" s="563"/>
      <c r="K28" s="563"/>
      <c r="L28" s="563"/>
      <c r="M28" s="563"/>
      <c r="N28" s="564"/>
      <c r="O28" s="394" t="s">
        <v>73</v>
      </c>
      <c r="P28" s="547" t="s">
        <v>6</v>
      </c>
      <c r="Q28" s="549"/>
    </row>
    <row r="29" spans="1:17" x14ac:dyDescent="0.15">
      <c r="A29" s="550"/>
      <c r="B29" s="551"/>
      <c r="C29" s="551"/>
      <c r="D29" s="551"/>
      <c r="E29" s="551"/>
      <c r="F29" s="551"/>
      <c r="G29" s="551"/>
      <c r="H29" s="551"/>
      <c r="I29" s="551"/>
      <c r="J29" s="551"/>
      <c r="K29" s="551"/>
      <c r="L29" s="551"/>
      <c r="M29" s="551"/>
      <c r="N29" s="551"/>
      <c r="O29" s="551"/>
      <c r="P29" s="551"/>
      <c r="Q29" s="552"/>
    </row>
    <row r="30" spans="1:17" s="125" customFormat="1" x14ac:dyDescent="0.15">
      <c r="A30" s="553" t="s">
        <v>150</v>
      </c>
      <c r="B30" s="540" t="s">
        <v>151</v>
      </c>
      <c r="C30" s="540"/>
      <c r="D30" s="565" t="s">
        <v>152</v>
      </c>
      <c r="E30" s="566"/>
      <c r="F30" s="566"/>
      <c r="G30" s="567"/>
      <c r="H30" s="541" t="s">
        <v>153</v>
      </c>
      <c r="I30" s="541" t="s">
        <v>160</v>
      </c>
      <c r="J30" s="558" t="s">
        <v>420</v>
      </c>
      <c r="K30" s="543" t="s">
        <v>73</v>
      </c>
      <c r="L30" s="394" t="s">
        <v>154</v>
      </c>
      <c r="M30" s="568"/>
      <c r="N30" s="569"/>
      <c r="O30" s="569"/>
      <c r="P30" s="569"/>
      <c r="Q30" s="570"/>
    </row>
    <row r="31" spans="1:17" s="129" customFormat="1" x14ac:dyDescent="0.15">
      <c r="A31" s="553"/>
      <c r="B31" s="540"/>
      <c r="C31" s="540"/>
      <c r="D31" s="393" t="s">
        <v>523</v>
      </c>
      <c r="E31" s="393" t="s">
        <v>155</v>
      </c>
      <c r="F31" s="393" t="s">
        <v>156</v>
      </c>
      <c r="G31" s="393" t="s">
        <v>157</v>
      </c>
      <c r="H31" s="542"/>
      <c r="I31" s="542"/>
      <c r="J31" s="559"/>
      <c r="K31" s="544"/>
      <c r="L31" s="394" t="s">
        <v>158</v>
      </c>
      <c r="M31" s="571"/>
      <c r="N31" s="572"/>
      <c r="O31" s="572"/>
      <c r="P31" s="572"/>
      <c r="Q31" s="573"/>
    </row>
    <row r="32" spans="1:17" ht="27" customHeight="1" x14ac:dyDescent="0.15">
      <c r="A32" s="146"/>
      <c r="B32" s="560" t="s">
        <v>723</v>
      </c>
      <c r="C32" s="561"/>
      <c r="D32" s="211">
        <v>0</v>
      </c>
      <c r="E32" s="397">
        <v>28.84</v>
      </c>
      <c r="F32" s="397">
        <v>21.38</v>
      </c>
      <c r="G32" s="141">
        <v>0.15</v>
      </c>
      <c r="H32" s="141">
        <v>1</v>
      </c>
      <c r="I32" s="141">
        <f t="shared" ref="I32" si="0">E32*F32*G32</f>
        <v>92.489879999999999</v>
      </c>
      <c r="J32" s="141">
        <v>0</v>
      </c>
      <c r="K32" s="131" t="s">
        <v>6</v>
      </c>
      <c r="L32" s="141">
        <f>I32*H32</f>
        <v>92.489879999999999</v>
      </c>
      <c r="M32" s="571"/>
      <c r="N32" s="572"/>
      <c r="O32" s="572"/>
      <c r="P32" s="572"/>
      <c r="Q32" s="573"/>
    </row>
    <row r="33" spans="1:19" ht="14" x14ac:dyDescent="0.15">
      <c r="A33" s="547" t="s">
        <v>149</v>
      </c>
      <c r="B33" s="548"/>
      <c r="C33" s="548"/>
      <c r="D33" s="548"/>
      <c r="E33" s="548"/>
      <c r="F33" s="548"/>
      <c r="G33" s="548"/>
      <c r="H33" s="548"/>
      <c r="I33" s="548"/>
      <c r="J33" s="548"/>
      <c r="K33" s="549"/>
      <c r="L33" s="311">
        <f>SUM(L32)</f>
        <v>92.489879999999999</v>
      </c>
      <c r="M33" s="574"/>
      <c r="N33" s="575"/>
      <c r="O33" s="575"/>
      <c r="P33" s="575"/>
      <c r="Q33" s="576"/>
    </row>
    <row r="34" spans="1:19" x14ac:dyDescent="0.15">
      <c r="A34" s="550"/>
      <c r="B34" s="551"/>
      <c r="C34" s="551"/>
      <c r="D34" s="551"/>
      <c r="E34" s="551"/>
      <c r="F34" s="551"/>
      <c r="G34" s="551"/>
      <c r="H34" s="551"/>
      <c r="I34" s="551"/>
      <c r="J34" s="551"/>
      <c r="K34" s="551"/>
      <c r="L34" s="551"/>
      <c r="M34" s="551"/>
      <c r="N34" s="551"/>
      <c r="O34" s="551"/>
      <c r="P34" s="551"/>
      <c r="Q34" s="552"/>
    </row>
    <row r="35" spans="1:19" s="120" customFormat="1" ht="18" customHeight="1" x14ac:dyDescent="0.15">
      <c r="A35" s="396" t="s">
        <v>0</v>
      </c>
      <c r="B35" s="562" t="s">
        <v>896</v>
      </c>
      <c r="C35" s="563"/>
      <c r="D35" s="563"/>
      <c r="E35" s="563"/>
      <c r="F35" s="563"/>
      <c r="G35" s="563"/>
      <c r="H35" s="563"/>
      <c r="I35" s="563"/>
      <c r="J35" s="563"/>
      <c r="K35" s="563"/>
      <c r="L35" s="563"/>
      <c r="M35" s="563"/>
      <c r="N35" s="564"/>
      <c r="O35" s="394" t="s">
        <v>73</v>
      </c>
      <c r="P35" s="547" t="s">
        <v>6</v>
      </c>
      <c r="Q35" s="549"/>
    </row>
    <row r="36" spans="1:19" x14ac:dyDescent="0.15">
      <c r="A36" s="550"/>
      <c r="B36" s="551"/>
      <c r="C36" s="551"/>
      <c r="D36" s="551"/>
      <c r="E36" s="551"/>
      <c r="F36" s="551"/>
      <c r="G36" s="551"/>
      <c r="H36" s="551"/>
      <c r="I36" s="551"/>
      <c r="J36" s="551"/>
      <c r="K36" s="551"/>
      <c r="L36" s="551"/>
      <c r="M36" s="551"/>
      <c r="N36" s="551"/>
      <c r="O36" s="551"/>
      <c r="P36" s="551"/>
      <c r="Q36" s="552"/>
    </row>
    <row r="37" spans="1:19" s="125" customFormat="1" x14ac:dyDescent="0.15">
      <c r="A37" s="553" t="s">
        <v>150</v>
      </c>
      <c r="B37" s="540" t="s">
        <v>151</v>
      </c>
      <c r="C37" s="540"/>
      <c r="D37" s="541" t="s">
        <v>418</v>
      </c>
      <c r="E37" s="540" t="s">
        <v>152</v>
      </c>
      <c r="F37" s="540"/>
      <c r="G37" s="540"/>
      <c r="H37" s="543" t="s">
        <v>153</v>
      </c>
      <c r="I37" s="541" t="s">
        <v>160</v>
      </c>
      <c r="J37" s="543" t="s">
        <v>73</v>
      </c>
      <c r="K37" s="394" t="s">
        <v>154</v>
      </c>
      <c r="L37" s="568"/>
      <c r="M37" s="569"/>
      <c r="N37" s="569"/>
      <c r="O37" s="569"/>
      <c r="P37" s="569"/>
      <c r="Q37" s="570"/>
    </row>
    <row r="38" spans="1:19" s="129" customFormat="1" x14ac:dyDescent="0.15">
      <c r="A38" s="553"/>
      <c r="B38" s="540"/>
      <c r="C38" s="540"/>
      <c r="D38" s="542"/>
      <c r="E38" s="565" t="s">
        <v>541</v>
      </c>
      <c r="F38" s="566"/>
      <c r="G38" s="393" t="s">
        <v>543</v>
      </c>
      <c r="H38" s="544"/>
      <c r="I38" s="542"/>
      <c r="J38" s="544"/>
      <c r="K38" s="394" t="s">
        <v>158</v>
      </c>
      <c r="L38" s="571"/>
      <c r="M38" s="572"/>
      <c r="N38" s="572"/>
      <c r="O38" s="572"/>
      <c r="P38" s="572"/>
      <c r="Q38" s="573"/>
    </row>
    <row r="39" spans="1:19" ht="19.5" customHeight="1" x14ac:dyDescent="0.15">
      <c r="A39" s="130"/>
      <c r="B39" s="560" t="s">
        <v>475</v>
      </c>
      <c r="C39" s="561"/>
      <c r="D39" s="211">
        <v>1</v>
      </c>
      <c r="E39" s="596">
        <f>K26</f>
        <v>616.5992</v>
      </c>
      <c r="F39" s="596"/>
      <c r="G39" s="211">
        <v>0.1</v>
      </c>
      <c r="H39" s="397">
        <v>1</v>
      </c>
      <c r="I39" s="397">
        <f>E39*G39</f>
        <v>61.65992</v>
      </c>
      <c r="J39" s="142" t="s">
        <v>6</v>
      </c>
      <c r="K39" s="211">
        <f>I39*D39</f>
        <v>61.65992</v>
      </c>
      <c r="L39" s="571"/>
      <c r="M39" s="572"/>
      <c r="N39" s="572"/>
      <c r="O39" s="572"/>
      <c r="P39" s="572"/>
      <c r="Q39" s="573"/>
      <c r="R39" s="212"/>
    </row>
    <row r="40" spans="1:19" ht="19.5" customHeight="1" x14ac:dyDescent="0.15">
      <c r="A40" s="130"/>
      <c r="B40" s="560" t="s">
        <v>894</v>
      </c>
      <c r="C40" s="561"/>
      <c r="D40" s="211">
        <v>1</v>
      </c>
      <c r="E40" s="596">
        <f>K19</f>
        <v>450.25</v>
      </c>
      <c r="F40" s="596"/>
      <c r="G40" s="211">
        <v>0.13</v>
      </c>
      <c r="H40" s="397">
        <v>1</v>
      </c>
      <c r="I40" s="397">
        <f>E40*G40</f>
        <v>58.532499999999999</v>
      </c>
      <c r="J40" s="142" t="s">
        <v>6</v>
      </c>
      <c r="K40" s="211">
        <f>I40*D40</f>
        <v>58.532499999999999</v>
      </c>
      <c r="L40" s="571"/>
      <c r="M40" s="572"/>
      <c r="N40" s="572"/>
      <c r="O40" s="572"/>
      <c r="P40" s="572"/>
      <c r="Q40" s="573"/>
    </row>
    <row r="41" spans="1:19" ht="22.5" customHeight="1" x14ac:dyDescent="0.15">
      <c r="A41" s="547" t="s">
        <v>149</v>
      </c>
      <c r="B41" s="548"/>
      <c r="C41" s="548"/>
      <c r="D41" s="548"/>
      <c r="E41" s="548"/>
      <c r="F41" s="548"/>
      <c r="G41" s="548"/>
      <c r="H41" s="548"/>
      <c r="I41" s="548"/>
      <c r="J41" s="549"/>
      <c r="K41" s="311">
        <f>SUM(K39:K40)</f>
        <v>120.19242</v>
      </c>
      <c r="L41" s="574"/>
      <c r="M41" s="575"/>
      <c r="N41" s="575"/>
      <c r="O41" s="575"/>
      <c r="P41" s="575"/>
      <c r="Q41" s="576"/>
    </row>
    <row r="42" spans="1:19" x14ac:dyDescent="0.15">
      <c r="A42" s="550"/>
      <c r="B42" s="551"/>
      <c r="C42" s="551"/>
      <c r="D42" s="551"/>
      <c r="E42" s="551"/>
      <c r="F42" s="551"/>
      <c r="G42" s="551"/>
      <c r="H42" s="551"/>
      <c r="I42" s="551"/>
      <c r="J42" s="551"/>
      <c r="K42" s="551"/>
      <c r="L42" s="551"/>
      <c r="M42" s="551"/>
      <c r="N42" s="551"/>
      <c r="O42" s="551"/>
      <c r="P42" s="551"/>
      <c r="Q42" s="552"/>
    </row>
    <row r="43" spans="1:19" s="120" customFormat="1" ht="18" customHeight="1" x14ac:dyDescent="0.15">
      <c r="A43" s="396" t="s">
        <v>0</v>
      </c>
      <c r="B43" s="577" t="s">
        <v>476</v>
      </c>
      <c r="C43" s="578"/>
      <c r="D43" s="578"/>
      <c r="E43" s="578"/>
      <c r="F43" s="578"/>
      <c r="G43" s="578"/>
      <c r="H43" s="578"/>
      <c r="I43" s="578"/>
      <c r="J43" s="578"/>
      <c r="K43" s="578"/>
      <c r="L43" s="578"/>
      <c r="M43" s="578"/>
      <c r="N43" s="578"/>
      <c r="O43" s="394" t="s">
        <v>73</v>
      </c>
      <c r="P43" s="547" t="s">
        <v>6</v>
      </c>
      <c r="Q43" s="549"/>
    </row>
    <row r="44" spans="1:19" x14ac:dyDescent="0.15">
      <c r="A44" s="550"/>
      <c r="B44" s="551"/>
      <c r="C44" s="551"/>
      <c r="D44" s="551"/>
      <c r="E44" s="551"/>
      <c r="F44" s="551"/>
      <c r="G44" s="551"/>
      <c r="H44" s="551"/>
      <c r="I44" s="551"/>
      <c r="J44" s="551"/>
      <c r="K44" s="551"/>
      <c r="L44" s="551"/>
      <c r="M44" s="551"/>
      <c r="N44" s="551"/>
      <c r="O44" s="551"/>
      <c r="P44" s="551"/>
      <c r="Q44" s="552"/>
    </row>
    <row r="45" spans="1:19" s="125" customFormat="1" x14ac:dyDescent="0.15">
      <c r="A45" s="553" t="s">
        <v>150</v>
      </c>
      <c r="B45" s="540" t="s">
        <v>151</v>
      </c>
      <c r="C45" s="540"/>
      <c r="D45" s="541"/>
      <c r="E45" s="540" t="s">
        <v>152</v>
      </c>
      <c r="F45" s="540"/>
      <c r="G45" s="540"/>
      <c r="H45" s="541" t="s">
        <v>153</v>
      </c>
      <c r="I45" s="541" t="s">
        <v>160</v>
      </c>
      <c r="J45" s="543" t="s">
        <v>73</v>
      </c>
      <c r="K45" s="394" t="s">
        <v>154</v>
      </c>
      <c r="L45" s="122"/>
      <c r="M45" s="123"/>
      <c r="N45" s="123"/>
      <c r="O45" s="123"/>
      <c r="P45" s="123"/>
      <c r="Q45" s="124"/>
    </row>
    <row r="46" spans="1:19" s="129" customFormat="1" x14ac:dyDescent="0.15">
      <c r="A46" s="553"/>
      <c r="B46" s="540"/>
      <c r="C46" s="540"/>
      <c r="D46" s="542"/>
      <c r="E46" s="393" t="s">
        <v>155</v>
      </c>
      <c r="F46" s="393" t="s">
        <v>156</v>
      </c>
      <c r="G46" s="393" t="s">
        <v>157</v>
      </c>
      <c r="H46" s="542"/>
      <c r="I46" s="542"/>
      <c r="J46" s="544"/>
      <c r="K46" s="394" t="s">
        <v>158</v>
      </c>
      <c r="L46" s="126"/>
      <c r="M46" s="127"/>
      <c r="N46" s="127"/>
      <c r="O46" s="127"/>
      <c r="P46" s="127"/>
      <c r="Q46" s="128"/>
    </row>
    <row r="47" spans="1:19" ht="31.5" customHeight="1" x14ac:dyDescent="0.15">
      <c r="A47" s="146"/>
      <c r="B47" s="545" t="s">
        <v>905</v>
      </c>
      <c r="C47" s="546"/>
      <c r="D47" s="147"/>
      <c r="E47" s="141">
        <v>1</v>
      </c>
      <c r="F47" s="141">
        <v>1</v>
      </c>
      <c r="G47" s="141">
        <v>1.2</v>
      </c>
      <c r="H47" s="141">
        <v>4</v>
      </c>
      <c r="I47" s="141">
        <f t="shared" ref="I47:I50" si="1">(E47*F47*G47)</f>
        <v>1.2</v>
      </c>
      <c r="J47" s="131" t="s">
        <v>6</v>
      </c>
      <c r="K47" s="141">
        <f t="shared" ref="K47:K50" si="2">I47*H47</f>
        <v>4.8</v>
      </c>
      <c r="L47" s="126"/>
      <c r="M47" s="127"/>
      <c r="N47" s="127"/>
      <c r="O47" s="127"/>
      <c r="P47" s="127"/>
      <c r="Q47" s="128"/>
      <c r="S47" s="282"/>
    </row>
    <row r="48" spans="1:19" ht="31.5" customHeight="1" x14ac:dyDescent="0.15">
      <c r="A48" s="146"/>
      <c r="B48" s="545" t="s">
        <v>904</v>
      </c>
      <c r="C48" s="546"/>
      <c r="D48" s="147"/>
      <c r="E48" s="141">
        <v>0.6</v>
      </c>
      <c r="F48" s="141">
        <v>0.6</v>
      </c>
      <c r="G48" s="141">
        <v>0.9</v>
      </c>
      <c r="H48" s="141">
        <v>17</v>
      </c>
      <c r="I48" s="141">
        <f t="shared" ref="I48" si="3">(E48*F48*G48)</f>
        <v>0.32400000000000001</v>
      </c>
      <c r="J48" s="131" t="s">
        <v>6</v>
      </c>
      <c r="K48" s="141">
        <f t="shared" ref="K48" si="4">I48*H48</f>
        <v>5.508</v>
      </c>
      <c r="L48" s="126"/>
      <c r="M48" s="127"/>
      <c r="N48" s="127"/>
      <c r="O48" s="127"/>
      <c r="P48" s="127"/>
      <c r="Q48" s="128"/>
      <c r="S48" s="282"/>
    </row>
    <row r="49" spans="1:19" ht="31.5" customHeight="1" x14ac:dyDescent="0.15">
      <c r="A49" s="146"/>
      <c r="B49" s="545" t="s">
        <v>906</v>
      </c>
      <c r="C49" s="546"/>
      <c r="D49" s="147"/>
      <c r="E49" s="141">
        <v>0.4</v>
      </c>
      <c r="F49" s="141">
        <v>0.4</v>
      </c>
      <c r="G49" s="141">
        <v>0.8</v>
      </c>
      <c r="H49" s="141">
        <v>26</v>
      </c>
      <c r="I49" s="141">
        <f t="shared" si="1"/>
        <v>0.12800000000000003</v>
      </c>
      <c r="J49" s="131" t="s">
        <v>6</v>
      </c>
      <c r="K49" s="141">
        <f t="shared" si="2"/>
        <v>3.3280000000000007</v>
      </c>
      <c r="L49" s="126"/>
      <c r="M49" s="127"/>
      <c r="N49" s="127"/>
      <c r="O49" s="127"/>
      <c r="P49" s="127"/>
      <c r="Q49" s="128"/>
      <c r="S49" s="282"/>
    </row>
    <row r="50" spans="1:19" ht="31.5" customHeight="1" x14ac:dyDescent="0.15">
      <c r="A50" s="146"/>
      <c r="B50" s="545" t="s">
        <v>907</v>
      </c>
      <c r="C50" s="546"/>
      <c r="D50" s="147"/>
      <c r="E50" s="141">
        <v>19.3</v>
      </c>
      <c r="F50" s="141">
        <v>0.3</v>
      </c>
      <c r="G50" s="141">
        <v>0.3</v>
      </c>
      <c r="H50" s="141">
        <v>3</v>
      </c>
      <c r="I50" s="141">
        <f t="shared" si="1"/>
        <v>1.7369999999999999</v>
      </c>
      <c r="J50" s="131" t="s">
        <v>6</v>
      </c>
      <c r="K50" s="141">
        <f t="shared" si="2"/>
        <v>5.2109999999999994</v>
      </c>
      <c r="L50" s="126"/>
      <c r="M50" s="127"/>
      <c r="N50" s="127"/>
      <c r="O50" s="127"/>
      <c r="P50" s="127"/>
      <c r="Q50" s="128"/>
    </row>
    <row r="51" spans="1:19" ht="31.5" customHeight="1" x14ac:dyDescent="0.15">
      <c r="A51" s="146"/>
      <c r="B51" s="545" t="s">
        <v>907</v>
      </c>
      <c r="C51" s="546"/>
      <c r="D51" s="147"/>
      <c r="E51" s="141">
        <v>8.5299999999999994</v>
      </c>
      <c r="F51" s="141">
        <v>0.3</v>
      </c>
      <c r="G51" s="141">
        <v>0.3</v>
      </c>
      <c r="H51" s="141">
        <v>7</v>
      </c>
      <c r="I51" s="141">
        <f t="shared" ref="I51" si="5">(E51*F51*G51)</f>
        <v>0.76769999999999994</v>
      </c>
      <c r="J51" s="131" t="s">
        <v>6</v>
      </c>
      <c r="K51" s="141">
        <f t="shared" ref="K51" si="6">I51*H51</f>
        <v>5.3738999999999999</v>
      </c>
      <c r="L51" s="126"/>
      <c r="M51" s="127"/>
      <c r="N51" s="127"/>
      <c r="O51" s="127"/>
      <c r="P51" s="127"/>
      <c r="Q51" s="128"/>
    </row>
    <row r="52" spans="1:19" ht="31.5" customHeight="1" x14ac:dyDescent="0.15">
      <c r="A52" s="146"/>
      <c r="B52" s="545" t="s">
        <v>908</v>
      </c>
      <c r="C52" s="546"/>
      <c r="D52" s="147"/>
      <c r="E52" s="141">
        <v>52.26</v>
      </c>
      <c r="F52" s="141">
        <v>0.25</v>
      </c>
      <c r="G52" s="141">
        <v>0.25</v>
      </c>
      <c r="H52" s="141">
        <v>1</v>
      </c>
      <c r="I52" s="141">
        <f t="shared" ref="I52" si="7">(E52*F52*G52)</f>
        <v>3.2662499999999999</v>
      </c>
      <c r="J52" s="131" t="s">
        <v>6</v>
      </c>
      <c r="K52" s="141">
        <f t="shared" ref="K52" si="8">I52*H52</f>
        <v>3.2662499999999999</v>
      </c>
      <c r="L52" s="126"/>
      <c r="M52" s="127"/>
      <c r="N52" s="127"/>
      <c r="O52" s="127"/>
      <c r="P52" s="127"/>
      <c r="Q52" s="128"/>
    </row>
    <row r="53" spans="1:19" ht="31.5" customHeight="1" x14ac:dyDescent="0.15">
      <c r="A53" s="146"/>
      <c r="B53" s="545" t="s">
        <v>908</v>
      </c>
      <c r="C53" s="546"/>
      <c r="D53" s="147"/>
      <c r="E53" s="141">
        <v>0.85</v>
      </c>
      <c r="F53" s="141">
        <v>0.25</v>
      </c>
      <c r="G53" s="141">
        <v>0.25</v>
      </c>
      <c r="H53" s="141">
        <v>3</v>
      </c>
      <c r="I53" s="141">
        <f t="shared" ref="I53" si="9">(E53*F53*G53)</f>
        <v>5.3124999999999999E-2</v>
      </c>
      <c r="J53" s="131" t="s">
        <v>6</v>
      </c>
      <c r="K53" s="141">
        <f t="shared" ref="K53" si="10">I53*H53</f>
        <v>0.15937499999999999</v>
      </c>
      <c r="L53" s="126"/>
      <c r="M53" s="127"/>
      <c r="N53" s="127"/>
      <c r="O53" s="127"/>
      <c r="P53" s="127"/>
      <c r="Q53" s="128"/>
    </row>
    <row r="54" spans="1:19" ht="31.5" customHeight="1" x14ac:dyDescent="0.15">
      <c r="A54" s="146"/>
      <c r="B54" s="545" t="s">
        <v>909</v>
      </c>
      <c r="C54" s="546"/>
      <c r="D54" s="147"/>
      <c r="E54" s="141">
        <v>10.7</v>
      </c>
      <c r="F54" s="141">
        <v>0.25</v>
      </c>
      <c r="G54" s="141">
        <v>0.25</v>
      </c>
      <c r="H54" s="141">
        <v>1</v>
      </c>
      <c r="I54" s="141">
        <f t="shared" ref="I54" si="11">(E54*F54*G54)</f>
        <v>0.66874999999999996</v>
      </c>
      <c r="J54" s="131" t="s">
        <v>6</v>
      </c>
      <c r="K54" s="141">
        <f t="shared" ref="K54" si="12">I54*H54</f>
        <v>0.66874999999999996</v>
      </c>
      <c r="L54" s="126"/>
      <c r="M54" s="127"/>
      <c r="N54" s="127"/>
      <c r="O54" s="127"/>
      <c r="P54" s="127"/>
      <c r="Q54" s="128"/>
    </row>
    <row r="55" spans="1:19" ht="31.5" customHeight="1" x14ac:dyDescent="0.15">
      <c r="A55" s="146"/>
      <c r="B55" s="545" t="s">
        <v>909</v>
      </c>
      <c r="C55" s="546"/>
      <c r="D55" s="147"/>
      <c r="E55" s="141">
        <v>0.85</v>
      </c>
      <c r="F55" s="141">
        <v>0.25</v>
      </c>
      <c r="G55" s="141">
        <v>0.25</v>
      </c>
      <c r="H55" s="141">
        <v>3</v>
      </c>
      <c r="I55" s="141">
        <f t="shared" ref="I55" si="13">(E55*F55*G55)</f>
        <v>5.3124999999999999E-2</v>
      </c>
      <c r="J55" s="131" t="s">
        <v>6</v>
      </c>
      <c r="K55" s="141">
        <f t="shared" ref="K55" si="14">I55*H55</f>
        <v>0.15937499999999999</v>
      </c>
      <c r="L55" s="126"/>
      <c r="M55" s="127"/>
      <c r="N55" s="127"/>
      <c r="O55" s="127"/>
      <c r="P55" s="127"/>
      <c r="Q55" s="128"/>
    </row>
    <row r="56" spans="1:19" ht="31.5" customHeight="1" x14ac:dyDescent="0.15">
      <c r="A56" s="146"/>
      <c r="B56" s="545" t="s">
        <v>909</v>
      </c>
      <c r="C56" s="546"/>
      <c r="D56" s="147"/>
      <c r="E56" s="141">
        <v>1.35</v>
      </c>
      <c r="F56" s="141">
        <v>0.25</v>
      </c>
      <c r="G56" s="141">
        <v>0.25</v>
      </c>
      <c r="H56" s="141">
        <v>1</v>
      </c>
      <c r="I56" s="141">
        <f t="shared" ref="I56" si="15">(E56*F56*G56)</f>
        <v>8.4375000000000006E-2</v>
      </c>
      <c r="J56" s="131" t="s">
        <v>6</v>
      </c>
      <c r="K56" s="141">
        <f t="shared" ref="K56" si="16">I56*H56</f>
        <v>8.4375000000000006E-2</v>
      </c>
      <c r="L56" s="126"/>
      <c r="M56" s="127"/>
      <c r="N56" s="127"/>
      <c r="O56" s="127"/>
      <c r="P56" s="127"/>
      <c r="Q56" s="128"/>
    </row>
    <row r="57" spans="1:19" ht="31.5" customHeight="1" x14ac:dyDescent="0.15">
      <c r="A57" s="146"/>
      <c r="B57" s="545" t="s">
        <v>777</v>
      </c>
      <c r="C57" s="546"/>
      <c r="D57" s="147"/>
      <c r="E57" s="141">
        <v>85.23</v>
      </c>
      <c r="F57" s="141">
        <v>0.25</v>
      </c>
      <c r="G57" s="141">
        <v>0.25</v>
      </c>
      <c r="H57" s="141">
        <v>1</v>
      </c>
      <c r="I57" s="141">
        <f t="shared" ref="I57" si="17">(E57*F57*G57)</f>
        <v>5.3268750000000002</v>
      </c>
      <c r="J57" s="131" t="s">
        <v>6</v>
      </c>
      <c r="K57" s="141">
        <f t="shared" ref="K57" si="18">I57*H57</f>
        <v>5.3268750000000002</v>
      </c>
      <c r="L57" s="126"/>
      <c r="M57" s="127"/>
      <c r="N57" s="127"/>
      <c r="O57" s="127"/>
      <c r="P57" s="127"/>
      <c r="Q57" s="128"/>
    </row>
    <row r="58" spans="1:19" ht="31.5" customHeight="1" x14ac:dyDescent="0.15">
      <c r="A58" s="146"/>
      <c r="B58" s="545" t="s">
        <v>910</v>
      </c>
      <c r="C58" s="546"/>
      <c r="D58" s="147"/>
      <c r="E58" s="141">
        <v>33.08</v>
      </c>
      <c r="F58" s="141">
        <v>0.15</v>
      </c>
      <c r="G58" s="141">
        <v>0.25</v>
      </c>
      <c r="H58" s="141">
        <v>1</v>
      </c>
      <c r="I58" s="141">
        <f t="shared" ref="I58:I59" si="19">(E58*F58*G58)</f>
        <v>1.2404999999999999</v>
      </c>
      <c r="J58" s="131" t="s">
        <v>6</v>
      </c>
      <c r="K58" s="141">
        <f t="shared" ref="K58:K59" si="20">I58*H58</f>
        <v>1.2404999999999999</v>
      </c>
      <c r="L58" s="126"/>
      <c r="M58" s="127"/>
      <c r="N58" s="127"/>
      <c r="O58" s="127"/>
      <c r="P58" s="127"/>
      <c r="Q58" s="128"/>
    </row>
    <row r="59" spans="1:19" ht="31.5" customHeight="1" x14ac:dyDescent="0.15">
      <c r="A59" s="146"/>
      <c r="B59" s="545" t="s">
        <v>724</v>
      </c>
      <c r="C59" s="546"/>
      <c r="D59" s="147"/>
      <c r="E59" s="141">
        <v>2.5</v>
      </c>
      <c r="F59" s="141">
        <v>1.5</v>
      </c>
      <c r="G59" s="141">
        <v>1.6</v>
      </c>
      <c r="H59" s="141">
        <v>1</v>
      </c>
      <c r="I59" s="141">
        <f t="shared" si="19"/>
        <v>6</v>
      </c>
      <c r="J59" s="131" t="s">
        <v>6</v>
      </c>
      <c r="K59" s="141">
        <f t="shared" si="20"/>
        <v>6</v>
      </c>
      <c r="L59" s="126"/>
      <c r="M59" s="127"/>
      <c r="N59" s="127"/>
      <c r="O59" s="127"/>
      <c r="P59" s="127"/>
      <c r="Q59" s="128"/>
    </row>
    <row r="60" spans="1:19" ht="14" x14ac:dyDescent="0.15">
      <c r="A60" s="547" t="s">
        <v>149</v>
      </c>
      <c r="B60" s="548"/>
      <c r="C60" s="548"/>
      <c r="D60" s="548"/>
      <c r="E60" s="548"/>
      <c r="F60" s="548"/>
      <c r="G60" s="548"/>
      <c r="H60" s="548"/>
      <c r="I60" s="548"/>
      <c r="J60" s="549"/>
      <c r="K60" s="311">
        <f>SUM(K47:K59)</f>
        <v>41.126399999999997</v>
      </c>
      <c r="L60" s="132"/>
      <c r="M60" s="133"/>
      <c r="N60" s="133"/>
      <c r="O60" s="133"/>
      <c r="P60" s="133"/>
      <c r="Q60" s="134"/>
    </row>
    <row r="61" spans="1:19" x14ac:dyDescent="0.15">
      <c r="A61" s="550"/>
      <c r="B61" s="551"/>
      <c r="C61" s="551"/>
      <c r="D61" s="551"/>
      <c r="E61" s="551"/>
      <c r="F61" s="551"/>
      <c r="G61" s="551"/>
      <c r="H61" s="551"/>
      <c r="I61" s="551"/>
      <c r="J61" s="551"/>
      <c r="K61" s="551"/>
      <c r="L61" s="551"/>
      <c r="M61" s="551"/>
      <c r="N61" s="551"/>
      <c r="O61" s="551"/>
      <c r="P61" s="551"/>
      <c r="Q61" s="552"/>
    </row>
    <row r="62" spans="1:19" s="120" customFormat="1" ht="18" customHeight="1" x14ac:dyDescent="0.15">
      <c r="A62" s="396" t="s">
        <v>0</v>
      </c>
      <c r="B62" s="577" t="s">
        <v>444</v>
      </c>
      <c r="C62" s="578"/>
      <c r="D62" s="578"/>
      <c r="E62" s="578"/>
      <c r="F62" s="578"/>
      <c r="G62" s="578"/>
      <c r="H62" s="578"/>
      <c r="I62" s="578"/>
      <c r="J62" s="578"/>
      <c r="K62" s="578"/>
      <c r="L62" s="578"/>
      <c r="M62" s="578"/>
      <c r="N62" s="578"/>
      <c r="O62" s="394" t="s">
        <v>73</v>
      </c>
      <c r="P62" s="547" t="s">
        <v>6</v>
      </c>
      <c r="Q62" s="549"/>
    </row>
    <row r="63" spans="1:19" x14ac:dyDescent="0.15">
      <c r="A63" s="550"/>
      <c r="B63" s="551"/>
      <c r="C63" s="551"/>
      <c r="D63" s="551"/>
      <c r="E63" s="551"/>
      <c r="F63" s="551"/>
      <c r="G63" s="551"/>
      <c r="H63" s="551"/>
      <c r="I63" s="551"/>
      <c r="J63" s="551"/>
      <c r="K63" s="551"/>
      <c r="L63" s="551"/>
      <c r="M63" s="551"/>
      <c r="N63" s="551"/>
      <c r="O63" s="551"/>
      <c r="P63" s="551"/>
      <c r="Q63" s="552"/>
    </row>
    <row r="64" spans="1:19" s="125" customFormat="1" x14ac:dyDescent="0.15">
      <c r="A64" s="553" t="s">
        <v>150</v>
      </c>
      <c r="B64" s="540" t="s">
        <v>151</v>
      </c>
      <c r="C64" s="540"/>
      <c r="D64" s="558" t="s">
        <v>415</v>
      </c>
      <c r="E64" s="540" t="s">
        <v>152</v>
      </c>
      <c r="F64" s="540"/>
      <c r="G64" s="540"/>
      <c r="H64" s="541" t="s">
        <v>153</v>
      </c>
      <c r="I64" s="541" t="s">
        <v>160</v>
      </c>
      <c r="J64" s="543" t="s">
        <v>73</v>
      </c>
      <c r="K64" s="394" t="s">
        <v>154</v>
      </c>
      <c r="L64" s="122"/>
      <c r="M64" s="123"/>
      <c r="N64" s="123"/>
      <c r="O64" s="123"/>
      <c r="P64" s="123"/>
      <c r="Q64" s="124"/>
    </row>
    <row r="65" spans="1:17" s="129" customFormat="1" x14ac:dyDescent="0.15">
      <c r="A65" s="553"/>
      <c r="B65" s="540"/>
      <c r="C65" s="540"/>
      <c r="D65" s="559"/>
      <c r="E65" s="393" t="s">
        <v>155</v>
      </c>
      <c r="F65" s="393" t="s">
        <v>156</v>
      </c>
      <c r="G65" s="393" t="s">
        <v>157</v>
      </c>
      <c r="H65" s="542"/>
      <c r="I65" s="542"/>
      <c r="J65" s="544"/>
      <c r="K65" s="394" t="s">
        <v>158</v>
      </c>
      <c r="L65" s="126"/>
      <c r="M65" s="127"/>
      <c r="N65" s="127"/>
      <c r="O65" s="127"/>
      <c r="P65" s="127"/>
      <c r="Q65" s="128"/>
    </row>
    <row r="66" spans="1:17" ht="33" customHeight="1" x14ac:dyDescent="0.15">
      <c r="A66" s="146"/>
      <c r="B66" s="545" t="s">
        <v>905</v>
      </c>
      <c r="C66" s="546"/>
      <c r="D66" s="141">
        <f>(0.45*0.45*0.7*H66)</f>
        <v>0.56699999999999995</v>
      </c>
      <c r="E66" s="141">
        <v>1</v>
      </c>
      <c r="F66" s="141">
        <v>1</v>
      </c>
      <c r="G66" s="141">
        <v>0.7</v>
      </c>
      <c r="H66" s="141">
        <v>4</v>
      </c>
      <c r="I66" s="141">
        <f t="shared" ref="I66:I68" si="21">(E66*F66*G66)</f>
        <v>0.7</v>
      </c>
      <c r="J66" s="131" t="s">
        <v>6</v>
      </c>
      <c r="K66" s="141">
        <f t="shared" ref="K66:K68" si="22">(I66*H66)-D66</f>
        <v>2.2329999999999997</v>
      </c>
      <c r="L66" s="126"/>
      <c r="M66" s="127"/>
      <c r="N66" s="127"/>
      <c r="O66" s="127"/>
      <c r="P66" s="127"/>
      <c r="Q66" s="128"/>
    </row>
    <row r="67" spans="1:17" ht="33" customHeight="1" x14ac:dyDescent="0.15">
      <c r="A67" s="146"/>
      <c r="B67" s="545" t="s">
        <v>904</v>
      </c>
      <c r="C67" s="546"/>
      <c r="D67" s="141">
        <f>(0.3*0.3*0.5*H67)</f>
        <v>0.76500000000000001</v>
      </c>
      <c r="E67" s="141">
        <v>0.6</v>
      </c>
      <c r="F67" s="141">
        <v>0.6</v>
      </c>
      <c r="G67" s="141">
        <v>0.5</v>
      </c>
      <c r="H67" s="141">
        <v>17</v>
      </c>
      <c r="I67" s="141">
        <f t="shared" ref="I67" si="23">(E67*F67*G67)</f>
        <v>0.18</v>
      </c>
      <c r="J67" s="131" t="s">
        <v>6</v>
      </c>
      <c r="K67" s="141">
        <f t="shared" ref="K67" si="24">(I67*H67)-D67</f>
        <v>2.2949999999999999</v>
      </c>
      <c r="L67" s="126"/>
      <c r="M67" s="127"/>
      <c r="N67" s="127"/>
      <c r="O67" s="127"/>
      <c r="P67" s="127"/>
      <c r="Q67" s="128"/>
    </row>
    <row r="68" spans="1:17" ht="33" customHeight="1" x14ac:dyDescent="0.15">
      <c r="A68" s="146"/>
      <c r="B68" s="545" t="s">
        <v>906</v>
      </c>
      <c r="C68" s="546"/>
      <c r="D68" s="141">
        <f>(0.25*0.25*0.4*H68)</f>
        <v>0.65</v>
      </c>
      <c r="E68" s="141">
        <v>0.4</v>
      </c>
      <c r="F68" s="141">
        <v>0.4</v>
      </c>
      <c r="G68" s="141">
        <v>0.4</v>
      </c>
      <c r="H68" s="141">
        <v>26</v>
      </c>
      <c r="I68" s="141">
        <f t="shared" si="21"/>
        <v>6.4000000000000015E-2</v>
      </c>
      <c r="J68" s="131" t="s">
        <v>6</v>
      </c>
      <c r="K68" s="141">
        <f t="shared" si="22"/>
        <v>1.0140000000000002</v>
      </c>
      <c r="L68" s="126"/>
      <c r="M68" s="127"/>
      <c r="N68" s="127"/>
      <c r="O68" s="127"/>
      <c r="P68" s="127"/>
      <c r="Q68" s="128"/>
    </row>
    <row r="69" spans="1:17" ht="14" x14ac:dyDescent="0.15">
      <c r="A69" s="547" t="s">
        <v>149</v>
      </c>
      <c r="B69" s="548"/>
      <c r="C69" s="548"/>
      <c r="D69" s="548"/>
      <c r="E69" s="548"/>
      <c r="F69" s="548"/>
      <c r="G69" s="548"/>
      <c r="H69" s="548"/>
      <c r="I69" s="548"/>
      <c r="J69" s="549"/>
      <c r="K69" s="311">
        <f>SUM(K66:K68)</f>
        <v>5.5419999999999998</v>
      </c>
      <c r="L69" s="132"/>
      <c r="M69" s="133"/>
      <c r="N69" s="133"/>
      <c r="O69" s="133"/>
      <c r="P69" s="133"/>
      <c r="Q69" s="134"/>
    </row>
    <row r="70" spans="1:17" x14ac:dyDescent="0.15">
      <c r="A70" s="550"/>
      <c r="B70" s="551"/>
      <c r="C70" s="551"/>
      <c r="D70" s="551"/>
      <c r="E70" s="551"/>
      <c r="F70" s="551"/>
      <c r="G70" s="551"/>
      <c r="H70" s="551"/>
      <c r="I70" s="551"/>
      <c r="J70" s="551"/>
      <c r="K70" s="551"/>
      <c r="L70" s="551"/>
      <c r="M70" s="551"/>
      <c r="N70" s="551"/>
      <c r="O70" s="551"/>
      <c r="P70" s="551"/>
      <c r="Q70" s="552"/>
    </row>
    <row r="71" spans="1:17" s="120" customFormat="1" ht="18" customHeight="1" x14ac:dyDescent="0.15">
      <c r="A71" s="396" t="s">
        <v>0</v>
      </c>
      <c r="B71" s="577" t="s">
        <v>915</v>
      </c>
      <c r="C71" s="578"/>
      <c r="D71" s="578"/>
      <c r="E71" s="578"/>
      <c r="F71" s="578"/>
      <c r="G71" s="578"/>
      <c r="H71" s="578"/>
      <c r="I71" s="578"/>
      <c r="J71" s="578"/>
      <c r="K71" s="578"/>
      <c r="L71" s="578"/>
      <c r="M71" s="578"/>
      <c r="N71" s="578"/>
      <c r="O71" s="394" t="s">
        <v>73</v>
      </c>
      <c r="P71" s="547" t="s">
        <v>6</v>
      </c>
      <c r="Q71" s="549"/>
    </row>
    <row r="72" spans="1:17" x14ac:dyDescent="0.15">
      <c r="A72" s="550"/>
      <c r="B72" s="551"/>
      <c r="C72" s="551"/>
      <c r="D72" s="551"/>
      <c r="E72" s="551"/>
      <c r="F72" s="551"/>
      <c r="G72" s="551"/>
      <c r="H72" s="551"/>
      <c r="I72" s="551"/>
      <c r="J72" s="551"/>
      <c r="K72" s="551"/>
      <c r="L72" s="551"/>
      <c r="M72" s="551"/>
      <c r="N72" s="551"/>
      <c r="O72" s="551"/>
      <c r="P72" s="551"/>
      <c r="Q72" s="552"/>
    </row>
    <row r="73" spans="1:17" s="125" customFormat="1" x14ac:dyDescent="0.15">
      <c r="A73" s="553" t="s">
        <v>150</v>
      </c>
      <c r="B73" s="540" t="s">
        <v>151</v>
      </c>
      <c r="C73" s="540"/>
      <c r="D73" s="565" t="s">
        <v>152</v>
      </c>
      <c r="E73" s="566"/>
      <c r="F73" s="566"/>
      <c r="G73" s="567"/>
      <c r="H73" s="541" t="s">
        <v>153</v>
      </c>
      <c r="I73" s="541" t="s">
        <v>160</v>
      </c>
      <c r="J73" s="558" t="s">
        <v>420</v>
      </c>
      <c r="K73" s="543" t="s">
        <v>73</v>
      </c>
      <c r="L73" s="394" t="s">
        <v>154</v>
      </c>
      <c r="M73" s="568"/>
      <c r="N73" s="569"/>
      <c r="O73" s="569"/>
      <c r="P73" s="569"/>
      <c r="Q73" s="570"/>
    </row>
    <row r="74" spans="1:17" s="129" customFormat="1" x14ac:dyDescent="0.15">
      <c r="A74" s="553"/>
      <c r="B74" s="540"/>
      <c r="C74" s="540"/>
      <c r="D74" s="393" t="s">
        <v>523</v>
      </c>
      <c r="E74" s="393" t="s">
        <v>155</v>
      </c>
      <c r="F74" s="393" t="s">
        <v>156</v>
      </c>
      <c r="G74" s="393" t="s">
        <v>157</v>
      </c>
      <c r="H74" s="542"/>
      <c r="I74" s="542"/>
      <c r="J74" s="559"/>
      <c r="K74" s="544"/>
      <c r="L74" s="394" t="s">
        <v>158</v>
      </c>
      <c r="M74" s="571"/>
      <c r="N74" s="572"/>
      <c r="O74" s="572"/>
      <c r="P74" s="572"/>
      <c r="Q74" s="573"/>
    </row>
    <row r="75" spans="1:17" ht="27" customHeight="1" x14ac:dyDescent="0.15">
      <c r="A75" s="146"/>
      <c r="B75" s="560" t="s">
        <v>911</v>
      </c>
      <c r="C75" s="561"/>
      <c r="D75" s="211">
        <v>0</v>
      </c>
      <c r="E75" s="397">
        <v>18.399999999999999</v>
      </c>
      <c r="F75" s="142">
        <v>8.23</v>
      </c>
      <c r="G75" s="141">
        <v>0.2</v>
      </c>
      <c r="H75" s="141">
        <v>1</v>
      </c>
      <c r="I75" s="141">
        <f t="shared" ref="I75:I81" si="25">E75*F75*G75</f>
        <v>30.2864</v>
      </c>
      <c r="J75" s="141">
        <v>0</v>
      </c>
      <c r="K75" s="131" t="s">
        <v>6</v>
      </c>
      <c r="L75" s="141">
        <f>I75*H75</f>
        <v>30.2864</v>
      </c>
      <c r="M75" s="571"/>
      <c r="N75" s="572"/>
      <c r="O75" s="572"/>
      <c r="P75" s="572"/>
      <c r="Q75" s="573"/>
    </row>
    <row r="76" spans="1:17" ht="27" customHeight="1" x14ac:dyDescent="0.15">
      <c r="A76" s="146"/>
      <c r="B76" s="560" t="s">
        <v>912</v>
      </c>
      <c r="C76" s="561"/>
      <c r="D76" s="211">
        <v>45.09</v>
      </c>
      <c r="E76" s="397">
        <v>0</v>
      </c>
      <c r="F76" s="142">
        <v>0</v>
      </c>
      <c r="G76" s="141">
        <v>0.2</v>
      </c>
      <c r="H76" s="141">
        <v>1</v>
      </c>
      <c r="I76" s="141">
        <f>D76*G76</f>
        <v>9.0180000000000007</v>
      </c>
      <c r="J76" s="141">
        <v>0</v>
      </c>
      <c r="K76" s="131" t="s">
        <v>6</v>
      </c>
      <c r="L76" s="141">
        <f>I76*H76</f>
        <v>9.0180000000000007</v>
      </c>
      <c r="M76" s="571"/>
      <c r="N76" s="572"/>
      <c r="O76" s="572"/>
      <c r="P76" s="572"/>
      <c r="Q76" s="573"/>
    </row>
    <row r="77" spans="1:17" ht="27" customHeight="1" x14ac:dyDescent="0.15">
      <c r="A77" s="146"/>
      <c r="B77" s="560" t="s">
        <v>913</v>
      </c>
      <c r="C77" s="561"/>
      <c r="D77" s="211">
        <v>57.06</v>
      </c>
      <c r="E77" s="397">
        <v>0</v>
      </c>
      <c r="F77" s="142">
        <v>0</v>
      </c>
      <c r="G77" s="141">
        <v>0.2</v>
      </c>
      <c r="H77" s="141">
        <v>1</v>
      </c>
      <c r="I77" s="141">
        <f>D77*G77</f>
        <v>11.412000000000001</v>
      </c>
      <c r="J77" s="141">
        <v>0</v>
      </c>
      <c r="K77" s="131" t="s">
        <v>6</v>
      </c>
      <c r="L77" s="141">
        <f>I77*H77</f>
        <v>11.412000000000001</v>
      </c>
      <c r="M77" s="571"/>
      <c r="N77" s="572"/>
      <c r="O77" s="572"/>
      <c r="P77" s="572"/>
      <c r="Q77" s="573"/>
    </row>
    <row r="78" spans="1:17" ht="33" customHeight="1" x14ac:dyDescent="0.15">
      <c r="A78" s="146"/>
      <c r="B78" s="545" t="s">
        <v>905</v>
      </c>
      <c r="C78" s="546"/>
      <c r="D78" s="141">
        <v>0</v>
      </c>
      <c r="E78" s="141">
        <v>1</v>
      </c>
      <c r="F78" s="141">
        <v>1</v>
      </c>
      <c r="G78" s="141">
        <v>0.1</v>
      </c>
      <c r="H78" s="141">
        <v>4</v>
      </c>
      <c r="I78" s="141">
        <f t="shared" si="25"/>
        <v>0.1</v>
      </c>
      <c r="J78" s="141">
        <v>0</v>
      </c>
      <c r="K78" s="131" t="s">
        <v>6</v>
      </c>
      <c r="L78" s="141">
        <f>H78*I78</f>
        <v>0.4</v>
      </c>
      <c r="M78" s="571"/>
      <c r="N78" s="572"/>
      <c r="O78" s="572"/>
      <c r="P78" s="572"/>
      <c r="Q78" s="573"/>
    </row>
    <row r="79" spans="1:17" ht="33" customHeight="1" x14ac:dyDescent="0.15">
      <c r="A79" s="146"/>
      <c r="B79" s="545" t="s">
        <v>904</v>
      </c>
      <c r="C79" s="546"/>
      <c r="D79" s="141">
        <v>0</v>
      </c>
      <c r="E79" s="141">
        <v>0.6</v>
      </c>
      <c r="F79" s="141">
        <v>0.6</v>
      </c>
      <c r="G79" s="141">
        <v>0.1</v>
      </c>
      <c r="H79" s="141">
        <v>17</v>
      </c>
      <c r="I79" s="141">
        <f t="shared" ref="I79" si="26">E79*F79*G79</f>
        <v>3.5999999999999997E-2</v>
      </c>
      <c r="J79" s="141">
        <v>0</v>
      </c>
      <c r="K79" s="131" t="s">
        <v>6</v>
      </c>
      <c r="L79" s="141">
        <f>H79*I79</f>
        <v>0.61199999999999999</v>
      </c>
      <c r="M79" s="571"/>
      <c r="N79" s="572"/>
      <c r="O79" s="572"/>
      <c r="P79" s="572"/>
      <c r="Q79" s="573"/>
    </row>
    <row r="80" spans="1:17" ht="33" customHeight="1" x14ac:dyDescent="0.15">
      <c r="A80" s="146"/>
      <c r="B80" s="545" t="s">
        <v>906</v>
      </c>
      <c r="C80" s="546"/>
      <c r="D80" s="141">
        <v>0</v>
      </c>
      <c r="E80" s="141">
        <v>0.4</v>
      </c>
      <c r="F80" s="141">
        <v>0.4</v>
      </c>
      <c r="G80" s="141">
        <v>0.1</v>
      </c>
      <c r="H80" s="141">
        <v>26</v>
      </c>
      <c r="I80" s="141">
        <f t="shared" si="25"/>
        <v>1.6000000000000004E-2</v>
      </c>
      <c r="J80" s="141">
        <v>0</v>
      </c>
      <c r="K80" s="131" t="s">
        <v>6</v>
      </c>
      <c r="L80" s="141">
        <f t="shared" ref="L80:L81" si="27">H80*I80</f>
        <v>0.41600000000000009</v>
      </c>
      <c r="M80" s="571"/>
      <c r="N80" s="572"/>
      <c r="O80" s="572"/>
      <c r="P80" s="572"/>
      <c r="Q80" s="573"/>
    </row>
    <row r="81" spans="1:19" ht="33" customHeight="1" x14ac:dyDescent="0.15">
      <c r="A81" s="146"/>
      <c r="B81" s="545" t="s">
        <v>724</v>
      </c>
      <c r="C81" s="546"/>
      <c r="D81" s="141">
        <v>0</v>
      </c>
      <c r="E81" s="141">
        <v>2.5</v>
      </c>
      <c r="F81" s="141">
        <v>1.5</v>
      </c>
      <c r="G81" s="141">
        <v>0.1</v>
      </c>
      <c r="H81" s="141">
        <v>1</v>
      </c>
      <c r="I81" s="141">
        <f t="shared" si="25"/>
        <v>0.375</v>
      </c>
      <c r="J81" s="141">
        <v>0</v>
      </c>
      <c r="K81" s="131" t="s">
        <v>6</v>
      </c>
      <c r="L81" s="141">
        <f t="shared" si="27"/>
        <v>0.375</v>
      </c>
      <c r="M81" s="571"/>
      <c r="N81" s="572"/>
      <c r="O81" s="572"/>
      <c r="P81" s="572"/>
      <c r="Q81" s="573"/>
    </row>
    <row r="82" spans="1:19" ht="14" x14ac:dyDescent="0.15">
      <c r="A82" s="547" t="s">
        <v>149</v>
      </c>
      <c r="B82" s="548"/>
      <c r="C82" s="548"/>
      <c r="D82" s="548"/>
      <c r="E82" s="548"/>
      <c r="F82" s="548"/>
      <c r="G82" s="548"/>
      <c r="H82" s="548"/>
      <c r="I82" s="548"/>
      <c r="J82" s="548"/>
      <c r="K82" s="549"/>
      <c r="L82" s="311">
        <f>SUM(L75:L81)</f>
        <v>52.519399999999997</v>
      </c>
      <c r="M82" s="574"/>
      <c r="N82" s="575"/>
      <c r="O82" s="575"/>
      <c r="P82" s="575"/>
      <c r="Q82" s="576"/>
    </row>
    <row r="83" spans="1:19" x14ac:dyDescent="0.15">
      <c r="A83" s="550"/>
      <c r="B83" s="551"/>
      <c r="C83" s="551"/>
      <c r="D83" s="551"/>
      <c r="E83" s="551"/>
      <c r="F83" s="551"/>
      <c r="G83" s="551"/>
      <c r="H83" s="551"/>
      <c r="I83" s="551"/>
      <c r="J83" s="551"/>
      <c r="K83" s="551"/>
      <c r="L83" s="551"/>
      <c r="M83" s="551"/>
      <c r="N83" s="551"/>
      <c r="O83" s="551"/>
      <c r="P83" s="551"/>
      <c r="Q83" s="552"/>
    </row>
    <row r="84" spans="1:19" s="120" customFormat="1" ht="18" customHeight="1" x14ac:dyDescent="0.15">
      <c r="A84" s="396" t="s">
        <v>0</v>
      </c>
      <c r="B84" s="577" t="s">
        <v>477</v>
      </c>
      <c r="C84" s="578"/>
      <c r="D84" s="578"/>
      <c r="E84" s="578"/>
      <c r="F84" s="578"/>
      <c r="G84" s="578"/>
      <c r="H84" s="578"/>
      <c r="I84" s="578"/>
      <c r="J84" s="578"/>
      <c r="K84" s="578"/>
      <c r="L84" s="578"/>
      <c r="M84" s="578"/>
      <c r="N84" s="578"/>
      <c r="O84" s="394" t="s">
        <v>73</v>
      </c>
      <c r="P84" s="547" t="s">
        <v>6</v>
      </c>
      <c r="Q84" s="549"/>
    </row>
    <row r="85" spans="1:19" x14ac:dyDescent="0.15">
      <c r="A85" s="550"/>
      <c r="B85" s="551"/>
      <c r="C85" s="551"/>
      <c r="D85" s="551"/>
      <c r="E85" s="551"/>
      <c r="F85" s="551"/>
      <c r="G85" s="551"/>
      <c r="H85" s="551"/>
      <c r="I85" s="551"/>
      <c r="J85" s="551"/>
      <c r="K85" s="551"/>
      <c r="L85" s="551"/>
      <c r="M85" s="551"/>
      <c r="N85" s="551"/>
      <c r="O85" s="551"/>
      <c r="P85" s="551"/>
      <c r="Q85" s="552"/>
    </row>
    <row r="86" spans="1:19" s="125" customFormat="1" x14ac:dyDescent="0.15">
      <c r="A86" s="553" t="s">
        <v>150</v>
      </c>
      <c r="B86" s="540" t="s">
        <v>151</v>
      </c>
      <c r="C86" s="540"/>
      <c r="D86" s="541" t="s">
        <v>418</v>
      </c>
      <c r="E86" s="540" t="s">
        <v>152</v>
      </c>
      <c r="F86" s="540"/>
      <c r="G86" s="540"/>
      <c r="H86" s="543" t="s">
        <v>153</v>
      </c>
      <c r="I86" s="541" t="s">
        <v>160</v>
      </c>
      <c r="J86" s="543" t="s">
        <v>73</v>
      </c>
      <c r="K86" s="394" t="s">
        <v>154</v>
      </c>
      <c r="L86" s="568"/>
      <c r="M86" s="569"/>
      <c r="N86" s="569"/>
      <c r="O86" s="569"/>
      <c r="P86" s="569"/>
      <c r="Q86" s="570"/>
    </row>
    <row r="87" spans="1:19" s="129" customFormat="1" x14ac:dyDescent="0.15">
      <c r="A87" s="553"/>
      <c r="B87" s="540"/>
      <c r="C87" s="540"/>
      <c r="D87" s="542"/>
      <c r="E87" s="393" t="s">
        <v>155</v>
      </c>
      <c r="F87" s="393" t="s">
        <v>156</v>
      </c>
      <c r="G87" s="393" t="s">
        <v>157</v>
      </c>
      <c r="H87" s="544"/>
      <c r="I87" s="542"/>
      <c r="J87" s="544"/>
      <c r="K87" s="394" t="s">
        <v>158</v>
      </c>
      <c r="L87" s="571"/>
      <c r="M87" s="572"/>
      <c r="N87" s="572"/>
      <c r="O87" s="572"/>
      <c r="P87" s="572"/>
      <c r="Q87" s="573"/>
    </row>
    <row r="88" spans="1:19" ht="28.5" customHeight="1" x14ac:dyDescent="0.15">
      <c r="A88" s="130"/>
      <c r="B88" s="545" t="s">
        <v>421</v>
      </c>
      <c r="C88" s="546"/>
      <c r="D88" s="390">
        <v>1</v>
      </c>
      <c r="E88" s="141">
        <v>0</v>
      </c>
      <c r="F88" s="391">
        <v>0</v>
      </c>
      <c r="G88" s="391">
        <v>0</v>
      </c>
      <c r="H88" s="141">
        <v>1</v>
      </c>
      <c r="I88" s="141">
        <f>K60-K69</f>
        <v>35.584399999999995</v>
      </c>
      <c r="J88" s="391" t="s">
        <v>5</v>
      </c>
      <c r="K88" s="390">
        <f>I88*D88</f>
        <v>35.584399999999995</v>
      </c>
      <c r="L88" s="571"/>
      <c r="M88" s="572"/>
      <c r="N88" s="572"/>
      <c r="O88" s="572"/>
      <c r="P88" s="572"/>
      <c r="Q88" s="573"/>
    </row>
    <row r="89" spans="1:19" ht="22.5" customHeight="1" x14ac:dyDescent="0.15">
      <c r="A89" s="547" t="s">
        <v>149</v>
      </c>
      <c r="B89" s="548"/>
      <c r="C89" s="548"/>
      <c r="D89" s="548"/>
      <c r="E89" s="548"/>
      <c r="F89" s="548"/>
      <c r="G89" s="548"/>
      <c r="H89" s="548"/>
      <c r="I89" s="548"/>
      <c r="J89" s="549"/>
      <c r="K89" s="311">
        <f>SUM(K88:K88)</f>
        <v>35.584399999999995</v>
      </c>
      <c r="L89" s="574"/>
      <c r="M89" s="575"/>
      <c r="N89" s="575"/>
      <c r="O89" s="575"/>
      <c r="P89" s="575"/>
      <c r="Q89" s="576"/>
    </row>
    <row r="90" spans="1:19" x14ac:dyDescent="0.15">
      <c r="A90" s="550"/>
      <c r="B90" s="551"/>
      <c r="C90" s="551"/>
      <c r="D90" s="551"/>
      <c r="E90" s="551"/>
      <c r="F90" s="551"/>
      <c r="G90" s="551"/>
      <c r="H90" s="551"/>
      <c r="I90" s="551"/>
      <c r="J90" s="551"/>
      <c r="K90" s="551"/>
      <c r="L90" s="551"/>
      <c r="M90" s="551"/>
      <c r="N90" s="551"/>
      <c r="O90" s="551"/>
      <c r="P90" s="551"/>
      <c r="Q90" s="552"/>
    </row>
    <row r="91" spans="1:19" s="120" customFormat="1" ht="18" customHeight="1" x14ac:dyDescent="0.15">
      <c r="A91" s="396" t="s">
        <v>0</v>
      </c>
      <c r="B91" s="562" t="s">
        <v>481</v>
      </c>
      <c r="C91" s="563"/>
      <c r="D91" s="563"/>
      <c r="E91" s="563"/>
      <c r="F91" s="563"/>
      <c r="G91" s="563"/>
      <c r="H91" s="563"/>
      <c r="I91" s="563"/>
      <c r="J91" s="563"/>
      <c r="K91" s="563"/>
      <c r="L91" s="563"/>
      <c r="M91" s="563"/>
      <c r="N91" s="563"/>
      <c r="O91" s="394" t="s">
        <v>73</v>
      </c>
      <c r="P91" s="547" t="s">
        <v>6</v>
      </c>
      <c r="Q91" s="549"/>
    </row>
    <row r="92" spans="1:19" x14ac:dyDescent="0.15">
      <c r="A92" s="550"/>
      <c r="B92" s="551"/>
      <c r="C92" s="551"/>
      <c r="D92" s="551"/>
      <c r="E92" s="551"/>
      <c r="F92" s="551"/>
      <c r="G92" s="551"/>
      <c r="H92" s="551"/>
      <c r="I92" s="551"/>
      <c r="J92" s="551"/>
      <c r="K92" s="551"/>
      <c r="L92" s="551"/>
      <c r="M92" s="551"/>
      <c r="N92" s="551"/>
      <c r="O92" s="551"/>
      <c r="P92" s="551"/>
      <c r="Q92" s="552"/>
    </row>
    <row r="93" spans="1:19" s="125" customFormat="1" x14ac:dyDescent="0.15">
      <c r="A93" s="553" t="s">
        <v>150</v>
      </c>
      <c r="B93" s="540" t="s">
        <v>151</v>
      </c>
      <c r="C93" s="540"/>
      <c r="D93" s="541"/>
      <c r="E93" s="540" t="s">
        <v>152</v>
      </c>
      <c r="F93" s="540"/>
      <c r="G93" s="540"/>
      <c r="H93" s="541" t="s">
        <v>153</v>
      </c>
      <c r="I93" s="541" t="s">
        <v>160</v>
      </c>
      <c r="J93" s="543" t="s">
        <v>73</v>
      </c>
      <c r="K93" s="394" t="s">
        <v>154</v>
      </c>
      <c r="L93" s="122"/>
      <c r="M93" s="123"/>
      <c r="N93" s="123"/>
      <c r="O93" s="123"/>
      <c r="P93" s="123"/>
      <c r="Q93" s="124"/>
    </row>
    <row r="94" spans="1:19" s="129" customFormat="1" x14ac:dyDescent="0.15">
      <c r="A94" s="553"/>
      <c r="B94" s="540"/>
      <c r="C94" s="540"/>
      <c r="D94" s="542"/>
      <c r="E94" s="393" t="s">
        <v>155</v>
      </c>
      <c r="F94" s="393" t="s">
        <v>156</v>
      </c>
      <c r="G94" s="393" t="s">
        <v>157</v>
      </c>
      <c r="H94" s="542"/>
      <c r="I94" s="542"/>
      <c r="J94" s="544"/>
      <c r="K94" s="394" t="s">
        <v>158</v>
      </c>
      <c r="L94" s="126"/>
      <c r="M94" s="127"/>
      <c r="N94" s="127"/>
      <c r="O94" s="127"/>
      <c r="P94" s="127"/>
      <c r="Q94" s="128"/>
    </row>
    <row r="95" spans="1:19" ht="31.5" customHeight="1" x14ac:dyDescent="0.15">
      <c r="A95" s="146"/>
      <c r="B95" s="545" t="s">
        <v>905</v>
      </c>
      <c r="C95" s="546"/>
      <c r="D95" s="147"/>
      <c r="E95" s="141">
        <v>1</v>
      </c>
      <c r="F95" s="141">
        <v>1</v>
      </c>
      <c r="G95" s="141">
        <v>0.05</v>
      </c>
      <c r="H95" s="141">
        <v>4</v>
      </c>
      <c r="I95" s="141">
        <f t="shared" ref="I95:I98" si="28">(E95*F95*G95)</f>
        <v>0.05</v>
      </c>
      <c r="J95" s="131" t="s">
        <v>6</v>
      </c>
      <c r="K95" s="141">
        <f t="shared" ref="K95:K98" si="29">I95*H95</f>
        <v>0.2</v>
      </c>
      <c r="L95" s="126"/>
      <c r="M95" s="127"/>
      <c r="N95" s="127"/>
      <c r="O95" s="127"/>
      <c r="P95" s="127"/>
      <c r="Q95" s="128"/>
      <c r="S95" s="282"/>
    </row>
    <row r="96" spans="1:19" ht="31.5" customHeight="1" x14ac:dyDescent="0.15">
      <c r="A96" s="146"/>
      <c r="B96" s="545" t="s">
        <v>904</v>
      </c>
      <c r="C96" s="546"/>
      <c r="D96" s="147"/>
      <c r="E96" s="141">
        <v>0.6</v>
      </c>
      <c r="F96" s="141">
        <v>0.6</v>
      </c>
      <c r="G96" s="141">
        <v>0.05</v>
      </c>
      <c r="H96" s="141">
        <v>17</v>
      </c>
      <c r="I96" s="141">
        <f t="shared" ref="I96" si="30">(E96*F96*G96)</f>
        <v>1.7999999999999999E-2</v>
      </c>
      <c r="J96" s="131" t="s">
        <v>6</v>
      </c>
      <c r="K96" s="141">
        <f t="shared" ref="K96" si="31">I96*H96</f>
        <v>0.30599999999999999</v>
      </c>
      <c r="L96" s="126"/>
      <c r="M96" s="127"/>
      <c r="N96" s="127"/>
      <c r="O96" s="127"/>
      <c r="P96" s="127"/>
      <c r="Q96" s="128"/>
      <c r="S96" s="282"/>
    </row>
    <row r="97" spans="1:19" ht="31.5" customHeight="1" x14ac:dyDescent="0.15">
      <c r="A97" s="146"/>
      <c r="B97" s="545" t="s">
        <v>906</v>
      </c>
      <c r="C97" s="546"/>
      <c r="D97" s="147"/>
      <c r="E97" s="141">
        <v>0.4</v>
      </c>
      <c r="F97" s="141">
        <v>0.4</v>
      </c>
      <c r="G97" s="141">
        <v>0.05</v>
      </c>
      <c r="H97" s="141">
        <v>26</v>
      </c>
      <c r="I97" s="141">
        <f t="shared" ref="I97" si="32">(E97*F97*G97)</f>
        <v>8.0000000000000019E-3</v>
      </c>
      <c r="J97" s="131" t="s">
        <v>6</v>
      </c>
      <c r="K97" s="141">
        <f t="shared" ref="K97" si="33">I97*H97</f>
        <v>0.20800000000000005</v>
      </c>
      <c r="L97" s="126"/>
      <c r="M97" s="127"/>
      <c r="N97" s="127"/>
      <c r="O97" s="127"/>
      <c r="P97" s="127"/>
      <c r="Q97" s="128"/>
      <c r="S97" s="282"/>
    </row>
    <row r="98" spans="1:19" ht="31.5" customHeight="1" x14ac:dyDescent="0.15">
      <c r="A98" s="146"/>
      <c r="B98" s="545" t="s">
        <v>724</v>
      </c>
      <c r="C98" s="546"/>
      <c r="D98" s="147"/>
      <c r="E98" s="141">
        <v>2.5</v>
      </c>
      <c r="F98" s="141">
        <v>1.5</v>
      </c>
      <c r="G98" s="141">
        <v>0.05</v>
      </c>
      <c r="H98" s="141">
        <v>1</v>
      </c>
      <c r="I98" s="141">
        <f t="shared" si="28"/>
        <v>0.1875</v>
      </c>
      <c r="J98" s="131" t="s">
        <v>6</v>
      </c>
      <c r="K98" s="141">
        <f t="shared" si="29"/>
        <v>0.1875</v>
      </c>
      <c r="L98" s="126"/>
      <c r="M98" s="127"/>
      <c r="N98" s="127"/>
      <c r="O98" s="127"/>
      <c r="P98" s="127"/>
      <c r="Q98" s="128"/>
      <c r="S98" s="282"/>
    </row>
    <row r="99" spans="1:19" ht="14" x14ac:dyDescent="0.15">
      <c r="A99" s="547" t="s">
        <v>149</v>
      </c>
      <c r="B99" s="548"/>
      <c r="C99" s="548"/>
      <c r="D99" s="548"/>
      <c r="E99" s="548"/>
      <c r="F99" s="548"/>
      <c r="G99" s="548"/>
      <c r="H99" s="548"/>
      <c r="I99" s="548"/>
      <c r="J99" s="549"/>
      <c r="K99" s="311">
        <f>SUM(K95:K98)</f>
        <v>0.90150000000000008</v>
      </c>
      <c r="L99" s="132"/>
      <c r="M99" s="133"/>
      <c r="N99" s="133"/>
      <c r="O99" s="133"/>
      <c r="P99" s="133"/>
      <c r="Q99" s="134"/>
      <c r="R99" s="212"/>
    </row>
    <row r="100" spans="1:19" x14ac:dyDescent="0.15">
      <c r="A100" s="550"/>
      <c r="B100" s="551"/>
      <c r="C100" s="551"/>
      <c r="D100" s="551"/>
      <c r="E100" s="551"/>
      <c r="F100" s="551"/>
      <c r="G100" s="551"/>
      <c r="H100" s="551"/>
      <c r="I100" s="551"/>
      <c r="J100" s="551"/>
      <c r="K100" s="551"/>
      <c r="L100" s="551"/>
      <c r="M100" s="551"/>
      <c r="N100" s="551"/>
      <c r="O100" s="551"/>
      <c r="P100" s="551"/>
      <c r="Q100" s="552"/>
    </row>
    <row r="101" spans="1:19" s="120" customFormat="1" ht="18" customHeight="1" x14ac:dyDescent="0.15">
      <c r="A101" s="396" t="s">
        <v>0</v>
      </c>
      <c r="B101" s="562" t="s">
        <v>725</v>
      </c>
      <c r="C101" s="563"/>
      <c r="D101" s="563"/>
      <c r="E101" s="563"/>
      <c r="F101" s="563"/>
      <c r="G101" s="563"/>
      <c r="H101" s="563"/>
      <c r="I101" s="563"/>
      <c r="J101" s="563"/>
      <c r="K101" s="563"/>
      <c r="L101" s="563"/>
      <c r="M101" s="563"/>
      <c r="N101" s="563"/>
      <c r="O101" s="394" t="s">
        <v>73</v>
      </c>
      <c r="P101" s="547" t="s">
        <v>316</v>
      </c>
      <c r="Q101" s="549"/>
    </row>
    <row r="102" spans="1:19" x14ac:dyDescent="0.15">
      <c r="A102" s="550"/>
      <c r="B102" s="551"/>
      <c r="C102" s="551"/>
      <c r="D102" s="551"/>
      <c r="E102" s="551"/>
      <c r="F102" s="551"/>
      <c r="G102" s="551"/>
      <c r="H102" s="551"/>
      <c r="I102" s="551"/>
      <c r="J102" s="551"/>
      <c r="K102" s="551"/>
      <c r="L102" s="551"/>
      <c r="M102" s="551"/>
      <c r="N102" s="551"/>
      <c r="O102" s="551"/>
      <c r="P102" s="551"/>
      <c r="Q102" s="552"/>
    </row>
    <row r="103" spans="1:19" s="125" customFormat="1" x14ac:dyDescent="0.15">
      <c r="A103" s="553" t="s">
        <v>150</v>
      </c>
      <c r="B103" s="540" t="s">
        <v>151</v>
      </c>
      <c r="C103" s="540"/>
      <c r="D103" s="541"/>
      <c r="E103" s="540" t="s">
        <v>152</v>
      </c>
      <c r="F103" s="540"/>
      <c r="G103" s="540"/>
      <c r="H103" s="541" t="s">
        <v>153</v>
      </c>
      <c r="I103" s="541" t="s">
        <v>410</v>
      </c>
      <c r="J103" s="543" t="s">
        <v>73</v>
      </c>
      <c r="K103" s="394" t="s">
        <v>154</v>
      </c>
      <c r="L103" s="122"/>
      <c r="M103" s="123"/>
      <c r="N103" s="123"/>
      <c r="O103" s="123"/>
      <c r="P103" s="123"/>
      <c r="Q103" s="124"/>
    </row>
    <row r="104" spans="1:19" s="129" customFormat="1" x14ac:dyDescent="0.15">
      <c r="A104" s="553"/>
      <c r="B104" s="540"/>
      <c r="C104" s="540"/>
      <c r="D104" s="542"/>
      <c r="E104" s="393" t="s">
        <v>155</v>
      </c>
      <c r="F104" s="393" t="s">
        <v>156</v>
      </c>
      <c r="G104" s="393" t="s">
        <v>157</v>
      </c>
      <c r="H104" s="542"/>
      <c r="I104" s="542"/>
      <c r="J104" s="544"/>
      <c r="K104" s="394" t="s">
        <v>158</v>
      </c>
      <c r="L104" s="126"/>
      <c r="M104" s="127"/>
      <c r="N104" s="127"/>
      <c r="O104" s="127"/>
      <c r="P104" s="127"/>
      <c r="Q104" s="128"/>
    </row>
    <row r="105" spans="1:19" ht="27.75" customHeight="1" x14ac:dyDescent="0.15">
      <c r="A105" s="146"/>
      <c r="B105" s="545" t="s">
        <v>905</v>
      </c>
      <c r="C105" s="546"/>
      <c r="D105" s="147"/>
      <c r="E105" s="141">
        <v>1</v>
      </c>
      <c r="F105" s="141">
        <v>1</v>
      </c>
      <c r="G105" s="141">
        <v>0.3</v>
      </c>
      <c r="H105" s="141">
        <v>4</v>
      </c>
      <c r="I105" s="141">
        <v>1</v>
      </c>
      <c r="J105" s="131" t="s">
        <v>316</v>
      </c>
      <c r="K105" s="141">
        <f>I105*H105</f>
        <v>4</v>
      </c>
      <c r="L105" s="126"/>
      <c r="M105" s="127"/>
      <c r="N105" s="127"/>
      <c r="O105" s="127"/>
      <c r="P105" s="127"/>
      <c r="Q105" s="128"/>
    </row>
    <row r="106" spans="1:19" ht="14" x14ac:dyDescent="0.15">
      <c r="A106" s="547" t="s">
        <v>149</v>
      </c>
      <c r="B106" s="548"/>
      <c r="C106" s="548"/>
      <c r="D106" s="548"/>
      <c r="E106" s="548"/>
      <c r="F106" s="548"/>
      <c r="G106" s="548"/>
      <c r="H106" s="548"/>
      <c r="I106" s="548"/>
      <c r="J106" s="549"/>
      <c r="K106" s="311">
        <f>SUM(K105:K105)</f>
        <v>4</v>
      </c>
      <c r="L106" s="132"/>
      <c r="M106" s="133"/>
      <c r="N106" s="133"/>
      <c r="O106" s="133"/>
      <c r="P106" s="133"/>
      <c r="Q106" s="134"/>
    </row>
    <row r="107" spans="1:19" x14ac:dyDescent="0.15">
      <c r="A107" s="550"/>
      <c r="B107" s="551"/>
      <c r="C107" s="551"/>
      <c r="D107" s="551"/>
      <c r="E107" s="551"/>
      <c r="F107" s="551"/>
      <c r="G107" s="551"/>
      <c r="H107" s="551"/>
      <c r="I107" s="551"/>
      <c r="J107" s="551"/>
      <c r="K107" s="551"/>
      <c r="L107" s="551"/>
      <c r="M107" s="551"/>
      <c r="N107" s="551"/>
      <c r="O107" s="551"/>
      <c r="P107" s="551"/>
      <c r="Q107" s="552"/>
    </row>
    <row r="108" spans="1:19" s="120" customFormat="1" ht="18" customHeight="1" x14ac:dyDescent="0.15">
      <c r="A108" s="396" t="s">
        <v>0</v>
      </c>
      <c r="B108" s="562" t="s">
        <v>918</v>
      </c>
      <c r="C108" s="563"/>
      <c r="D108" s="563"/>
      <c r="E108" s="563"/>
      <c r="F108" s="563"/>
      <c r="G108" s="563"/>
      <c r="H108" s="563"/>
      <c r="I108" s="563"/>
      <c r="J108" s="563"/>
      <c r="K108" s="563"/>
      <c r="L108" s="563"/>
      <c r="M108" s="563"/>
      <c r="N108" s="563"/>
      <c r="O108" s="394" t="s">
        <v>73</v>
      </c>
      <c r="P108" s="547" t="s">
        <v>316</v>
      </c>
      <c r="Q108" s="549"/>
    </row>
    <row r="109" spans="1:19" x14ac:dyDescent="0.15">
      <c r="A109" s="550"/>
      <c r="B109" s="551"/>
      <c r="C109" s="551"/>
      <c r="D109" s="551"/>
      <c r="E109" s="551"/>
      <c r="F109" s="551"/>
      <c r="G109" s="551"/>
      <c r="H109" s="551"/>
      <c r="I109" s="551"/>
      <c r="J109" s="551"/>
      <c r="K109" s="551"/>
      <c r="L109" s="551"/>
      <c r="M109" s="551"/>
      <c r="N109" s="551"/>
      <c r="O109" s="551"/>
      <c r="P109" s="551"/>
      <c r="Q109" s="552"/>
    </row>
    <row r="110" spans="1:19" s="125" customFormat="1" x14ac:dyDescent="0.15">
      <c r="A110" s="553" t="s">
        <v>150</v>
      </c>
      <c r="B110" s="540" t="s">
        <v>151</v>
      </c>
      <c r="C110" s="540"/>
      <c r="D110" s="541"/>
      <c r="E110" s="540" t="s">
        <v>152</v>
      </c>
      <c r="F110" s="540"/>
      <c r="G110" s="540"/>
      <c r="H110" s="541" t="s">
        <v>153</v>
      </c>
      <c r="I110" s="541" t="s">
        <v>410</v>
      </c>
      <c r="J110" s="543" t="s">
        <v>73</v>
      </c>
      <c r="K110" s="394" t="s">
        <v>154</v>
      </c>
      <c r="L110" s="122"/>
      <c r="M110" s="123"/>
      <c r="N110" s="123"/>
      <c r="O110" s="123"/>
      <c r="P110" s="123"/>
      <c r="Q110" s="124"/>
    </row>
    <row r="111" spans="1:19" s="129" customFormat="1" x14ac:dyDescent="0.15">
      <c r="A111" s="553"/>
      <c r="B111" s="540"/>
      <c r="C111" s="540"/>
      <c r="D111" s="542"/>
      <c r="E111" s="393" t="s">
        <v>155</v>
      </c>
      <c r="F111" s="393" t="s">
        <v>156</v>
      </c>
      <c r="G111" s="393" t="s">
        <v>157</v>
      </c>
      <c r="H111" s="542"/>
      <c r="I111" s="542"/>
      <c r="J111" s="544"/>
      <c r="K111" s="394" t="s">
        <v>158</v>
      </c>
      <c r="L111" s="126"/>
      <c r="M111" s="127"/>
      <c r="N111" s="127"/>
      <c r="O111" s="127"/>
      <c r="P111" s="127"/>
      <c r="Q111" s="128"/>
    </row>
    <row r="112" spans="1:19" ht="27.75" customHeight="1" x14ac:dyDescent="0.15">
      <c r="A112" s="146"/>
      <c r="B112" s="545" t="s">
        <v>904</v>
      </c>
      <c r="C112" s="546"/>
      <c r="D112" s="147"/>
      <c r="E112" s="141">
        <v>0.6</v>
      </c>
      <c r="F112" s="141">
        <v>0.6</v>
      </c>
      <c r="G112" s="141">
        <v>0.25</v>
      </c>
      <c r="H112" s="141">
        <v>17</v>
      </c>
      <c r="I112" s="141">
        <v>1</v>
      </c>
      <c r="J112" s="131" t="s">
        <v>316</v>
      </c>
      <c r="K112" s="141">
        <f>I112*H112</f>
        <v>17</v>
      </c>
      <c r="L112" s="126"/>
      <c r="M112" s="127"/>
      <c r="N112" s="127"/>
      <c r="O112" s="127"/>
      <c r="P112" s="127"/>
      <c r="Q112" s="128"/>
    </row>
    <row r="113" spans="1:17" ht="14" x14ac:dyDescent="0.15">
      <c r="A113" s="547" t="s">
        <v>149</v>
      </c>
      <c r="B113" s="548"/>
      <c r="C113" s="548"/>
      <c r="D113" s="548"/>
      <c r="E113" s="548"/>
      <c r="F113" s="548"/>
      <c r="G113" s="548"/>
      <c r="H113" s="548"/>
      <c r="I113" s="548"/>
      <c r="J113" s="549"/>
      <c r="K113" s="311">
        <f>SUM(K112:K112)</f>
        <v>17</v>
      </c>
      <c r="L113" s="132"/>
      <c r="M113" s="133"/>
      <c r="N113" s="133"/>
      <c r="O113" s="133"/>
      <c r="P113" s="133"/>
      <c r="Q113" s="134"/>
    </row>
    <row r="114" spans="1:17" x14ac:dyDescent="0.15">
      <c r="A114" s="550"/>
      <c r="B114" s="551"/>
      <c r="C114" s="551"/>
      <c r="D114" s="551"/>
      <c r="E114" s="551"/>
      <c r="F114" s="551"/>
      <c r="G114" s="551"/>
      <c r="H114" s="551"/>
      <c r="I114" s="551"/>
      <c r="J114" s="551"/>
      <c r="K114" s="551"/>
      <c r="L114" s="551"/>
      <c r="M114" s="551"/>
      <c r="N114" s="551"/>
      <c r="O114" s="551"/>
      <c r="P114" s="551"/>
      <c r="Q114" s="552"/>
    </row>
    <row r="115" spans="1:17" s="120" customFormat="1" ht="18" customHeight="1" x14ac:dyDescent="0.15">
      <c r="A115" s="396" t="s">
        <v>0</v>
      </c>
      <c r="B115" s="562" t="s">
        <v>889</v>
      </c>
      <c r="C115" s="563"/>
      <c r="D115" s="563"/>
      <c r="E115" s="563"/>
      <c r="F115" s="563"/>
      <c r="G115" s="563"/>
      <c r="H115" s="563"/>
      <c r="I115" s="563"/>
      <c r="J115" s="563"/>
      <c r="K115" s="563"/>
      <c r="L115" s="563"/>
      <c r="M115" s="563"/>
      <c r="N115" s="563"/>
      <c r="O115" s="394" t="s">
        <v>73</v>
      </c>
      <c r="P115" s="547" t="s">
        <v>316</v>
      </c>
      <c r="Q115" s="549"/>
    </row>
    <row r="116" spans="1:17" x14ac:dyDescent="0.15">
      <c r="A116" s="550"/>
      <c r="B116" s="551"/>
      <c r="C116" s="551"/>
      <c r="D116" s="551"/>
      <c r="E116" s="551"/>
      <c r="F116" s="551"/>
      <c r="G116" s="551"/>
      <c r="H116" s="551"/>
      <c r="I116" s="551"/>
      <c r="J116" s="551"/>
      <c r="K116" s="551"/>
      <c r="L116" s="551"/>
      <c r="M116" s="551"/>
      <c r="N116" s="551"/>
      <c r="O116" s="551"/>
      <c r="P116" s="551"/>
      <c r="Q116" s="552"/>
    </row>
    <row r="117" spans="1:17" s="125" customFormat="1" x14ac:dyDescent="0.15">
      <c r="A117" s="553" t="s">
        <v>150</v>
      </c>
      <c r="B117" s="540" t="s">
        <v>151</v>
      </c>
      <c r="C117" s="540"/>
      <c r="D117" s="541"/>
      <c r="E117" s="540" t="s">
        <v>152</v>
      </c>
      <c r="F117" s="540"/>
      <c r="G117" s="540"/>
      <c r="H117" s="541" t="s">
        <v>153</v>
      </c>
      <c r="I117" s="541" t="s">
        <v>410</v>
      </c>
      <c r="J117" s="543" t="s">
        <v>73</v>
      </c>
      <c r="K117" s="394" t="s">
        <v>154</v>
      </c>
      <c r="L117" s="122"/>
      <c r="M117" s="123"/>
      <c r="N117" s="123"/>
      <c r="O117" s="123"/>
      <c r="P117" s="123"/>
      <c r="Q117" s="124"/>
    </row>
    <row r="118" spans="1:17" s="129" customFormat="1" x14ac:dyDescent="0.15">
      <c r="A118" s="553"/>
      <c r="B118" s="540"/>
      <c r="C118" s="540"/>
      <c r="D118" s="542"/>
      <c r="E118" s="393" t="s">
        <v>155</v>
      </c>
      <c r="F118" s="393" t="s">
        <v>156</v>
      </c>
      <c r="G118" s="393" t="s">
        <v>157</v>
      </c>
      <c r="H118" s="542"/>
      <c r="I118" s="542"/>
      <c r="J118" s="544"/>
      <c r="K118" s="394" t="s">
        <v>158</v>
      </c>
      <c r="L118" s="126"/>
      <c r="M118" s="127"/>
      <c r="N118" s="127"/>
      <c r="O118" s="127"/>
      <c r="P118" s="127"/>
      <c r="Q118" s="128"/>
    </row>
    <row r="119" spans="1:17" ht="27.75" customHeight="1" x14ac:dyDescent="0.15">
      <c r="A119" s="146"/>
      <c r="B119" s="545" t="s">
        <v>906</v>
      </c>
      <c r="C119" s="546"/>
      <c r="D119" s="147"/>
      <c r="E119" s="141">
        <v>0.4</v>
      </c>
      <c r="F119" s="141">
        <v>0.4</v>
      </c>
      <c r="G119" s="141">
        <v>0.25</v>
      </c>
      <c r="H119" s="141">
        <v>26</v>
      </c>
      <c r="I119" s="141">
        <v>1</v>
      </c>
      <c r="J119" s="131" t="s">
        <v>316</v>
      </c>
      <c r="K119" s="141">
        <f>I119*H119</f>
        <v>26</v>
      </c>
      <c r="L119" s="126"/>
      <c r="M119" s="127"/>
      <c r="N119" s="127"/>
      <c r="O119" s="127"/>
      <c r="P119" s="127"/>
      <c r="Q119" s="128"/>
    </row>
    <row r="120" spans="1:17" ht="14" x14ac:dyDescent="0.15">
      <c r="A120" s="547" t="s">
        <v>149</v>
      </c>
      <c r="B120" s="548"/>
      <c r="C120" s="548"/>
      <c r="D120" s="548"/>
      <c r="E120" s="548"/>
      <c r="F120" s="548"/>
      <c r="G120" s="548"/>
      <c r="H120" s="548"/>
      <c r="I120" s="548"/>
      <c r="J120" s="549"/>
      <c r="K120" s="311">
        <f>SUM(K119:K119)</f>
        <v>26</v>
      </c>
      <c r="L120" s="132"/>
      <c r="M120" s="133"/>
      <c r="N120" s="133"/>
      <c r="O120" s="133"/>
      <c r="P120" s="133"/>
      <c r="Q120" s="134"/>
    </row>
    <row r="121" spans="1:17" x14ac:dyDescent="0.15">
      <c r="A121" s="550"/>
      <c r="B121" s="551"/>
      <c r="C121" s="551"/>
      <c r="D121" s="551"/>
      <c r="E121" s="551"/>
      <c r="F121" s="551"/>
      <c r="G121" s="551"/>
      <c r="H121" s="551"/>
      <c r="I121" s="551"/>
      <c r="J121" s="551"/>
      <c r="K121" s="551"/>
      <c r="L121" s="551"/>
      <c r="M121" s="551"/>
      <c r="N121" s="551"/>
      <c r="O121" s="551"/>
      <c r="P121" s="551"/>
      <c r="Q121" s="552"/>
    </row>
    <row r="122" spans="1:17" s="120" customFormat="1" ht="18" customHeight="1" x14ac:dyDescent="0.15">
      <c r="A122" s="396" t="s">
        <v>0</v>
      </c>
      <c r="B122" s="562" t="s">
        <v>920</v>
      </c>
      <c r="C122" s="563"/>
      <c r="D122" s="563"/>
      <c r="E122" s="563"/>
      <c r="F122" s="563"/>
      <c r="G122" s="563"/>
      <c r="H122" s="563"/>
      <c r="I122" s="563"/>
      <c r="J122" s="563"/>
      <c r="K122" s="563"/>
      <c r="L122" s="563"/>
      <c r="M122" s="563"/>
      <c r="N122" s="563"/>
      <c r="O122" s="394" t="s">
        <v>73</v>
      </c>
      <c r="P122" s="547" t="s">
        <v>193</v>
      </c>
      <c r="Q122" s="549"/>
    </row>
    <row r="123" spans="1:17" x14ac:dyDescent="0.15">
      <c r="A123" s="550"/>
      <c r="B123" s="551"/>
      <c r="C123" s="551"/>
      <c r="D123" s="551"/>
      <c r="E123" s="551"/>
      <c r="F123" s="551"/>
      <c r="G123" s="551"/>
      <c r="H123" s="551"/>
      <c r="I123" s="551"/>
      <c r="J123" s="551"/>
      <c r="K123" s="551"/>
      <c r="L123" s="551"/>
      <c r="M123" s="551"/>
      <c r="N123" s="551"/>
      <c r="O123" s="551"/>
      <c r="P123" s="551"/>
      <c r="Q123" s="552"/>
    </row>
    <row r="124" spans="1:17" s="125" customFormat="1" x14ac:dyDescent="0.15">
      <c r="A124" s="553" t="s">
        <v>150</v>
      </c>
      <c r="B124" s="540" t="s">
        <v>151</v>
      </c>
      <c r="C124" s="540"/>
      <c r="D124" s="541"/>
      <c r="E124" s="540" t="s">
        <v>152</v>
      </c>
      <c r="F124" s="540"/>
      <c r="G124" s="540"/>
      <c r="H124" s="541" t="s">
        <v>153</v>
      </c>
      <c r="I124" s="541" t="s">
        <v>241</v>
      </c>
      <c r="J124" s="543" t="s">
        <v>73</v>
      </c>
      <c r="K124" s="394" t="s">
        <v>154</v>
      </c>
      <c r="L124" s="122"/>
      <c r="M124" s="123"/>
      <c r="N124" s="123"/>
      <c r="O124" s="123"/>
      <c r="P124" s="123"/>
      <c r="Q124" s="124"/>
    </row>
    <row r="125" spans="1:17" s="129" customFormat="1" x14ac:dyDescent="0.15">
      <c r="A125" s="553"/>
      <c r="B125" s="540"/>
      <c r="C125" s="540"/>
      <c r="D125" s="542"/>
      <c r="E125" s="393" t="s">
        <v>155</v>
      </c>
      <c r="F125" s="393" t="s">
        <v>156</v>
      </c>
      <c r="G125" s="393" t="s">
        <v>157</v>
      </c>
      <c r="H125" s="542"/>
      <c r="I125" s="542"/>
      <c r="J125" s="544"/>
      <c r="K125" s="394" t="s">
        <v>158</v>
      </c>
      <c r="L125" s="126"/>
      <c r="M125" s="127"/>
      <c r="N125" s="127"/>
      <c r="O125" s="127"/>
      <c r="P125" s="127"/>
      <c r="Q125" s="128"/>
    </row>
    <row r="126" spans="1:17" ht="33" customHeight="1" x14ac:dyDescent="0.15">
      <c r="A126" s="146"/>
      <c r="B126" s="545" t="s">
        <v>907</v>
      </c>
      <c r="C126" s="546"/>
      <c r="D126" s="147"/>
      <c r="E126" s="141">
        <v>19.3</v>
      </c>
      <c r="F126" s="141">
        <v>0.3</v>
      </c>
      <c r="G126" s="141">
        <v>0.3</v>
      </c>
      <c r="H126" s="141">
        <v>3</v>
      </c>
      <c r="I126" s="141">
        <f t="shared" ref="I126:I127" si="34">E126</f>
        <v>19.3</v>
      </c>
      <c r="J126" s="131" t="s">
        <v>193</v>
      </c>
      <c r="K126" s="141">
        <f t="shared" ref="K126:K127" si="35">I126*H126</f>
        <v>57.900000000000006</v>
      </c>
      <c r="L126" s="126"/>
      <c r="M126" s="127"/>
      <c r="N126" s="127"/>
      <c r="O126" s="127"/>
      <c r="P126" s="127"/>
      <c r="Q126" s="128"/>
    </row>
    <row r="127" spans="1:17" ht="33" customHeight="1" x14ac:dyDescent="0.15">
      <c r="A127" s="146"/>
      <c r="B127" s="545" t="s">
        <v>907</v>
      </c>
      <c r="C127" s="546"/>
      <c r="D127" s="147"/>
      <c r="E127" s="141">
        <v>8.5299999999999994</v>
      </c>
      <c r="F127" s="141">
        <v>0.3</v>
      </c>
      <c r="G127" s="141">
        <v>0.3</v>
      </c>
      <c r="H127" s="141">
        <v>7</v>
      </c>
      <c r="I127" s="141">
        <f t="shared" si="34"/>
        <v>8.5299999999999994</v>
      </c>
      <c r="J127" s="131" t="s">
        <v>193</v>
      </c>
      <c r="K127" s="141">
        <f t="shared" si="35"/>
        <v>59.709999999999994</v>
      </c>
      <c r="L127" s="126"/>
      <c r="M127" s="127"/>
      <c r="N127" s="127"/>
      <c r="O127" s="127"/>
      <c r="P127" s="127"/>
      <c r="Q127" s="128"/>
    </row>
    <row r="128" spans="1:17" ht="14" x14ac:dyDescent="0.15">
      <c r="A128" s="547" t="s">
        <v>149</v>
      </c>
      <c r="B128" s="548"/>
      <c r="C128" s="548"/>
      <c r="D128" s="548"/>
      <c r="E128" s="548"/>
      <c r="F128" s="548"/>
      <c r="G128" s="548"/>
      <c r="H128" s="548"/>
      <c r="I128" s="548"/>
      <c r="J128" s="549"/>
      <c r="K128" s="311">
        <f>SUM(K126:K127)</f>
        <v>117.61</v>
      </c>
      <c r="L128" s="132"/>
      <c r="M128" s="133"/>
      <c r="N128" s="133"/>
      <c r="O128" s="133"/>
      <c r="P128" s="133"/>
      <c r="Q128" s="134"/>
    </row>
    <row r="129" spans="1:17" x14ac:dyDescent="0.15">
      <c r="A129" s="550"/>
      <c r="B129" s="551"/>
      <c r="C129" s="551"/>
      <c r="D129" s="551"/>
      <c r="E129" s="551"/>
      <c r="F129" s="551"/>
      <c r="G129" s="551"/>
      <c r="H129" s="551"/>
      <c r="I129" s="551"/>
      <c r="J129" s="551"/>
      <c r="K129" s="551"/>
      <c r="L129" s="551"/>
      <c r="M129" s="551"/>
      <c r="N129" s="551"/>
      <c r="O129" s="551"/>
      <c r="P129" s="551"/>
      <c r="Q129" s="552"/>
    </row>
    <row r="130" spans="1:17" s="120" customFormat="1" ht="18" customHeight="1" x14ac:dyDescent="0.15">
      <c r="A130" s="396" t="s">
        <v>0</v>
      </c>
      <c r="B130" s="562" t="s">
        <v>886</v>
      </c>
      <c r="C130" s="563"/>
      <c r="D130" s="563"/>
      <c r="E130" s="563"/>
      <c r="F130" s="563"/>
      <c r="G130" s="563"/>
      <c r="H130" s="563"/>
      <c r="I130" s="563"/>
      <c r="J130" s="563"/>
      <c r="K130" s="563"/>
      <c r="L130" s="563"/>
      <c r="M130" s="563"/>
      <c r="N130" s="563"/>
      <c r="O130" s="394" t="s">
        <v>73</v>
      </c>
      <c r="P130" s="547" t="s">
        <v>193</v>
      </c>
      <c r="Q130" s="549"/>
    </row>
    <row r="131" spans="1:17" x14ac:dyDescent="0.15">
      <c r="A131" s="550"/>
      <c r="B131" s="551"/>
      <c r="C131" s="551"/>
      <c r="D131" s="551"/>
      <c r="E131" s="551"/>
      <c r="F131" s="551"/>
      <c r="G131" s="551"/>
      <c r="H131" s="551"/>
      <c r="I131" s="551"/>
      <c r="J131" s="551"/>
      <c r="K131" s="551"/>
      <c r="L131" s="551"/>
      <c r="M131" s="551"/>
      <c r="N131" s="551"/>
      <c r="O131" s="551"/>
      <c r="P131" s="551"/>
      <c r="Q131" s="552"/>
    </row>
    <row r="132" spans="1:17" s="125" customFormat="1" x14ac:dyDescent="0.15">
      <c r="A132" s="553" t="s">
        <v>150</v>
      </c>
      <c r="B132" s="540" t="s">
        <v>151</v>
      </c>
      <c r="C132" s="540"/>
      <c r="D132" s="541"/>
      <c r="E132" s="540" t="s">
        <v>152</v>
      </c>
      <c r="F132" s="540"/>
      <c r="G132" s="540"/>
      <c r="H132" s="541" t="s">
        <v>153</v>
      </c>
      <c r="I132" s="541" t="s">
        <v>241</v>
      </c>
      <c r="J132" s="543" t="s">
        <v>73</v>
      </c>
      <c r="K132" s="394" t="s">
        <v>154</v>
      </c>
      <c r="L132" s="122"/>
      <c r="M132" s="123"/>
      <c r="N132" s="123"/>
      <c r="O132" s="123"/>
      <c r="P132" s="123"/>
      <c r="Q132" s="124"/>
    </row>
    <row r="133" spans="1:17" s="129" customFormat="1" x14ac:dyDescent="0.15">
      <c r="A133" s="553"/>
      <c r="B133" s="540"/>
      <c r="C133" s="540"/>
      <c r="D133" s="542"/>
      <c r="E133" s="393" t="s">
        <v>155</v>
      </c>
      <c r="F133" s="393" t="s">
        <v>156</v>
      </c>
      <c r="G133" s="393" t="s">
        <v>157</v>
      </c>
      <c r="H133" s="542"/>
      <c r="I133" s="542"/>
      <c r="J133" s="544"/>
      <c r="K133" s="394" t="s">
        <v>158</v>
      </c>
      <c r="L133" s="126"/>
      <c r="M133" s="127"/>
      <c r="N133" s="127"/>
      <c r="O133" s="127"/>
      <c r="P133" s="127"/>
      <c r="Q133" s="128"/>
    </row>
    <row r="134" spans="1:17" ht="33" customHeight="1" x14ac:dyDescent="0.15">
      <c r="A134" s="146"/>
      <c r="B134" s="545" t="s">
        <v>908</v>
      </c>
      <c r="C134" s="546"/>
      <c r="D134" s="147"/>
      <c r="E134" s="141">
        <v>52.26</v>
      </c>
      <c r="F134" s="141">
        <v>0.25</v>
      </c>
      <c r="G134" s="141">
        <v>0.25</v>
      </c>
      <c r="H134" s="141">
        <v>1</v>
      </c>
      <c r="I134" s="141">
        <f t="shared" ref="I134:I137" si="36">E134</f>
        <v>52.26</v>
      </c>
      <c r="J134" s="131" t="s">
        <v>193</v>
      </c>
      <c r="K134" s="141">
        <f t="shared" ref="K134:K137" si="37">I134*H134</f>
        <v>52.26</v>
      </c>
      <c r="L134" s="126"/>
      <c r="M134" s="127"/>
      <c r="N134" s="127"/>
      <c r="O134" s="127"/>
      <c r="P134" s="127"/>
      <c r="Q134" s="128"/>
    </row>
    <row r="135" spans="1:17" ht="33" customHeight="1" x14ac:dyDescent="0.15">
      <c r="A135" s="146"/>
      <c r="B135" s="545" t="s">
        <v>908</v>
      </c>
      <c r="C135" s="546"/>
      <c r="D135" s="147"/>
      <c r="E135" s="141">
        <v>0.85</v>
      </c>
      <c r="F135" s="141">
        <v>0.25</v>
      </c>
      <c r="G135" s="141">
        <v>0.25</v>
      </c>
      <c r="H135" s="141">
        <v>3</v>
      </c>
      <c r="I135" s="141">
        <f t="shared" si="36"/>
        <v>0.85</v>
      </c>
      <c r="J135" s="131" t="s">
        <v>193</v>
      </c>
      <c r="K135" s="141">
        <f t="shared" si="37"/>
        <v>2.5499999999999998</v>
      </c>
      <c r="L135" s="126"/>
      <c r="M135" s="127"/>
      <c r="N135" s="127"/>
      <c r="O135" s="127"/>
      <c r="P135" s="127"/>
      <c r="Q135" s="128"/>
    </row>
    <row r="136" spans="1:17" ht="33" customHeight="1" x14ac:dyDescent="0.15">
      <c r="A136" s="146"/>
      <c r="B136" s="545" t="s">
        <v>909</v>
      </c>
      <c r="C136" s="546"/>
      <c r="D136" s="147"/>
      <c r="E136" s="141">
        <v>10.7</v>
      </c>
      <c r="F136" s="141">
        <v>0.25</v>
      </c>
      <c r="G136" s="141">
        <v>0.25</v>
      </c>
      <c r="H136" s="141">
        <v>1</v>
      </c>
      <c r="I136" s="141">
        <f t="shared" si="36"/>
        <v>10.7</v>
      </c>
      <c r="J136" s="131" t="s">
        <v>193</v>
      </c>
      <c r="K136" s="141">
        <f t="shared" si="37"/>
        <v>10.7</v>
      </c>
      <c r="L136" s="126"/>
      <c r="M136" s="127"/>
      <c r="N136" s="127"/>
      <c r="O136" s="127"/>
      <c r="P136" s="127"/>
      <c r="Q136" s="128"/>
    </row>
    <row r="137" spans="1:17" ht="33" customHeight="1" x14ac:dyDescent="0.15">
      <c r="A137" s="146"/>
      <c r="B137" s="545" t="s">
        <v>909</v>
      </c>
      <c r="C137" s="546"/>
      <c r="D137" s="147"/>
      <c r="E137" s="141">
        <v>0.85</v>
      </c>
      <c r="F137" s="141">
        <v>0.25</v>
      </c>
      <c r="G137" s="141">
        <v>0.25</v>
      </c>
      <c r="H137" s="141">
        <v>3</v>
      </c>
      <c r="I137" s="141">
        <f t="shared" si="36"/>
        <v>0.85</v>
      </c>
      <c r="J137" s="131" t="s">
        <v>193</v>
      </c>
      <c r="K137" s="141">
        <f t="shared" si="37"/>
        <v>2.5499999999999998</v>
      </c>
      <c r="L137" s="126"/>
      <c r="M137" s="127"/>
      <c r="N137" s="127"/>
      <c r="O137" s="127"/>
      <c r="P137" s="127"/>
      <c r="Q137" s="128"/>
    </row>
    <row r="138" spans="1:17" ht="39.75" customHeight="1" x14ac:dyDescent="0.15">
      <c r="A138" s="146"/>
      <c r="B138" s="545" t="s">
        <v>909</v>
      </c>
      <c r="C138" s="546"/>
      <c r="D138" s="147"/>
      <c r="E138" s="141">
        <v>1.35</v>
      </c>
      <c r="F138" s="141">
        <v>0.25</v>
      </c>
      <c r="G138" s="141">
        <v>0.25</v>
      </c>
      <c r="H138" s="141">
        <v>1</v>
      </c>
      <c r="I138" s="141">
        <f t="shared" ref="I138" si="38">E138</f>
        <v>1.35</v>
      </c>
      <c r="J138" s="131" t="s">
        <v>193</v>
      </c>
      <c r="K138" s="141">
        <f t="shared" ref="K138" si="39">I138*H138</f>
        <v>1.35</v>
      </c>
      <c r="L138" s="126"/>
      <c r="M138" s="127"/>
      <c r="N138" s="127"/>
      <c r="O138" s="127"/>
      <c r="P138" s="127"/>
      <c r="Q138" s="128"/>
    </row>
    <row r="139" spans="1:17" ht="39.75" customHeight="1" x14ac:dyDescent="0.15">
      <c r="A139" s="146"/>
      <c r="B139" s="545" t="s">
        <v>777</v>
      </c>
      <c r="C139" s="546"/>
      <c r="D139" s="147"/>
      <c r="E139" s="141">
        <v>85.23</v>
      </c>
      <c r="F139" s="141">
        <v>0.25</v>
      </c>
      <c r="G139" s="141">
        <v>0.25</v>
      </c>
      <c r="H139" s="141">
        <v>1</v>
      </c>
      <c r="I139" s="141">
        <f t="shared" ref="I139" si="40">E139</f>
        <v>85.23</v>
      </c>
      <c r="J139" s="131" t="s">
        <v>193</v>
      </c>
      <c r="K139" s="141">
        <f t="shared" ref="K139" si="41">I139*H139</f>
        <v>85.23</v>
      </c>
      <c r="L139" s="126"/>
      <c r="M139" s="127"/>
      <c r="N139" s="127"/>
      <c r="O139" s="127"/>
      <c r="P139" s="127"/>
      <c r="Q139" s="128"/>
    </row>
    <row r="140" spans="1:17" ht="14" x14ac:dyDescent="0.15">
      <c r="A140" s="547" t="s">
        <v>149</v>
      </c>
      <c r="B140" s="548"/>
      <c r="C140" s="548"/>
      <c r="D140" s="548"/>
      <c r="E140" s="548"/>
      <c r="F140" s="548"/>
      <c r="G140" s="548"/>
      <c r="H140" s="548"/>
      <c r="I140" s="548"/>
      <c r="J140" s="549"/>
      <c r="K140" s="311">
        <f>SUM(K134:K139)</f>
        <v>154.63999999999999</v>
      </c>
      <c r="L140" s="132"/>
      <c r="M140" s="133"/>
      <c r="N140" s="133"/>
      <c r="O140" s="133"/>
      <c r="P140" s="133"/>
      <c r="Q140" s="134"/>
    </row>
    <row r="141" spans="1:17" x14ac:dyDescent="0.15">
      <c r="A141" s="550"/>
      <c r="B141" s="551"/>
      <c r="C141" s="551"/>
      <c r="D141" s="551"/>
      <c r="E141" s="551"/>
      <c r="F141" s="551"/>
      <c r="G141" s="551"/>
      <c r="H141" s="551"/>
      <c r="I141" s="551"/>
      <c r="J141" s="551"/>
      <c r="K141" s="551"/>
      <c r="L141" s="551"/>
      <c r="M141" s="551"/>
      <c r="N141" s="551"/>
      <c r="O141" s="551"/>
      <c r="P141" s="551"/>
      <c r="Q141" s="552"/>
    </row>
    <row r="142" spans="1:17" s="120" customFormat="1" ht="18" customHeight="1" x14ac:dyDescent="0.15">
      <c r="A142" s="396" t="s">
        <v>0</v>
      </c>
      <c r="B142" s="562" t="s">
        <v>922</v>
      </c>
      <c r="C142" s="563"/>
      <c r="D142" s="563"/>
      <c r="E142" s="563"/>
      <c r="F142" s="563"/>
      <c r="G142" s="563"/>
      <c r="H142" s="563"/>
      <c r="I142" s="563"/>
      <c r="J142" s="563"/>
      <c r="K142" s="563"/>
      <c r="L142" s="563"/>
      <c r="M142" s="563"/>
      <c r="N142" s="563"/>
      <c r="O142" s="394" t="s">
        <v>73</v>
      </c>
      <c r="P142" s="547" t="s">
        <v>193</v>
      </c>
      <c r="Q142" s="549"/>
    </row>
    <row r="143" spans="1:17" x14ac:dyDescent="0.15">
      <c r="A143" s="550"/>
      <c r="B143" s="551"/>
      <c r="C143" s="551"/>
      <c r="D143" s="551"/>
      <c r="E143" s="551"/>
      <c r="F143" s="551"/>
      <c r="G143" s="551"/>
      <c r="H143" s="551"/>
      <c r="I143" s="551"/>
      <c r="J143" s="551"/>
      <c r="K143" s="551"/>
      <c r="L143" s="551"/>
      <c r="M143" s="551"/>
      <c r="N143" s="551"/>
      <c r="O143" s="551"/>
      <c r="P143" s="551"/>
      <c r="Q143" s="552"/>
    </row>
    <row r="144" spans="1:17" s="125" customFormat="1" x14ac:dyDescent="0.15">
      <c r="A144" s="553" t="s">
        <v>150</v>
      </c>
      <c r="B144" s="540" t="s">
        <v>151</v>
      </c>
      <c r="C144" s="540"/>
      <c r="D144" s="541"/>
      <c r="E144" s="540" t="s">
        <v>152</v>
      </c>
      <c r="F144" s="540"/>
      <c r="G144" s="540"/>
      <c r="H144" s="541" t="s">
        <v>153</v>
      </c>
      <c r="I144" s="541" t="s">
        <v>241</v>
      </c>
      <c r="J144" s="543" t="s">
        <v>73</v>
      </c>
      <c r="K144" s="394" t="s">
        <v>154</v>
      </c>
      <c r="L144" s="122"/>
      <c r="M144" s="123"/>
      <c r="N144" s="123"/>
      <c r="O144" s="123"/>
      <c r="P144" s="123"/>
      <c r="Q144" s="124"/>
    </row>
    <row r="145" spans="1:17" s="129" customFormat="1" x14ac:dyDescent="0.15">
      <c r="A145" s="553"/>
      <c r="B145" s="540"/>
      <c r="C145" s="540"/>
      <c r="D145" s="542"/>
      <c r="E145" s="393" t="s">
        <v>155</v>
      </c>
      <c r="F145" s="393" t="s">
        <v>156</v>
      </c>
      <c r="G145" s="393" t="s">
        <v>157</v>
      </c>
      <c r="H145" s="542"/>
      <c r="I145" s="542"/>
      <c r="J145" s="544"/>
      <c r="K145" s="394" t="s">
        <v>158</v>
      </c>
      <c r="L145" s="126"/>
      <c r="M145" s="127"/>
      <c r="N145" s="127"/>
      <c r="O145" s="127"/>
      <c r="P145" s="127"/>
      <c r="Q145" s="128"/>
    </row>
    <row r="146" spans="1:17" ht="33" customHeight="1" x14ac:dyDescent="0.15">
      <c r="A146" s="146"/>
      <c r="B146" s="545" t="s">
        <v>910</v>
      </c>
      <c r="C146" s="546"/>
      <c r="D146" s="147"/>
      <c r="E146" s="141">
        <v>33.08</v>
      </c>
      <c r="F146" s="141">
        <v>0.15</v>
      </c>
      <c r="G146" s="141">
        <v>0.25</v>
      </c>
      <c r="H146" s="141">
        <v>1</v>
      </c>
      <c r="I146" s="141">
        <f t="shared" ref="I146" si="42">E146</f>
        <v>33.08</v>
      </c>
      <c r="J146" s="131" t="s">
        <v>193</v>
      </c>
      <c r="K146" s="141">
        <f t="shared" ref="K146" si="43">I146*H146</f>
        <v>33.08</v>
      </c>
      <c r="L146" s="126"/>
      <c r="M146" s="127"/>
      <c r="N146" s="127"/>
      <c r="O146" s="127"/>
      <c r="P146" s="127"/>
      <c r="Q146" s="128"/>
    </row>
    <row r="147" spans="1:17" ht="14" x14ac:dyDescent="0.15">
      <c r="A147" s="547" t="s">
        <v>149</v>
      </c>
      <c r="B147" s="548"/>
      <c r="C147" s="548"/>
      <c r="D147" s="548"/>
      <c r="E147" s="548"/>
      <c r="F147" s="548"/>
      <c r="G147" s="548"/>
      <c r="H147" s="548"/>
      <c r="I147" s="548"/>
      <c r="J147" s="549"/>
      <c r="K147" s="311">
        <f>SUM(K146:K146)</f>
        <v>33.08</v>
      </c>
      <c r="L147" s="132"/>
      <c r="M147" s="133"/>
      <c r="N147" s="133"/>
      <c r="O147" s="133"/>
      <c r="P147" s="133"/>
      <c r="Q147" s="134"/>
    </row>
    <row r="148" spans="1:17" x14ac:dyDescent="0.15">
      <c r="A148" s="550"/>
      <c r="B148" s="551"/>
      <c r="C148" s="551"/>
      <c r="D148" s="551"/>
      <c r="E148" s="551"/>
      <c r="F148" s="551"/>
      <c r="G148" s="551"/>
      <c r="H148" s="551"/>
      <c r="I148" s="551"/>
      <c r="J148" s="551"/>
      <c r="K148" s="551"/>
      <c r="L148" s="551"/>
      <c r="M148" s="551"/>
      <c r="N148" s="551"/>
      <c r="O148" s="551"/>
      <c r="P148" s="551"/>
      <c r="Q148" s="552"/>
    </row>
    <row r="149" spans="1:17" s="120" customFormat="1" ht="18" customHeight="1" x14ac:dyDescent="0.15">
      <c r="A149" s="396" t="s">
        <v>0</v>
      </c>
      <c r="B149" s="562" t="s">
        <v>926</v>
      </c>
      <c r="C149" s="563"/>
      <c r="D149" s="563"/>
      <c r="E149" s="563"/>
      <c r="F149" s="563"/>
      <c r="G149" s="563"/>
      <c r="H149" s="563"/>
      <c r="I149" s="563"/>
      <c r="J149" s="563"/>
      <c r="K149" s="563"/>
      <c r="L149" s="563"/>
      <c r="M149" s="563"/>
      <c r="N149" s="563"/>
      <c r="O149" s="394" t="s">
        <v>73</v>
      </c>
      <c r="P149" s="547" t="s">
        <v>193</v>
      </c>
      <c r="Q149" s="549"/>
    </row>
    <row r="150" spans="1:17" x14ac:dyDescent="0.15">
      <c r="A150" s="550"/>
      <c r="B150" s="551"/>
      <c r="C150" s="551"/>
      <c r="D150" s="551"/>
      <c r="E150" s="551"/>
      <c r="F150" s="551"/>
      <c r="G150" s="551"/>
      <c r="H150" s="551"/>
      <c r="I150" s="551"/>
      <c r="J150" s="551"/>
      <c r="K150" s="551"/>
      <c r="L150" s="551"/>
      <c r="M150" s="551"/>
      <c r="N150" s="551"/>
      <c r="O150" s="551"/>
      <c r="P150" s="551"/>
      <c r="Q150" s="552"/>
    </row>
    <row r="151" spans="1:17" s="125" customFormat="1" x14ac:dyDescent="0.15">
      <c r="A151" s="553" t="s">
        <v>150</v>
      </c>
      <c r="B151" s="540" t="s">
        <v>151</v>
      </c>
      <c r="C151" s="540"/>
      <c r="D151" s="541"/>
      <c r="E151" s="540" t="s">
        <v>152</v>
      </c>
      <c r="F151" s="540"/>
      <c r="G151" s="540"/>
      <c r="H151" s="541" t="s">
        <v>153</v>
      </c>
      <c r="I151" s="541" t="s">
        <v>241</v>
      </c>
      <c r="J151" s="543" t="s">
        <v>73</v>
      </c>
      <c r="K151" s="394" t="s">
        <v>154</v>
      </c>
      <c r="L151" s="122"/>
      <c r="M151" s="123"/>
      <c r="N151" s="123"/>
      <c r="O151" s="123"/>
      <c r="P151" s="123"/>
      <c r="Q151" s="124"/>
    </row>
    <row r="152" spans="1:17" s="129" customFormat="1" x14ac:dyDescent="0.15">
      <c r="A152" s="553"/>
      <c r="B152" s="540"/>
      <c r="C152" s="540"/>
      <c r="D152" s="542"/>
      <c r="E152" s="393" t="s">
        <v>155</v>
      </c>
      <c r="F152" s="393" t="s">
        <v>156</v>
      </c>
      <c r="G152" s="393" t="s">
        <v>157</v>
      </c>
      <c r="H152" s="542"/>
      <c r="I152" s="542"/>
      <c r="J152" s="544"/>
      <c r="K152" s="394" t="s">
        <v>158</v>
      </c>
      <c r="L152" s="126"/>
      <c r="M152" s="127"/>
      <c r="N152" s="127"/>
      <c r="O152" s="127"/>
      <c r="P152" s="127"/>
      <c r="Q152" s="128"/>
    </row>
    <row r="153" spans="1:17" ht="26.25" customHeight="1" x14ac:dyDescent="0.15">
      <c r="A153" s="146"/>
      <c r="B153" s="545" t="s">
        <v>924</v>
      </c>
      <c r="C153" s="546"/>
      <c r="D153" s="147"/>
      <c r="E153" s="141">
        <v>1.2</v>
      </c>
      <c r="F153" s="141">
        <v>0.45</v>
      </c>
      <c r="G153" s="141">
        <v>0.45</v>
      </c>
      <c r="H153" s="141">
        <v>4</v>
      </c>
      <c r="I153" s="141">
        <f t="shared" ref="I153" si="44">E153</f>
        <v>1.2</v>
      </c>
      <c r="J153" s="131" t="s">
        <v>193</v>
      </c>
      <c r="K153" s="141">
        <f t="shared" ref="K153" si="45">I153*H153</f>
        <v>4.8</v>
      </c>
      <c r="L153" s="126"/>
      <c r="M153" s="127"/>
      <c r="N153" s="127"/>
      <c r="O153" s="127"/>
      <c r="P153" s="127"/>
      <c r="Q153" s="128"/>
    </row>
    <row r="154" spans="1:17" ht="14" x14ac:dyDescent="0.15">
      <c r="A154" s="547" t="s">
        <v>149</v>
      </c>
      <c r="B154" s="548"/>
      <c r="C154" s="548"/>
      <c r="D154" s="548"/>
      <c r="E154" s="548"/>
      <c r="F154" s="548"/>
      <c r="G154" s="548"/>
      <c r="H154" s="548"/>
      <c r="I154" s="548"/>
      <c r="J154" s="549"/>
      <c r="K154" s="311">
        <f>SUM(K153:K153)</f>
        <v>4.8</v>
      </c>
      <c r="L154" s="132"/>
      <c r="M154" s="133"/>
      <c r="N154" s="133"/>
      <c r="O154" s="133"/>
      <c r="P154" s="133"/>
      <c r="Q154" s="134"/>
    </row>
    <row r="155" spans="1:17" x14ac:dyDescent="0.15">
      <c r="A155" s="550"/>
      <c r="B155" s="551"/>
      <c r="C155" s="551"/>
      <c r="D155" s="551"/>
      <c r="E155" s="551"/>
      <c r="F155" s="551"/>
      <c r="G155" s="551"/>
      <c r="H155" s="551"/>
      <c r="I155" s="551"/>
      <c r="J155" s="551"/>
      <c r="K155" s="551"/>
      <c r="L155" s="551"/>
      <c r="M155" s="551"/>
      <c r="N155" s="551"/>
      <c r="O155" s="551"/>
      <c r="P155" s="551"/>
      <c r="Q155" s="552"/>
    </row>
    <row r="156" spans="1:17" s="120" customFormat="1" ht="18" customHeight="1" x14ac:dyDescent="0.15">
      <c r="A156" s="396" t="s">
        <v>0</v>
      </c>
      <c r="B156" s="562" t="s">
        <v>927</v>
      </c>
      <c r="C156" s="563"/>
      <c r="D156" s="563"/>
      <c r="E156" s="563"/>
      <c r="F156" s="563"/>
      <c r="G156" s="563"/>
      <c r="H156" s="563"/>
      <c r="I156" s="563"/>
      <c r="J156" s="563"/>
      <c r="K156" s="563"/>
      <c r="L156" s="563"/>
      <c r="M156" s="563"/>
      <c r="N156" s="563"/>
      <c r="O156" s="394" t="s">
        <v>73</v>
      </c>
      <c r="P156" s="547" t="s">
        <v>193</v>
      </c>
      <c r="Q156" s="549"/>
    </row>
    <row r="157" spans="1:17" x14ac:dyDescent="0.15">
      <c r="A157" s="550"/>
      <c r="B157" s="551"/>
      <c r="C157" s="551"/>
      <c r="D157" s="551"/>
      <c r="E157" s="551"/>
      <c r="F157" s="551"/>
      <c r="G157" s="551"/>
      <c r="H157" s="551"/>
      <c r="I157" s="551"/>
      <c r="J157" s="551"/>
      <c r="K157" s="551"/>
      <c r="L157" s="551"/>
      <c r="M157" s="551"/>
      <c r="N157" s="551"/>
      <c r="O157" s="551"/>
      <c r="P157" s="551"/>
      <c r="Q157" s="552"/>
    </row>
    <row r="158" spans="1:17" s="125" customFormat="1" x14ac:dyDescent="0.15">
      <c r="A158" s="553" t="s">
        <v>150</v>
      </c>
      <c r="B158" s="540" t="s">
        <v>151</v>
      </c>
      <c r="C158" s="540"/>
      <c r="D158" s="541"/>
      <c r="E158" s="540" t="s">
        <v>152</v>
      </c>
      <c r="F158" s="540"/>
      <c r="G158" s="540"/>
      <c r="H158" s="541" t="s">
        <v>153</v>
      </c>
      <c r="I158" s="541" t="s">
        <v>241</v>
      </c>
      <c r="J158" s="543" t="s">
        <v>73</v>
      </c>
      <c r="K158" s="394" t="s">
        <v>154</v>
      </c>
      <c r="L158" s="122"/>
      <c r="M158" s="123"/>
      <c r="N158" s="123"/>
      <c r="O158" s="123"/>
      <c r="P158" s="123"/>
      <c r="Q158" s="124"/>
    </row>
    <row r="159" spans="1:17" s="129" customFormat="1" x14ac:dyDescent="0.15">
      <c r="A159" s="553"/>
      <c r="B159" s="540"/>
      <c r="C159" s="540"/>
      <c r="D159" s="542"/>
      <c r="E159" s="393" t="s">
        <v>155</v>
      </c>
      <c r="F159" s="393" t="s">
        <v>156</v>
      </c>
      <c r="G159" s="393" t="s">
        <v>157</v>
      </c>
      <c r="H159" s="542"/>
      <c r="I159" s="542"/>
      <c r="J159" s="544"/>
      <c r="K159" s="394" t="s">
        <v>158</v>
      </c>
      <c r="L159" s="126"/>
      <c r="M159" s="127"/>
      <c r="N159" s="127"/>
      <c r="O159" s="127"/>
      <c r="P159" s="127"/>
      <c r="Q159" s="128"/>
    </row>
    <row r="160" spans="1:17" ht="26.25" customHeight="1" x14ac:dyDescent="0.15">
      <c r="A160" s="146"/>
      <c r="B160" s="545" t="s">
        <v>925</v>
      </c>
      <c r="C160" s="546"/>
      <c r="D160" s="147"/>
      <c r="E160" s="141">
        <v>3.95</v>
      </c>
      <c r="F160" s="141">
        <v>0.3</v>
      </c>
      <c r="G160" s="141">
        <v>0.3</v>
      </c>
      <c r="H160" s="141">
        <v>2</v>
      </c>
      <c r="I160" s="141">
        <f t="shared" ref="I160" si="46">E160</f>
        <v>3.95</v>
      </c>
      <c r="J160" s="131" t="s">
        <v>193</v>
      </c>
      <c r="K160" s="141">
        <f t="shared" ref="K160" si="47">I160*H160</f>
        <v>7.9</v>
      </c>
      <c r="L160" s="126"/>
      <c r="M160" s="127"/>
      <c r="N160" s="127"/>
      <c r="O160" s="127"/>
      <c r="P160" s="127"/>
      <c r="Q160" s="128"/>
    </row>
    <row r="161" spans="1:17" ht="26.25" customHeight="1" x14ac:dyDescent="0.15">
      <c r="A161" s="146"/>
      <c r="B161" s="545" t="s">
        <v>925</v>
      </c>
      <c r="C161" s="546"/>
      <c r="D161" s="147"/>
      <c r="E161" s="141">
        <v>5.37</v>
      </c>
      <c r="F161" s="141">
        <v>0.3</v>
      </c>
      <c r="G161" s="141">
        <v>0.3</v>
      </c>
      <c r="H161" s="141">
        <v>1</v>
      </c>
      <c r="I161" s="141">
        <f t="shared" ref="I161" si="48">E161</f>
        <v>5.37</v>
      </c>
      <c r="J161" s="131" t="s">
        <v>193</v>
      </c>
      <c r="K161" s="141">
        <f t="shared" ref="K161" si="49">I161*H161</f>
        <v>5.37</v>
      </c>
      <c r="L161" s="126"/>
      <c r="M161" s="127"/>
      <c r="N161" s="127"/>
      <c r="O161" s="127"/>
      <c r="P161" s="127"/>
      <c r="Q161" s="128"/>
    </row>
    <row r="162" spans="1:17" ht="26.25" customHeight="1" x14ac:dyDescent="0.15">
      <c r="A162" s="146"/>
      <c r="B162" s="545" t="s">
        <v>944</v>
      </c>
      <c r="C162" s="546"/>
      <c r="D162" s="147"/>
      <c r="E162" s="141">
        <v>5.0999999999999996</v>
      </c>
      <c r="F162" s="141">
        <v>0.3</v>
      </c>
      <c r="G162" s="141">
        <v>0.3</v>
      </c>
      <c r="H162" s="141">
        <v>1</v>
      </c>
      <c r="I162" s="141">
        <f t="shared" ref="I162" si="50">E162</f>
        <v>5.0999999999999996</v>
      </c>
      <c r="J162" s="131" t="s">
        <v>193</v>
      </c>
      <c r="K162" s="141">
        <f t="shared" ref="K162" si="51">I162*H162</f>
        <v>5.0999999999999996</v>
      </c>
      <c r="L162" s="126"/>
      <c r="M162" s="127"/>
      <c r="N162" s="127"/>
      <c r="O162" s="127"/>
      <c r="P162" s="127"/>
      <c r="Q162" s="128"/>
    </row>
    <row r="163" spans="1:17" ht="14" x14ac:dyDescent="0.15">
      <c r="A163" s="547" t="s">
        <v>149</v>
      </c>
      <c r="B163" s="548"/>
      <c r="C163" s="548"/>
      <c r="D163" s="548"/>
      <c r="E163" s="548"/>
      <c r="F163" s="548"/>
      <c r="G163" s="548"/>
      <c r="H163" s="548"/>
      <c r="I163" s="548"/>
      <c r="J163" s="549"/>
      <c r="K163" s="311">
        <f>SUM(K160:K162)</f>
        <v>18.369999999999997</v>
      </c>
      <c r="L163" s="132"/>
      <c r="M163" s="133"/>
      <c r="N163" s="133"/>
      <c r="O163" s="133"/>
      <c r="P163" s="133"/>
      <c r="Q163" s="134"/>
    </row>
    <row r="164" spans="1:17" x14ac:dyDescent="0.15">
      <c r="A164" s="550"/>
      <c r="B164" s="551"/>
      <c r="C164" s="551"/>
      <c r="D164" s="551"/>
      <c r="E164" s="551"/>
      <c r="F164" s="551"/>
      <c r="G164" s="551"/>
      <c r="H164" s="551"/>
      <c r="I164" s="551"/>
      <c r="J164" s="551"/>
      <c r="K164" s="551"/>
      <c r="L164" s="551"/>
      <c r="M164" s="551"/>
      <c r="N164" s="551"/>
      <c r="O164" s="551"/>
      <c r="P164" s="551"/>
      <c r="Q164" s="552"/>
    </row>
    <row r="165" spans="1:17" s="120" customFormat="1" ht="18" customHeight="1" x14ac:dyDescent="0.15">
      <c r="A165" s="396" t="s">
        <v>0</v>
      </c>
      <c r="B165" s="562" t="s">
        <v>931</v>
      </c>
      <c r="C165" s="563"/>
      <c r="D165" s="563"/>
      <c r="E165" s="563"/>
      <c r="F165" s="563"/>
      <c r="G165" s="563"/>
      <c r="H165" s="563"/>
      <c r="I165" s="563"/>
      <c r="J165" s="563"/>
      <c r="K165" s="563"/>
      <c r="L165" s="563"/>
      <c r="M165" s="563"/>
      <c r="N165" s="563"/>
      <c r="O165" s="394" t="s">
        <v>73</v>
      </c>
      <c r="P165" s="547" t="s">
        <v>193</v>
      </c>
      <c r="Q165" s="549"/>
    </row>
    <row r="166" spans="1:17" x14ac:dyDescent="0.15">
      <c r="A166" s="550"/>
      <c r="B166" s="551"/>
      <c r="C166" s="551"/>
      <c r="D166" s="551"/>
      <c r="E166" s="551"/>
      <c r="F166" s="551"/>
      <c r="G166" s="551"/>
      <c r="H166" s="551"/>
      <c r="I166" s="551"/>
      <c r="J166" s="551"/>
      <c r="K166" s="551"/>
      <c r="L166" s="551"/>
      <c r="M166" s="551"/>
      <c r="N166" s="551"/>
      <c r="O166" s="551"/>
      <c r="P166" s="551"/>
      <c r="Q166" s="552"/>
    </row>
    <row r="167" spans="1:17" s="125" customFormat="1" x14ac:dyDescent="0.15">
      <c r="A167" s="553" t="s">
        <v>150</v>
      </c>
      <c r="B167" s="540" t="s">
        <v>151</v>
      </c>
      <c r="C167" s="540"/>
      <c r="D167" s="541"/>
      <c r="E167" s="540" t="s">
        <v>152</v>
      </c>
      <c r="F167" s="540"/>
      <c r="G167" s="540"/>
      <c r="H167" s="541" t="s">
        <v>153</v>
      </c>
      <c r="I167" s="541" t="s">
        <v>241</v>
      </c>
      <c r="J167" s="543" t="s">
        <v>73</v>
      </c>
      <c r="K167" s="394" t="s">
        <v>154</v>
      </c>
      <c r="L167" s="122"/>
      <c r="M167" s="123"/>
      <c r="N167" s="123"/>
      <c r="O167" s="123"/>
      <c r="P167" s="123"/>
      <c r="Q167" s="124"/>
    </row>
    <row r="168" spans="1:17" s="129" customFormat="1" x14ac:dyDescent="0.15">
      <c r="A168" s="553"/>
      <c r="B168" s="540"/>
      <c r="C168" s="540"/>
      <c r="D168" s="542"/>
      <c r="E168" s="393" t="s">
        <v>155</v>
      </c>
      <c r="F168" s="393" t="s">
        <v>156</v>
      </c>
      <c r="G168" s="393" t="s">
        <v>157</v>
      </c>
      <c r="H168" s="542"/>
      <c r="I168" s="542"/>
      <c r="J168" s="544"/>
      <c r="K168" s="394" t="s">
        <v>158</v>
      </c>
      <c r="L168" s="126"/>
      <c r="M168" s="127"/>
      <c r="N168" s="127"/>
      <c r="O168" s="127"/>
      <c r="P168" s="127"/>
      <c r="Q168" s="128"/>
    </row>
    <row r="169" spans="1:17" ht="39.75" customHeight="1" x14ac:dyDescent="0.15">
      <c r="A169" s="146"/>
      <c r="B169" s="545" t="s">
        <v>930</v>
      </c>
      <c r="C169" s="546"/>
      <c r="D169" s="147"/>
      <c r="E169" s="141">
        <v>3.95</v>
      </c>
      <c r="F169" s="141">
        <v>0.25</v>
      </c>
      <c r="G169" s="141">
        <v>0.25</v>
      </c>
      <c r="H169" s="141">
        <v>11</v>
      </c>
      <c r="I169" s="141">
        <f t="shared" ref="I169" si="52">E169</f>
        <v>3.95</v>
      </c>
      <c r="J169" s="131" t="s">
        <v>193</v>
      </c>
      <c r="K169" s="141">
        <f t="shared" ref="K169" si="53">I169*H169</f>
        <v>43.45</v>
      </c>
      <c r="L169" s="126"/>
      <c r="M169" s="127"/>
      <c r="N169" s="127"/>
      <c r="O169" s="127"/>
      <c r="P169" s="127"/>
      <c r="Q169" s="128"/>
    </row>
    <row r="170" spans="1:17" ht="39.75" customHeight="1" x14ac:dyDescent="0.15">
      <c r="A170" s="146"/>
      <c r="B170" s="545" t="s">
        <v>930</v>
      </c>
      <c r="C170" s="546"/>
      <c r="D170" s="147"/>
      <c r="E170" s="141">
        <v>5.37</v>
      </c>
      <c r="F170" s="141">
        <v>0.25</v>
      </c>
      <c r="G170" s="141">
        <v>0.25</v>
      </c>
      <c r="H170" s="141">
        <v>6</v>
      </c>
      <c r="I170" s="141">
        <f t="shared" ref="I170" si="54">E170</f>
        <v>5.37</v>
      </c>
      <c r="J170" s="131" t="s">
        <v>193</v>
      </c>
      <c r="K170" s="141">
        <f t="shared" ref="K170" si="55">I170*H170</f>
        <v>32.22</v>
      </c>
      <c r="L170" s="126"/>
      <c r="M170" s="127"/>
      <c r="N170" s="127"/>
      <c r="O170" s="127"/>
      <c r="P170" s="127"/>
      <c r="Q170" s="128"/>
    </row>
    <row r="171" spans="1:17" ht="14" x14ac:dyDescent="0.15">
      <c r="A171" s="547" t="s">
        <v>149</v>
      </c>
      <c r="B171" s="548"/>
      <c r="C171" s="548"/>
      <c r="D171" s="548"/>
      <c r="E171" s="548"/>
      <c r="F171" s="548"/>
      <c r="G171" s="548"/>
      <c r="H171" s="548"/>
      <c r="I171" s="548"/>
      <c r="J171" s="549"/>
      <c r="K171" s="311">
        <f>SUM(K169:K170)</f>
        <v>75.67</v>
      </c>
      <c r="L171" s="132"/>
      <c r="M171" s="133"/>
      <c r="N171" s="133"/>
      <c r="O171" s="133"/>
      <c r="P171" s="133"/>
      <c r="Q171" s="134"/>
    </row>
    <row r="172" spans="1:17" x14ac:dyDescent="0.15">
      <c r="A172" s="550"/>
      <c r="B172" s="551"/>
      <c r="C172" s="551"/>
      <c r="D172" s="551"/>
      <c r="E172" s="551"/>
      <c r="F172" s="551"/>
      <c r="G172" s="551"/>
      <c r="H172" s="551"/>
      <c r="I172" s="551"/>
      <c r="J172" s="551"/>
      <c r="K172" s="551"/>
      <c r="L172" s="551"/>
      <c r="M172" s="551"/>
      <c r="N172" s="551"/>
      <c r="O172" s="551"/>
      <c r="P172" s="551"/>
      <c r="Q172" s="552"/>
    </row>
    <row r="173" spans="1:17" s="120" customFormat="1" ht="18" customHeight="1" x14ac:dyDescent="0.15">
      <c r="A173" s="396" t="s">
        <v>0</v>
      </c>
      <c r="B173" s="562" t="s">
        <v>940</v>
      </c>
      <c r="C173" s="563"/>
      <c r="D173" s="563"/>
      <c r="E173" s="563"/>
      <c r="F173" s="563"/>
      <c r="G173" s="563"/>
      <c r="H173" s="563"/>
      <c r="I173" s="563"/>
      <c r="J173" s="563"/>
      <c r="K173" s="563"/>
      <c r="L173" s="563"/>
      <c r="M173" s="563"/>
      <c r="N173" s="563"/>
      <c r="O173" s="394" t="s">
        <v>73</v>
      </c>
      <c r="P173" s="547" t="s">
        <v>193</v>
      </c>
      <c r="Q173" s="549"/>
    </row>
    <row r="174" spans="1:17" x14ac:dyDescent="0.15">
      <c r="A174" s="550"/>
      <c r="B174" s="551"/>
      <c r="C174" s="551"/>
      <c r="D174" s="551"/>
      <c r="E174" s="551"/>
      <c r="F174" s="551"/>
      <c r="G174" s="551"/>
      <c r="H174" s="551"/>
      <c r="I174" s="551"/>
      <c r="J174" s="551"/>
      <c r="K174" s="551"/>
      <c r="L174" s="551"/>
      <c r="M174" s="551"/>
      <c r="N174" s="551"/>
      <c r="O174" s="551"/>
      <c r="P174" s="551"/>
      <c r="Q174" s="552"/>
    </row>
    <row r="175" spans="1:17" s="125" customFormat="1" x14ac:dyDescent="0.15">
      <c r="A175" s="553" t="s">
        <v>150</v>
      </c>
      <c r="B175" s="540" t="s">
        <v>151</v>
      </c>
      <c r="C175" s="540"/>
      <c r="D175" s="541"/>
      <c r="E175" s="540" t="s">
        <v>152</v>
      </c>
      <c r="F175" s="540"/>
      <c r="G175" s="540"/>
      <c r="H175" s="541" t="s">
        <v>153</v>
      </c>
      <c r="I175" s="541" t="s">
        <v>241</v>
      </c>
      <c r="J175" s="543" t="s">
        <v>73</v>
      </c>
      <c r="K175" s="394" t="s">
        <v>154</v>
      </c>
      <c r="L175" s="122"/>
      <c r="M175" s="123"/>
      <c r="N175" s="123"/>
      <c r="O175" s="123"/>
      <c r="P175" s="123"/>
      <c r="Q175" s="124"/>
    </row>
    <row r="176" spans="1:17" s="129" customFormat="1" x14ac:dyDescent="0.15">
      <c r="A176" s="553"/>
      <c r="B176" s="540"/>
      <c r="C176" s="540"/>
      <c r="D176" s="542"/>
      <c r="E176" s="393" t="s">
        <v>155</v>
      </c>
      <c r="F176" s="393" t="s">
        <v>156</v>
      </c>
      <c r="G176" s="393" t="s">
        <v>157</v>
      </c>
      <c r="H176" s="542"/>
      <c r="I176" s="542"/>
      <c r="J176" s="544"/>
      <c r="K176" s="394" t="s">
        <v>158</v>
      </c>
      <c r="L176" s="126"/>
      <c r="M176" s="127"/>
      <c r="N176" s="127"/>
      <c r="O176" s="127"/>
      <c r="P176" s="127"/>
      <c r="Q176" s="128"/>
    </row>
    <row r="177" spans="1:17" ht="39.75" customHeight="1" x14ac:dyDescent="0.15">
      <c r="A177" s="146"/>
      <c r="B177" s="545" t="s">
        <v>876</v>
      </c>
      <c r="C177" s="546"/>
      <c r="D177" s="147"/>
      <c r="E177" s="141">
        <v>2.4500000000000002</v>
      </c>
      <c r="F177" s="141">
        <v>0.2</v>
      </c>
      <c r="G177" s="141">
        <v>0.25</v>
      </c>
      <c r="H177" s="141">
        <v>26</v>
      </c>
      <c r="I177" s="141">
        <f t="shared" ref="I177" si="56">E177</f>
        <v>2.4500000000000002</v>
      </c>
      <c r="J177" s="131" t="s">
        <v>193</v>
      </c>
      <c r="K177" s="141">
        <f t="shared" ref="K177" si="57">I177*H177</f>
        <v>63.7</v>
      </c>
      <c r="L177" s="126"/>
      <c r="M177" s="127"/>
      <c r="N177" s="127"/>
      <c r="O177" s="127"/>
      <c r="P177" s="127"/>
      <c r="Q177" s="128"/>
    </row>
    <row r="178" spans="1:17" ht="14" x14ac:dyDescent="0.15">
      <c r="A178" s="547" t="s">
        <v>149</v>
      </c>
      <c r="B178" s="548"/>
      <c r="C178" s="548"/>
      <c r="D178" s="548"/>
      <c r="E178" s="548"/>
      <c r="F178" s="548"/>
      <c r="G178" s="548"/>
      <c r="H178" s="548"/>
      <c r="I178" s="548"/>
      <c r="J178" s="549"/>
      <c r="K178" s="311">
        <f>SUM(K177:K177)</f>
        <v>63.7</v>
      </c>
      <c r="L178" s="132"/>
      <c r="M178" s="133"/>
      <c r="N178" s="133"/>
      <c r="O178" s="133"/>
      <c r="P178" s="133"/>
      <c r="Q178" s="134"/>
    </row>
    <row r="179" spans="1:17" x14ac:dyDescent="0.15">
      <c r="A179" s="550"/>
      <c r="B179" s="551"/>
      <c r="C179" s="551"/>
      <c r="D179" s="551"/>
      <c r="E179" s="551"/>
      <c r="F179" s="551"/>
      <c r="G179" s="551"/>
      <c r="H179" s="551"/>
      <c r="I179" s="551"/>
      <c r="J179" s="551"/>
      <c r="K179" s="551"/>
      <c r="L179" s="551"/>
      <c r="M179" s="551"/>
      <c r="N179" s="551"/>
      <c r="O179" s="551"/>
      <c r="P179" s="551"/>
      <c r="Q179" s="552"/>
    </row>
    <row r="180" spans="1:17" s="120" customFormat="1" ht="18" customHeight="1" x14ac:dyDescent="0.15">
      <c r="A180" s="396" t="s">
        <v>0</v>
      </c>
      <c r="B180" s="562" t="s">
        <v>941</v>
      </c>
      <c r="C180" s="563"/>
      <c r="D180" s="563"/>
      <c r="E180" s="563"/>
      <c r="F180" s="563"/>
      <c r="G180" s="563"/>
      <c r="H180" s="563"/>
      <c r="I180" s="563"/>
      <c r="J180" s="563"/>
      <c r="K180" s="563"/>
      <c r="L180" s="563"/>
      <c r="M180" s="563"/>
      <c r="N180" s="563"/>
      <c r="O180" s="394" t="s">
        <v>73</v>
      </c>
      <c r="P180" s="547" t="s">
        <v>193</v>
      </c>
      <c r="Q180" s="549"/>
    </row>
    <row r="181" spans="1:17" x14ac:dyDescent="0.15">
      <c r="A181" s="550"/>
      <c r="B181" s="551"/>
      <c r="C181" s="551"/>
      <c r="D181" s="551"/>
      <c r="E181" s="551"/>
      <c r="F181" s="551"/>
      <c r="G181" s="551"/>
      <c r="H181" s="551"/>
      <c r="I181" s="551"/>
      <c r="J181" s="551"/>
      <c r="K181" s="551"/>
      <c r="L181" s="551"/>
      <c r="M181" s="551"/>
      <c r="N181" s="551"/>
      <c r="O181" s="551"/>
      <c r="P181" s="551"/>
      <c r="Q181" s="552"/>
    </row>
    <row r="182" spans="1:17" s="125" customFormat="1" x14ac:dyDescent="0.15">
      <c r="A182" s="553" t="s">
        <v>150</v>
      </c>
      <c r="B182" s="540" t="s">
        <v>151</v>
      </c>
      <c r="C182" s="540"/>
      <c r="D182" s="541"/>
      <c r="E182" s="540" t="s">
        <v>152</v>
      </c>
      <c r="F182" s="540"/>
      <c r="G182" s="540"/>
      <c r="H182" s="541" t="s">
        <v>153</v>
      </c>
      <c r="I182" s="541" t="s">
        <v>241</v>
      </c>
      <c r="J182" s="543" t="s">
        <v>73</v>
      </c>
      <c r="K182" s="394" t="s">
        <v>154</v>
      </c>
      <c r="L182" s="122"/>
      <c r="M182" s="123"/>
      <c r="N182" s="123"/>
      <c r="O182" s="123"/>
      <c r="P182" s="123"/>
      <c r="Q182" s="124"/>
    </row>
    <row r="183" spans="1:17" s="129" customFormat="1" x14ac:dyDescent="0.15">
      <c r="A183" s="553"/>
      <c r="B183" s="540"/>
      <c r="C183" s="540"/>
      <c r="D183" s="542"/>
      <c r="E183" s="393" t="s">
        <v>155</v>
      </c>
      <c r="F183" s="393" t="s">
        <v>156</v>
      </c>
      <c r="G183" s="393" t="s">
        <v>157</v>
      </c>
      <c r="H183" s="542"/>
      <c r="I183" s="542"/>
      <c r="J183" s="544"/>
      <c r="K183" s="394" t="s">
        <v>158</v>
      </c>
      <c r="L183" s="126"/>
      <c r="M183" s="127"/>
      <c r="N183" s="127"/>
      <c r="O183" s="127"/>
      <c r="P183" s="127"/>
      <c r="Q183" s="128"/>
    </row>
    <row r="184" spans="1:17" ht="35.25" customHeight="1" x14ac:dyDescent="0.15">
      <c r="A184" s="146"/>
      <c r="B184" s="545" t="s">
        <v>942</v>
      </c>
      <c r="C184" s="546"/>
      <c r="D184" s="147"/>
      <c r="E184" s="141">
        <v>19.3</v>
      </c>
      <c r="F184" s="141">
        <v>0.25</v>
      </c>
      <c r="G184" s="141">
        <v>0.25</v>
      </c>
      <c r="H184" s="141">
        <v>3</v>
      </c>
      <c r="I184" s="141">
        <f t="shared" ref="I184:I185" si="58">E184</f>
        <v>19.3</v>
      </c>
      <c r="J184" s="131" t="s">
        <v>193</v>
      </c>
      <c r="K184" s="141">
        <f t="shared" ref="K184:K185" si="59">I184*H184</f>
        <v>57.900000000000006</v>
      </c>
      <c r="L184" s="126"/>
      <c r="M184" s="127"/>
      <c r="N184" s="127"/>
      <c r="O184" s="127"/>
      <c r="P184" s="127"/>
      <c r="Q184" s="128"/>
    </row>
    <row r="185" spans="1:17" ht="35.25" customHeight="1" x14ac:dyDescent="0.15">
      <c r="A185" s="146"/>
      <c r="B185" s="545" t="s">
        <v>942</v>
      </c>
      <c r="C185" s="546"/>
      <c r="D185" s="147"/>
      <c r="E185" s="141">
        <v>8.5299999999999994</v>
      </c>
      <c r="F185" s="141">
        <v>0.25</v>
      </c>
      <c r="G185" s="141">
        <v>0.25</v>
      </c>
      <c r="H185" s="141">
        <v>7</v>
      </c>
      <c r="I185" s="141">
        <f t="shared" si="58"/>
        <v>8.5299999999999994</v>
      </c>
      <c r="J185" s="131" t="s">
        <v>193</v>
      </c>
      <c r="K185" s="141">
        <f t="shared" si="59"/>
        <v>59.709999999999994</v>
      </c>
      <c r="L185" s="126"/>
      <c r="M185" s="127"/>
      <c r="N185" s="127"/>
      <c r="O185" s="127"/>
      <c r="P185" s="127"/>
      <c r="Q185" s="128"/>
    </row>
    <row r="186" spans="1:17" ht="14" x14ac:dyDescent="0.15">
      <c r="A186" s="547" t="s">
        <v>149</v>
      </c>
      <c r="B186" s="548"/>
      <c r="C186" s="548"/>
      <c r="D186" s="548"/>
      <c r="E186" s="548"/>
      <c r="F186" s="548"/>
      <c r="G186" s="548"/>
      <c r="H186" s="548"/>
      <c r="I186" s="548"/>
      <c r="J186" s="549"/>
      <c r="K186" s="311">
        <f>SUM(K184:K185)</f>
        <v>117.61</v>
      </c>
      <c r="L186" s="132"/>
      <c r="M186" s="133"/>
      <c r="N186" s="133"/>
      <c r="O186" s="133"/>
      <c r="P186" s="133"/>
      <c r="Q186" s="134"/>
    </row>
    <row r="187" spans="1:17" x14ac:dyDescent="0.15">
      <c r="A187" s="550"/>
      <c r="B187" s="551"/>
      <c r="C187" s="551"/>
      <c r="D187" s="551"/>
      <c r="E187" s="551"/>
      <c r="F187" s="551"/>
      <c r="G187" s="551"/>
      <c r="H187" s="551"/>
      <c r="I187" s="551"/>
      <c r="J187" s="551"/>
      <c r="K187" s="551"/>
      <c r="L187" s="551"/>
      <c r="M187" s="551"/>
      <c r="N187" s="551"/>
      <c r="O187" s="551"/>
      <c r="P187" s="551"/>
      <c r="Q187" s="552"/>
    </row>
    <row r="188" spans="1:17" s="120" customFormat="1" ht="18" customHeight="1" x14ac:dyDescent="0.15">
      <c r="A188" s="396" t="s">
        <v>0</v>
      </c>
      <c r="B188" s="562" t="s">
        <v>943</v>
      </c>
      <c r="C188" s="563"/>
      <c r="D188" s="563"/>
      <c r="E188" s="563"/>
      <c r="F188" s="563"/>
      <c r="G188" s="563"/>
      <c r="H188" s="563"/>
      <c r="I188" s="563"/>
      <c r="J188" s="563"/>
      <c r="K188" s="563"/>
      <c r="L188" s="563"/>
      <c r="M188" s="563"/>
      <c r="N188" s="563"/>
      <c r="O188" s="394" t="s">
        <v>73</v>
      </c>
      <c r="P188" s="547" t="s">
        <v>193</v>
      </c>
      <c r="Q188" s="549"/>
    </row>
    <row r="189" spans="1:17" x14ac:dyDescent="0.15">
      <c r="A189" s="550"/>
      <c r="B189" s="551"/>
      <c r="C189" s="551"/>
      <c r="D189" s="551"/>
      <c r="E189" s="551"/>
      <c r="F189" s="551"/>
      <c r="G189" s="551"/>
      <c r="H189" s="551"/>
      <c r="I189" s="551"/>
      <c r="J189" s="551"/>
      <c r="K189" s="551"/>
      <c r="L189" s="551"/>
      <c r="M189" s="551"/>
      <c r="N189" s="551"/>
      <c r="O189" s="551"/>
      <c r="P189" s="551"/>
      <c r="Q189" s="552"/>
    </row>
    <row r="190" spans="1:17" s="125" customFormat="1" x14ac:dyDescent="0.15">
      <c r="A190" s="553" t="s">
        <v>150</v>
      </c>
      <c r="B190" s="540" t="s">
        <v>151</v>
      </c>
      <c r="C190" s="540"/>
      <c r="D190" s="541"/>
      <c r="E190" s="540" t="s">
        <v>152</v>
      </c>
      <c r="F190" s="540"/>
      <c r="G190" s="540"/>
      <c r="H190" s="541" t="s">
        <v>153</v>
      </c>
      <c r="I190" s="541" t="s">
        <v>241</v>
      </c>
      <c r="J190" s="543" t="s">
        <v>73</v>
      </c>
      <c r="K190" s="394" t="s">
        <v>154</v>
      </c>
      <c r="L190" s="122"/>
      <c r="M190" s="123"/>
      <c r="N190" s="123"/>
      <c r="O190" s="123"/>
      <c r="P190" s="123"/>
      <c r="Q190" s="124"/>
    </row>
    <row r="191" spans="1:17" s="129" customFormat="1" x14ac:dyDescent="0.15">
      <c r="A191" s="553"/>
      <c r="B191" s="540"/>
      <c r="C191" s="540"/>
      <c r="D191" s="542"/>
      <c r="E191" s="393" t="s">
        <v>155</v>
      </c>
      <c r="F191" s="393" t="s">
        <v>156</v>
      </c>
      <c r="G191" s="393" t="s">
        <v>157</v>
      </c>
      <c r="H191" s="542"/>
      <c r="I191" s="542"/>
      <c r="J191" s="544"/>
      <c r="K191" s="394" t="s">
        <v>158</v>
      </c>
      <c r="L191" s="126"/>
      <c r="M191" s="127"/>
      <c r="N191" s="127"/>
      <c r="O191" s="127"/>
      <c r="P191" s="127"/>
      <c r="Q191" s="128"/>
    </row>
    <row r="192" spans="1:17" ht="35.25" customHeight="1" x14ac:dyDescent="0.15">
      <c r="A192" s="146"/>
      <c r="B192" s="545" t="s">
        <v>875</v>
      </c>
      <c r="C192" s="546"/>
      <c r="D192" s="147"/>
      <c r="E192" s="141">
        <v>85.23</v>
      </c>
      <c r="F192" s="141">
        <v>0.2</v>
      </c>
      <c r="G192" s="141">
        <v>0.25</v>
      </c>
      <c r="H192" s="141">
        <v>1</v>
      </c>
      <c r="I192" s="141">
        <f t="shared" ref="I192" si="60">E192</f>
        <v>85.23</v>
      </c>
      <c r="J192" s="131" t="s">
        <v>193</v>
      </c>
      <c r="K192" s="141">
        <f t="shared" ref="K192" si="61">I192*H192</f>
        <v>85.23</v>
      </c>
      <c r="L192" s="126"/>
      <c r="M192" s="127"/>
      <c r="N192" s="127"/>
      <c r="O192" s="127"/>
      <c r="P192" s="127"/>
      <c r="Q192" s="128"/>
    </row>
    <row r="193" spans="1:17" ht="14" x14ac:dyDescent="0.15">
      <c r="A193" s="547" t="s">
        <v>149</v>
      </c>
      <c r="B193" s="548"/>
      <c r="C193" s="548"/>
      <c r="D193" s="548"/>
      <c r="E193" s="548"/>
      <c r="F193" s="548"/>
      <c r="G193" s="548"/>
      <c r="H193" s="548"/>
      <c r="I193" s="548"/>
      <c r="J193" s="549"/>
      <c r="K193" s="311">
        <f>SUM(K192:K192)</f>
        <v>85.23</v>
      </c>
      <c r="L193" s="132"/>
      <c r="M193" s="133"/>
      <c r="N193" s="133"/>
      <c r="O193" s="133"/>
      <c r="P193" s="133"/>
      <c r="Q193" s="134"/>
    </row>
    <row r="194" spans="1:17" x14ac:dyDescent="0.15">
      <c r="A194" s="550"/>
      <c r="B194" s="551"/>
      <c r="C194" s="551"/>
      <c r="D194" s="551"/>
      <c r="E194" s="551"/>
      <c r="F194" s="551"/>
      <c r="G194" s="551"/>
      <c r="H194" s="551"/>
      <c r="I194" s="551"/>
      <c r="J194" s="551"/>
      <c r="K194" s="551"/>
      <c r="L194" s="551"/>
      <c r="M194" s="551"/>
      <c r="N194" s="551"/>
      <c r="O194" s="551"/>
      <c r="P194" s="551"/>
      <c r="Q194" s="552"/>
    </row>
    <row r="195" spans="1:17" s="120" customFormat="1" ht="18" customHeight="1" x14ac:dyDescent="0.15">
      <c r="A195" s="396" t="s">
        <v>0</v>
      </c>
      <c r="B195" s="562" t="s">
        <v>959</v>
      </c>
      <c r="C195" s="563"/>
      <c r="D195" s="563"/>
      <c r="E195" s="563"/>
      <c r="F195" s="563"/>
      <c r="G195" s="563"/>
      <c r="H195" s="563"/>
      <c r="I195" s="563"/>
      <c r="J195" s="563"/>
      <c r="K195" s="563"/>
      <c r="L195" s="563"/>
      <c r="M195" s="563"/>
      <c r="N195" s="563"/>
      <c r="O195" s="394" t="s">
        <v>73</v>
      </c>
      <c r="P195" s="547" t="s">
        <v>193</v>
      </c>
      <c r="Q195" s="549"/>
    </row>
    <row r="196" spans="1:17" x14ac:dyDescent="0.15">
      <c r="A196" s="550"/>
      <c r="B196" s="551"/>
      <c r="C196" s="551"/>
      <c r="D196" s="551"/>
      <c r="E196" s="551"/>
      <c r="F196" s="551"/>
      <c r="G196" s="551"/>
      <c r="H196" s="551"/>
      <c r="I196" s="551"/>
      <c r="J196" s="551"/>
      <c r="K196" s="551"/>
      <c r="L196" s="551"/>
      <c r="M196" s="551"/>
      <c r="N196" s="551"/>
      <c r="O196" s="551"/>
      <c r="P196" s="551"/>
      <c r="Q196" s="552"/>
    </row>
    <row r="197" spans="1:17" s="125" customFormat="1" x14ac:dyDescent="0.15">
      <c r="A197" s="553" t="s">
        <v>150</v>
      </c>
      <c r="B197" s="540" t="s">
        <v>151</v>
      </c>
      <c r="C197" s="540"/>
      <c r="D197" s="541"/>
      <c r="E197" s="540" t="s">
        <v>152</v>
      </c>
      <c r="F197" s="540"/>
      <c r="G197" s="540"/>
      <c r="H197" s="541" t="s">
        <v>153</v>
      </c>
      <c r="I197" s="541" t="s">
        <v>241</v>
      </c>
      <c r="J197" s="543" t="s">
        <v>73</v>
      </c>
      <c r="K197" s="394" t="s">
        <v>154</v>
      </c>
      <c r="L197" s="122"/>
      <c r="M197" s="123"/>
      <c r="N197" s="123"/>
      <c r="O197" s="123"/>
      <c r="P197" s="123"/>
      <c r="Q197" s="124"/>
    </row>
    <row r="198" spans="1:17" s="129" customFormat="1" x14ac:dyDescent="0.15">
      <c r="A198" s="553"/>
      <c r="B198" s="540"/>
      <c r="C198" s="540"/>
      <c r="D198" s="542"/>
      <c r="E198" s="393" t="s">
        <v>155</v>
      </c>
      <c r="F198" s="393" t="s">
        <v>156</v>
      </c>
      <c r="G198" s="393" t="s">
        <v>157</v>
      </c>
      <c r="H198" s="542"/>
      <c r="I198" s="542"/>
      <c r="J198" s="544"/>
      <c r="K198" s="394" t="s">
        <v>158</v>
      </c>
      <c r="L198" s="126"/>
      <c r="M198" s="127"/>
      <c r="N198" s="127"/>
      <c r="O198" s="127"/>
      <c r="P198" s="127"/>
      <c r="Q198" s="128"/>
    </row>
    <row r="199" spans="1:17" ht="24.75" customHeight="1" x14ac:dyDescent="0.15">
      <c r="A199" s="146"/>
      <c r="B199" s="545" t="s">
        <v>951</v>
      </c>
      <c r="C199" s="546"/>
      <c r="D199" s="147"/>
      <c r="E199" s="141">
        <v>2.5</v>
      </c>
      <c r="F199" s="141">
        <v>0.1</v>
      </c>
      <c r="G199" s="141">
        <v>0.15</v>
      </c>
      <c r="H199" s="141">
        <v>1</v>
      </c>
      <c r="I199" s="141">
        <f t="shared" ref="I199" si="62">E199</f>
        <v>2.5</v>
      </c>
      <c r="J199" s="131" t="s">
        <v>193</v>
      </c>
      <c r="K199" s="141">
        <f t="shared" ref="K199" si="63">I199*H199</f>
        <v>2.5</v>
      </c>
      <c r="L199" s="126"/>
      <c r="M199" s="127"/>
      <c r="N199" s="127"/>
      <c r="O199" s="127"/>
      <c r="P199" s="127"/>
      <c r="Q199" s="128"/>
    </row>
    <row r="200" spans="1:17" ht="24.75" customHeight="1" x14ac:dyDescent="0.15">
      <c r="A200" s="146"/>
      <c r="B200" s="545" t="s">
        <v>952</v>
      </c>
      <c r="C200" s="546"/>
      <c r="D200" s="147"/>
      <c r="E200" s="141">
        <v>1.4</v>
      </c>
      <c r="F200" s="141">
        <v>0.1</v>
      </c>
      <c r="G200" s="141">
        <v>0.15</v>
      </c>
      <c r="H200" s="141">
        <v>2</v>
      </c>
      <c r="I200" s="141">
        <f t="shared" ref="I200" si="64">E200</f>
        <v>1.4</v>
      </c>
      <c r="J200" s="131" t="s">
        <v>193</v>
      </c>
      <c r="K200" s="141">
        <f t="shared" ref="K200" si="65">I200*H200</f>
        <v>2.8</v>
      </c>
      <c r="L200" s="126"/>
      <c r="M200" s="127"/>
      <c r="N200" s="127"/>
      <c r="O200" s="127"/>
      <c r="P200" s="127"/>
      <c r="Q200" s="128"/>
    </row>
    <row r="201" spans="1:17" ht="24.75" customHeight="1" x14ac:dyDescent="0.15">
      <c r="A201" s="146"/>
      <c r="B201" s="545" t="s">
        <v>954</v>
      </c>
      <c r="C201" s="546"/>
      <c r="D201" s="147"/>
      <c r="E201" s="141">
        <v>1.3</v>
      </c>
      <c r="F201" s="141">
        <v>0.1</v>
      </c>
      <c r="G201" s="141">
        <v>0.15</v>
      </c>
      <c r="H201" s="141">
        <v>9</v>
      </c>
      <c r="I201" s="141">
        <f t="shared" ref="I201" si="66">E201</f>
        <v>1.3</v>
      </c>
      <c r="J201" s="131" t="s">
        <v>193</v>
      </c>
      <c r="K201" s="141">
        <f t="shared" ref="K201" si="67">I201*H201</f>
        <v>11.700000000000001</v>
      </c>
      <c r="L201" s="126"/>
      <c r="M201" s="127"/>
      <c r="N201" s="127"/>
      <c r="O201" s="127"/>
      <c r="P201" s="127"/>
      <c r="Q201" s="128"/>
    </row>
    <row r="202" spans="1:17" ht="24.75" customHeight="1" x14ac:dyDescent="0.15">
      <c r="A202" s="146"/>
      <c r="B202" s="545" t="s">
        <v>958</v>
      </c>
      <c r="C202" s="546"/>
      <c r="D202" s="147"/>
      <c r="E202" s="141">
        <v>1.1000000000000001</v>
      </c>
      <c r="F202" s="141">
        <v>0.1</v>
      </c>
      <c r="G202" s="141">
        <v>0.15</v>
      </c>
      <c r="H202" s="141">
        <v>8</v>
      </c>
      <c r="I202" s="141">
        <f t="shared" ref="I202" si="68">E202</f>
        <v>1.1000000000000001</v>
      </c>
      <c r="J202" s="131" t="s">
        <v>193</v>
      </c>
      <c r="K202" s="141">
        <f t="shared" ref="K202" si="69">I202*H202</f>
        <v>8.8000000000000007</v>
      </c>
      <c r="L202" s="126"/>
      <c r="M202" s="127"/>
      <c r="N202" s="127"/>
      <c r="O202" s="127"/>
      <c r="P202" s="127"/>
      <c r="Q202" s="128"/>
    </row>
    <row r="203" spans="1:17" ht="24.75" customHeight="1" x14ac:dyDescent="0.15">
      <c r="A203" s="146"/>
      <c r="B203" s="545" t="s">
        <v>953</v>
      </c>
      <c r="C203" s="546"/>
      <c r="D203" s="147"/>
      <c r="E203" s="141">
        <v>2.5</v>
      </c>
      <c r="F203" s="141">
        <v>0.1</v>
      </c>
      <c r="G203" s="141">
        <v>0.15</v>
      </c>
      <c r="H203" s="141">
        <v>1</v>
      </c>
      <c r="I203" s="141">
        <f t="shared" ref="I203" si="70">E203</f>
        <v>2.5</v>
      </c>
      <c r="J203" s="131" t="s">
        <v>193</v>
      </c>
      <c r="K203" s="141">
        <f t="shared" ref="K203" si="71">I203*H203</f>
        <v>2.5</v>
      </c>
      <c r="L203" s="126"/>
      <c r="M203" s="127"/>
      <c r="N203" s="127"/>
      <c r="O203" s="127"/>
      <c r="P203" s="127"/>
      <c r="Q203" s="128"/>
    </row>
    <row r="204" spans="1:17" ht="31.5" customHeight="1" x14ac:dyDescent="0.15">
      <c r="A204" s="146"/>
      <c r="B204" s="545" t="s">
        <v>955</v>
      </c>
      <c r="C204" s="546"/>
      <c r="D204" s="147"/>
      <c r="E204" s="141">
        <v>2.5</v>
      </c>
      <c r="F204" s="141">
        <v>0.1</v>
      </c>
      <c r="G204" s="141">
        <v>0.15</v>
      </c>
      <c r="H204" s="141">
        <v>2</v>
      </c>
      <c r="I204" s="141">
        <f t="shared" ref="I204" si="72">E204</f>
        <v>2.5</v>
      </c>
      <c r="J204" s="131" t="s">
        <v>193</v>
      </c>
      <c r="K204" s="141">
        <f t="shared" ref="K204" si="73">I204*H204</f>
        <v>5</v>
      </c>
      <c r="L204" s="126"/>
      <c r="M204" s="127"/>
      <c r="N204" s="127"/>
      <c r="O204" s="127"/>
      <c r="P204" s="127"/>
      <c r="Q204" s="128"/>
    </row>
    <row r="205" spans="1:17" ht="31.5" customHeight="1" x14ac:dyDescent="0.15">
      <c r="A205" s="146"/>
      <c r="B205" s="545" t="s">
        <v>956</v>
      </c>
      <c r="C205" s="546"/>
      <c r="D205" s="147"/>
      <c r="E205" s="141">
        <v>2</v>
      </c>
      <c r="F205" s="141">
        <v>0.1</v>
      </c>
      <c r="G205" s="141">
        <v>0.15</v>
      </c>
      <c r="H205" s="141">
        <v>6</v>
      </c>
      <c r="I205" s="141">
        <f t="shared" ref="I205" si="74">E205</f>
        <v>2</v>
      </c>
      <c r="J205" s="131" t="s">
        <v>193</v>
      </c>
      <c r="K205" s="141">
        <f t="shared" ref="K205" si="75">I205*H205</f>
        <v>12</v>
      </c>
      <c r="L205" s="126"/>
      <c r="M205" s="127"/>
      <c r="N205" s="127"/>
      <c r="O205" s="127"/>
      <c r="P205" s="127"/>
      <c r="Q205" s="128"/>
    </row>
    <row r="206" spans="1:17" ht="31.5" customHeight="1" x14ac:dyDescent="0.15">
      <c r="A206" s="146"/>
      <c r="B206" s="545" t="s">
        <v>957</v>
      </c>
      <c r="C206" s="546"/>
      <c r="D206" s="147"/>
      <c r="E206" s="141">
        <v>1</v>
      </c>
      <c r="F206" s="141">
        <v>0.1</v>
      </c>
      <c r="G206" s="141">
        <v>0.15</v>
      </c>
      <c r="H206" s="141">
        <v>8</v>
      </c>
      <c r="I206" s="141">
        <f t="shared" ref="I206" si="76">E206</f>
        <v>1</v>
      </c>
      <c r="J206" s="131" t="s">
        <v>193</v>
      </c>
      <c r="K206" s="141">
        <f t="shared" ref="K206" si="77">I206*H206</f>
        <v>8</v>
      </c>
      <c r="L206" s="126"/>
      <c r="M206" s="127"/>
      <c r="N206" s="127"/>
      <c r="O206" s="127"/>
      <c r="P206" s="127"/>
      <c r="Q206" s="128"/>
    </row>
    <row r="207" spans="1:17" ht="14" x14ac:dyDescent="0.15">
      <c r="A207" s="547" t="s">
        <v>149</v>
      </c>
      <c r="B207" s="548"/>
      <c r="C207" s="548"/>
      <c r="D207" s="548"/>
      <c r="E207" s="548"/>
      <c r="F207" s="548"/>
      <c r="G207" s="548"/>
      <c r="H207" s="548"/>
      <c r="I207" s="548"/>
      <c r="J207" s="549"/>
      <c r="K207" s="311">
        <f>SUM(K199:K206)</f>
        <v>53.3</v>
      </c>
      <c r="L207" s="132"/>
      <c r="M207" s="133"/>
      <c r="N207" s="133"/>
      <c r="O207" s="133"/>
      <c r="P207" s="133"/>
      <c r="Q207" s="134"/>
    </row>
    <row r="208" spans="1:17" x14ac:dyDescent="0.15">
      <c r="A208" s="550"/>
      <c r="B208" s="551"/>
      <c r="C208" s="551"/>
      <c r="D208" s="551"/>
      <c r="E208" s="551"/>
      <c r="F208" s="551"/>
      <c r="G208" s="551"/>
      <c r="H208" s="551"/>
      <c r="I208" s="551"/>
      <c r="J208" s="551"/>
      <c r="K208" s="551"/>
      <c r="L208" s="551"/>
      <c r="M208" s="551"/>
      <c r="N208" s="551"/>
      <c r="O208" s="551"/>
      <c r="P208" s="551"/>
      <c r="Q208" s="552"/>
    </row>
    <row r="209" spans="1:17" s="120" customFormat="1" ht="18" customHeight="1" x14ac:dyDescent="0.15">
      <c r="A209" s="396" t="s">
        <v>0</v>
      </c>
      <c r="B209" s="562" t="s">
        <v>960</v>
      </c>
      <c r="C209" s="563"/>
      <c r="D209" s="563"/>
      <c r="E209" s="563"/>
      <c r="F209" s="563"/>
      <c r="G209" s="563"/>
      <c r="H209" s="563"/>
      <c r="I209" s="563"/>
      <c r="J209" s="563"/>
      <c r="K209" s="563"/>
      <c r="L209" s="563"/>
      <c r="M209" s="563"/>
      <c r="N209" s="563"/>
      <c r="O209" s="394" t="s">
        <v>73</v>
      </c>
      <c r="P209" s="547" t="s">
        <v>193</v>
      </c>
      <c r="Q209" s="549"/>
    </row>
    <row r="210" spans="1:17" x14ac:dyDescent="0.15">
      <c r="A210" s="550"/>
      <c r="B210" s="551"/>
      <c r="C210" s="551"/>
      <c r="D210" s="551"/>
      <c r="E210" s="551"/>
      <c r="F210" s="551"/>
      <c r="G210" s="551"/>
      <c r="H210" s="551"/>
      <c r="I210" s="551"/>
      <c r="J210" s="551"/>
      <c r="K210" s="551"/>
      <c r="L210" s="551"/>
      <c r="M210" s="551"/>
      <c r="N210" s="551"/>
      <c r="O210" s="551"/>
      <c r="P210" s="551"/>
      <c r="Q210" s="552"/>
    </row>
    <row r="211" spans="1:17" s="125" customFormat="1" x14ac:dyDescent="0.15">
      <c r="A211" s="553" t="s">
        <v>150</v>
      </c>
      <c r="B211" s="540" t="s">
        <v>151</v>
      </c>
      <c r="C211" s="540"/>
      <c r="D211" s="541"/>
      <c r="E211" s="540" t="s">
        <v>152</v>
      </c>
      <c r="F211" s="540"/>
      <c r="G211" s="540"/>
      <c r="H211" s="541" t="s">
        <v>153</v>
      </c>
      <c r="I211" s="541" t="s">
        <v>241</v>
      </c>
      <c r="J211" s="543" t="s">
        <v>73</v>
      </c>
      <c r="K211" s="394" t="s">
        <v>154</v>
      </c>
      <c r="L211" s="122"/>
      <c r="M211" s="123"/>
      <c r="N211" s="123"/>
      <c r="O211" s="123"/>
      <c r="P211" s="123"/>
      <c r="Q211" s="124"/>
    </row>
    <row r="212" spans="1:17" s="129" customFormat="1" x14ac:dyDescent="0.15">
      <c r="A212" s="553"/>
      <c r="B212" s="540"/>
      <c r="C212" s="540"/>
      <c r="D212" s="542"/>
      <c r="E212" s="393" t="s">
        <v>155</v>
      </c>
      <c r="F212" s="393" t="s">
        <v>156</v>
      </c>
      <c r="G212" s="393" t="s">
        <v>157</v>
      </c>
      <c r="H212" s="542"/>
      <c r="I212" s="542"/>
      <c r="J212" s="544"/>
      <c r="K212" s="394" t="s">
        <v>158</v>
      </c>
      <c r="L212" s="126"/>
      <c r="M212" s="127"/>
      <c r="N212" s="127"/>
      <c r="O212" s="127"/>
      <c r="P212" s="127"/>
      <c r="Q212" s="128"/>
    </row>
    <row r="213" spans="1:17" ht="39.75" customHeight="1" x14ac:dyDescent="0.15">
      <c r="A213" s="146"/>
      <c r="B213" s="545" t="s">
        <v>961</v>
      </c>
      <c r="C213" s="546"/>
      <c r="D213" s="147"/>
      <c r="E213" s="141">
        <v>9.3000000000000007</v>
      </c>
      <c r="F213" s="141">
        <v>0.1</v>
      </c>
      <c r="G213" s="141">
        <v>0.2</v>
      </c>
      <c r="H213" s="141">
        <v>1</v>
      </c>
      <c r="I213" s="141">
        <f t="shared" ref="I213:I216" si="78">E213</f>
        <v>9.3000000000000007</v>
      </c>
      <c r="J213" s="131" t="s">
        <v>193</v>
      </c>
      <c r="K213" s="141">
        <f t="shared" ref="K213:K216" si="79">I213*H213</f>
        <v>9.3000000000000007</v>
      </c>
      <c r="L213" s="126"/>
      <c r="M213" s="127"/>
      <c r="N213" s="127"/>
      <c r="O213" s="127"/>
      <c r="P213" s="127"/>
      <c r="Q213" s="128"/>
    </row>
    <row r="214" spans="1:17" ht="39.75" customHeight="1" x14ac:dyDescent="0.15">
      <c r="A214" s="146"/>
      <c r="B214" s="545" t="s">
        <v>961</v>
      </c>
      <c r="C214" s="546"/>
      <c r="D214" s="147"/>
      <c r="E214" s="141">
        <v>9.5</v>
      </c>
      <c r="F214" s="141">
        <v>0.1</v>
      </c>
      <c r="G214" s="141">
        <v>0.2</v>
      </c>
      <c r="H214" s="141">
        <v>1</v>
      </c>
      <c r="I214" s="141">
        <f t="shared" ref="I214" si="80">E214</f>
        <v>9.5</v>
      </c>
      <c r="J214" s="131" t="s">
        <v>193</v>
      </c>
      <c r="K214" s="141">
        <f t="shared" ref="K214" si="81">I214*H214</f>
        <v>9.5</v>
      </c>
      <c r="L214" s="126"/>
      <c r="M214" s="127"/>
      <c r="N214" s="127"/>
      <c r="O214" s="127"/>
      <c r="P214" s="127"/>
      <c r="Q214" s="128"/>
    </row>
    <row r="215" spans="1:17" ht="39.75" customHeight="1" x14ac:dyDescent="0.15">
      <c r="A215" s="146"/>
      <c r="B215" s="545" t="s">
        <v>961</v>
      </c>
      <c r="C215" s="546"/>
      <c r="D215" s="147"/>
      <c r="E215" s="141">
        <v>20.6</v>
      </c>
      <c r="F215" s="141">
        <v>0.1</v>
      </c>
      <c r="G215" s="141">
        <v>0.2</v>
      </c>
      <c r="H215" s="141">
        <v>2</v>
      </c>
      <c r="I215" s="141">
        <f t="shared" si="78"/>
        <v>20.6</v>
      </c>
      <c r="J215" s="131" t="s">
        <v>193</v>
      </c>
      <c r="K215" s="141">
        <f t="shared" si="79"/>
        <v>41.2</v>
      </c>
      <c r="L215" s="126"/>
      <c r="M215" s="127"/>
      <c r="N215" s="127"/>
      <c r="O215" s="127"/>
      <c r="P215" s="127"/>
      <c r="Q215" s="128"/>
    </row>
    <row r="216" spans="1:17" ht="39.75" customHeight="1" x14ac:dyDescent="0.15">
      <c r="A216" s="146"/>
      <c r="B216" s="545" t="s">
        <v>768</v>
      </c>
      <c r="C216" s="546"/>
      <c r="D216" s="147"/>
      <c r="E216" s="141">
        <v>19.45</v>
      </c>
      <c r="F216" s="141">
        <v>0.1</v>
      </c>
      <c r="G216" s="141">
        <v>0.2</v>
      </c>
      <c r="H216" s="141">
        <v>2</v>
      </c>
      <c r="I216" s="141">
        <f t="shared" si="78"/>
        <v>19.45</v>
      </c>
      <c r="J216" s="131" t="s">
        <v>193</v>
      </c>
      <c r="K216" s="141">
        <f t="shared" si="79"/>
        <v>38.9</v>
      </c>
      <c r="L216" s="126"/>
      <c r="M216" s="127"/>
      <c r="N216" s="127"/>
      <c r="O216" s="127"/>
      <c r="P216" s="127"/>
      <c r="Q216" s="128"/>
    </row>
    <row r="217" spans="1:17" ht="39.75" customHeight="1" x14ac:dyDescent="0.15">
      <c r="A217" s="146"/>
      <c r="B217" s="545" t="s">
        <v>768</v>
      </c>
      <c r="C217" s="546"/>
      <c r="D217" s="147"/>
      <c r="E217" s="141">
        <v>8.16</v>
      </c>
      <c r="F217" s="141">
        <v>0.1</v>
      </c>
      <c r="G217" s="141">
        <v>0.2</v>
      </c>
      <c r="H217" s="141">
        <v>13</v>
      </c>
      <c r="I217" s="141">
        <f t="shared" ref="I217" si="82">E217</f>
        <v>8.16</v>
      </c>
      <c r="J217" s="131" t="s">
        <v>193</v>
      </c>
      <c r="K217" s="141">
        <f t="shared" ref="K217" si="83">I217*H217</f>
        <v>106.08</v>
      </c>
      <c r="L217" s="126"/>
      <c r="M217" s="127"/>
      <c r="N217" s="127"/>
      <c r="O217" s="127"/>
      <c r="P217" s="127"/>
      <c r="Q217" s="128"/>
    </row>
    <row r="218" spans="1:17" ht="14" x14ac:dyDescent="0.15">
      <c r="A218" s="547" t="s">
        <v>149</v>
      </c>
      <c r="B218" s="548"/>
      <c r="C218" s="548"/>
      <c r="D218" s="548"/>
      <c r="E218" s="548"/>
      <c r="F218" s="548"/>
      <c r="G218" s="548"/>
      <c r="H218" s="548"/>
      <c r="I218" s="548"/>
      <c r="J218" s="549"/>
      <c r="K218" s="311">
        <f>SUM(K213:K217)</f>
        <v>204.98000000000002</v>
      </c>
      <c r="L218" s="132"/>
      <c r="M218" s="133"/>
      <c r="N218" s="133"/>
      <c r="O218" s="133"/>
      <c r="P218" s="133"/>
      <c r="Q218" s="134"/>
    </row>
    <row r="219" spans="1:17" x14ac:dyDescent="0.15">
      <c r="A219" s="550"/>
      <c r="B219" s="551"/>
      <c r="C219" s="551"/>
      <c r="D219" s="551"/>
      <c r="E219" s="551"/>
      <c r="F219" s="551"/>
      <c r="G219" s="551"/>
      <c r="H219" s="551"/>
      <c r="I219" s="551"/>
      <c r="J219" s="551"/>
      <c r="K219" s="551"/>
      <c r="L219" s="551"/>
      <c r="M219" s="551"/>
      <c r="N219" s="551"/>
      <c r="O219" s="551"/>
      <c r="P219" s="551"/>
      <c r="Q219" s="552"/>
    </row>
    <row r="220" spans="1:17" s="120" customFormat="1" ht="18" customHeight="1" x14ac:dyDescent="0.15">
      <c r="A220" s="396" t="s">
        <v>0</v>
      </c>
      <c r="B220" s="587" t="s">
        <v>964</v>
      </c>
      <c r="C220" s="588"/>
      <c r="D220" s="588"/>
      <c r="E220" s="588"/>
      <c r="F220" s="588"/>
      <c r="G220" s="588"/>
      <c r="H220" s="588"/>
      <c r="I220" s="588"/>
      <c r="J220" s="588"/>
      <c r="K220" s="588"/>
      <c r="L220" s="588"/>
      <c r="M220" s="588"/>
      <c r="N220" s="589"/>
      <c r="O220" s="394" t="s">
        <v>73</v>
      </c>
      <c r="P220" s="547" t="s">
        <v>5</v>
      </c>
      <c r="Q220" s="549"/>
    </row>
    <row r="221" spans="1:17" x14ac:dyDescent="0.15">
      <c r="A221" s="550"/>
      <c r="B221" s="551"/>
      <c r="C221" s="551"/>
      <c r="D221" s="551"/>
      <c r="E221" s="551"/>
      <c r="F221" s="551"/>
      <c r="G221" s="551"/>
      <c r="H221" s="551"/>
      <c r="I221" s="551"/>
      <c r="J221" s="551"/>
      <c r="K221" s="551"/>
      <c r="L221" s="551"/>
      <c r="M221" s="551"/>
      <c r="N221" s="551"/>
      <c r="O221" s="551"/>
      <c r="P221" s="551"/>
      <c r="Q221" s="552"/>
    </row>
    <row r="222" spans="1:17" s="125" customFormat="1" x14ac:dyDescent="0.15">
      <c r="A222" s="553" t="s">
        <v>150</v>
      </c>
      <c r="B222" s="540" t="s">
        <v>151</v>
      </c>
      <c r="C222" s="540"/>
      <c r="D222" s="558" t="s">
        <v>262</v>
      </c>
      <c r="E222" s="540" t="s">
        <v>152</v>
      </c>
      <c r="F222" s="540"/>
      <c r="G222" s="540"/>
      <c r="H222" s="541" t="s">
        <v>153</v>
      </c>
      <c r="I222" s="541" t="s">
        <v>159</v>
      </c>
      <c r="J222" s="543" t="s">
        <v>73</v>
      </c>
      <c r="K222" s="394" t="s">
        <v>154</v>
      </c>
      <c r="L222" s="122"/>
      <c r="M222" s="123"/>
      <c r="N222" s="123"/>
      <c r="O222" s="123"/>
      <c r="P222" s="123"/>
      <c r="Q222" s="124"/>
    </row>
    <row r="223" spans="1:17" s="129" customFormat="1" x14ac:dyDescent="0.15">
      <c r="A223" s="553"/>
      <c r="B223" s="540"/>
      <c r="C223" s="540"/>
      <c r="D223" s="559"/>
      <c r="E223" s="393" t="s">
        <v>155</v>
      </c>
      <c r="F223" s="393" t="s">
        <v>156</v>
      </c>
      <c r="G223" s="393" t="s">
        <v>157</v>
      </c>
      <c r="H223" s="542"/>
      <c r="I223" s="542"/>
      <c r="J223" s="544"/>
      <c r="K223" s="394" t="s">
        <v>158</v>
      </c>
      <c r="L223" s="126"/>
      <c r="M223" s="127"/>
      <c r="N223" s="127"/>
      <c r="O223" s="127"/>
      <c r="P223" s="127"/>
      <c r="Q223" s="128"/>
    </row>
    <row r="224" spans="1:17" ht="19.5" customHeight="1" x14ac:dyDescent="0.15">
      <c r="A224" s="146"/>
      <c r="B224" s="545" t="s">
        <v>962</v>
      </c>
      <c r="C224" s="546"/>
      <c r="D224" s="141">
        <v>0</v>
      </c>
      <c r="E224" s="141">
        <v>19.600000000000001</v>
      </c>
      <c r="F224" s="141">
        <v>8.83</v>
      </c>
      <c r="G224" s="141">
        <v>0.1</v>
      </c>
      <c r="H224" s="141">
        <v>1</v>
      </c>
      <c r="I224" s="141">
        <f>E224*F224</f>
        <v>173.06800000000001</v>
      </c>
      <c r="J224" s="131" t="s">
        <v>5</v>
      </c>
      <c r="K224" s="141">
        <f>I224*H224</f>
        <v>173.06800000000001</v>
      </c>
      <c r="L224" s="126"/>
      <c r="M224" s="127"/>
      <c r="N224" s="127"/>
      <c r="O224" s="127"/>
      <c r="P224" s="127"/>
      <c r="Q224" s="128"/>
    </row>
    <row r="225" spans="1:17" ht="19.5" customHeight="1" x14ac:dyDescent="0.15">
      <c r="A225" s="146"/>
      <c r="B225" s="560" t="s">
        <v>782</v>
      </c>
      <c r="C225" s="561"/>
      <c r="D225" s="141">
        <v>52.25</v>
      </c>
      <c r="E225" s="141">
        <v>0</v>
      </c>
      <c r="F225" s="141">
        <v>0</v>
      </c>
      <c r="G225" s="141">
        <v>0.1</v>
      </c>
      <c r="H225" s="141">
        <v>1</v>
      </c>
      <c r="I225" s="141">
        <f>D225</f>
        <v>52.25</v>
      </c>
      <c r="J225" s="131" t="s">
        <v>5</v>
      </c>
      <c r="K225" s="141">
        <f>I225*H225</f>
        <v>52.25</v>
      </c>
      <c r="L225" s="126"/>
      <c r="M225" s="127"/>
      <c r="N225" s="127"/>
      <c r="O225" s="127"/>
      <c r="P225" s="127"/>
      <c r="Q225" s="128"/>
    </row>
    <row r="226" spans="1:17" ht="19.5" customHeight="1" x14ac:dyDescent="0.15">
      <c r="A226" s="146"/>
      <c r="B226" s="560" t="s">
        <v>963</v>
      </c>
      <c r="C226" s="561"/>
      <c r="D226" s="141">
        <v>56.32</v>
      </c>
      <c r="E226" s="141">
        <v>0</v>
      </c>
      <c r="F226" s="141">
        <v>0</v>
      </c>
      <c r="G226" s="141">
        <v>0.1</v>
      </c>
      <c r="H226" s="141">
        <v>1</v>
      </c>
      <c r="I226" s="141">
        <f>D226</f>
        <v>56.32</v>
      </c>
      <c r="J226" s="131" t="s">
        <v>5</v>
      </c>
      <c r="K226" s="141">
        <f>I226*H226</f>
        <v>56.32</v>
      </c>
      <c r="L226" s="126"/>
      <c r="M226" s="127"/>
      <c r="N226" s="127"/>
      <c r="O226" s="127"/>
      <c r="P226" s="127"/>
      <c r="Q226" s="128"/>
    </row>
    <row r="227" spans="1:17" ht="14" x14ac:dyDescent="0.15">
      <c r="A227" s="547" t="s">
        <v>149</v>
      </c>
      <c r="B227" s="548"/>
      <c r="C227" s="548"/>
      <c r="D227" s="548"/>
      <c r="E227" s="548"/>
      <c r="F227" s="548"/>
      <c r="G227" s="548"/>
      <c r="H227" s="548"/>
      <c r="I227" s="548"/>
      <c r="J227" s="549"/>
      <c r="K227" s="311">
        <f>SUM(K224:K226)</f>
        <v>281.63800000000003</v>
      </c>
      <c r="L227" s="132"/>
      <c r="M227" s="133"/>
      <c r="N227" s="133"/>
      <c r="O227" s="133"/>
      <c r="P227" s="133"/>
      <c r="Q227" s="134"/>
    </row>
    <row r="228" spans="1:17" x14ac:dyDescent="0.15">
      <c r="A228" s="550"/>
      <c r="B228" s="551"/>
      <c r="C228" s="551"/>
      <c r="D228" s="551"/>
      <c r="E228" s="551"/>
      <c r="F228" s="551"/>
      <c r="G228" s="551"/>
      <c r="H228" s="551"/>
      <c r="I228" s="551"/>
      <c r="J228" s="551"/>
      <c r="K228" s="551"/>
      <c r="L228" s="551"/>
      <c r="M228" s="551"/>
      <c r="N228" s="551"/>
      <c r="O228" s="551"/>
      <c r="P228" s="551"/>
      <c r="Q228" s="552"/>
    </row>
    <row r="229" spans="1:17" s="120" customFormat="1" ht="18" customHeight="1" x14ac:dyDescent="0.15">
      <c r="A229" s="396" t="s">
        <v>0</v>
      </c>
      <c r="B229" s="587" t="s">
        <v>965</v>
      </c>
      <c r="C229" s="588"/>
      <c r="D229" s="588"/>
      <c r="E229" s="588"/>
      <c r="F229" s="588"/>
      <c r="G229" s="588"/>
      <c r="H229" s="588"/>
      <c r="I229" s="588"/>
      <c r="J229" s="588"/>
      <c r="K229" s="588"/>
      <c r="L229" s="588"/>
      <c r="M229" s="588"/>
      <c r="N229" s="589"/>
      <c r="O229" s="394" t="s">
        <v>73</v>
      </c>
      <c r="P229" s="547" t="s">
        <v>5</v>
      </c>
      <c r="Q229" s="549"/>
    </row>
    <row r="230" spans="1:17" x14ac:dyDescent="0.15">
      <c r="A230" s="550"/>
      <c r="B230" s="551"/>
      <c r="C230" s="551"/>
      <c r="D230" s="551"/>
      <c r="E230" s="551"/>
      <c r="F230" s="551"/>
      <c r="G230" s="551"/>
      <c r="H230" s="551"/>
      <c r="I230" s="551"/>
      <c r="J230" s="551"/>
      <c r="K230" s="551"/>
      <c r="L230" s="551"/>
      <c r="M230" s="551"/>
      <c r="N230" s="551"/>
      <c r="O230" s="551"/>
      <c r="P230" s="551"/>
      <c r="Q230" s="552"/>
    </row>
    <row r="231" spans="1:17" s="125" customFormat="1" x14ac:dyDescent="0.15">
      <c r="A231" s="553" t="s">
        <v>150</v>
      </c>
      <c r="B231" s="540" t="s">
        <v>151</v>
      </c>
      <c r="C231" s="540"/>
      <c r="D231" s="558" t="s">
        <v>262</v>
      </c>
      <c r="E231" s="540" t="s">
        <v>152</v>
      </c>
      <c r="F231" s="540"/>
      <c r="G231" s="540"/>
      <c r="H231" s="541" t="s">
        <v>153</v>
      </c>
      <c r="I231" s="541" t="s">
        <v>159</v>
      </c>
      <c r="J231" s="543" t="s">
        <v>73</v>
      </c>
      <c r="K231" s="394" t="s">
        <v>154</v>
      </c>
      <c r="L231" s="122"/>
      <c r="M231" s="123"/>
      <c r="N231" s="123"/>
      <c r="O231" s="123"/>
      <c r="P231" s="123"/>
      <c r="Q231" s="124"/>
    </row>
    <row r="232" spans="1:17" s="129" customFormat="1" x14ac:dyDescent="0.15">
      <c r="A232" s="553"/>
      <c r="B232" s="540"/>
      <c r="C232" s="540"/>
      <c r="D232" s="559"/>
      <c r="E232" s="393" t="s">
        <v>155</v>
      </c>
      <c r="F232" s="393" t="s">
        <v>156</v>
      </c>
      <c r="G232" s="393" t="s">
        <v>157</v>
      </c>
      <c r="H232" s="542"/>
      <c r="I232" s="542"/>
      <c r="J232" s="544"/>
      <c r="K232" s="394" t="s">
        <v>158</v>
      </c>
      <c r="L232" s="126"/>
      <c r="M232" s="127"/>
      <c r="N232" s="127"/>
      <c r="O232" s="127"/>
      <c r="P232" s="127"/>
      <c r="Q232" s="128"/>
    </row>
    <row r="233" spans="1:17" ht="37.5" customHeight="1" x14ac:dyDescent="0.15">
      <c r="A233" s="146"/>
      <c r="B233" s="545" t="s">
        <v>907</v>
      </c>
      <c r="C233" s="546"/>
      <c r="D233" s="147"/>
      <c r="E233" s="141">
        <v>19.3</v>
      </c>
      <c r="F233" s="141">
        <v>0.15</v>
      </c>
      <c r="G233" s="141">
        <v>0.2</v>
      </c>
      <c r="H233" s="141">
        <v>3</v>
      </c>
      <c r="I233" s="141">
        <f t="shared" ref="I233:I236" si="84">G233*E233</f>
        <v>3.8600000000000003</v>
      </c>
      <c r="J233" s="131" t="s">
        <v>5</v>
      </c>
      <c r="K233" s="141">
        <f t="shared" ref="K233:K236" si="85">I233*H233</f>
        <v>11.580000000000002</v>
      </c>
      <c r="L233" s="126"/>
      <c r="M233" s="127"/>
      <c r="N233" s="127"/>
      <c r="O233" s="127"/>
      <c r="P233" s="127"/>
      <c r="Q233" s="128"/>
    </row>
    <row r="234" spans="1:17" ht="37.5" customHeight="1" x14ac:dyDescent="0.15">
      <c r="A234" s="146"/>
      <c r="B234" s="545" t="s">
        <v>907</v>
      </c>
      <c r="C234" s="546"/>
      <c r="D234" s="147"/>
      <c r="E234" s="141">
        <v>8.5299999999999994</v>
      </c>
      <c r="F234" s="141">
        <v>0.15</v>
      </c>
      <c r="G234" s="141">
        <v>0.2</v>
      </c>
      <c r="H234" s="141">
        <v>4</v>
      </c>
      <c r="I234" s="141">
        <f t="shared" si="84"/>
        <v>1.706</v>
      </c>
      <c r="J234" s="131" t="s">
        <v>5</v>
      </c>
      <c r="K234" s="141">
        <f t="shared" si="85"/>
        <v>6.8239999999999998</v>
      </c>
      <c r="L234" s="126"/>
      <c r="M234" s="127"/>
      <c r="N234" s="127"/>
      <c r="O234" s="127"/>
      <c r="P234" s="127"/>
      <c r="Q234" s="128"/>
    </row>
    <row r="235" spans="1:17" ht="37.5" customHeight="1" x14ac:dyDescent="0.15">
      <c r="A235" s="146"/>
      <c r="B235" s="545" t="s">
        <v>908</v>
      </c>
      <c r="C235" s="546"/>
      <c r="D235" s="147"/>
      <c r="E235" s="141">
        <v>52.26</v>
      </c>
      <c r="F235" s="141">
        <v>0.15</v>
      </c>
      <c r="G235" s="141">
        <v>0.2</v>
      </c>
      <c r="H235" s="141">
        <v>2</v>
      </c>
      <c r="I235" s="141">
        <f t="shared" si="84"/>
        <v>10.452</v>
      </c>
      <c r="J235" s="131" t="s">
        <v>5</v>
      </c>
      <c r="K235" s="141">
        <f t="shared" si="85"/>
        <v>20.904</v>
      </c>
      <c r="L235" s="126"/>
      <c r="M235" s="127"/>
      <c r="N235" s="127"/>
      <c r="O235" s="127"/>
      <c r="P235" s="127"/>
      <c r="Q235" s="128"/>
    </row>
    <row r="236" spans="1:17" ht="37.5" customHeight="1" x14ac:dyDescent="0.15">
      <c r="A236" s="146"/>
      <c r="B236" s="545" t="s">
        <v>908</v>
      </c>
      <c r="C236" s="546"/>
      <c r="D236" s="147"/>
      <c r="E236" s="141">
        <v>0.85</v>
      </c>
      <c r="F236" s="141">
        <v>0.15</v>
      </c>
      <c r="G236" s="141">
        <v>0.2</v>
      </c>
      <c r="H236" s="141">
        <v>1</v>
      </c>
      <c r="I236" s="141">
        <f t="shared" si="84"/>
        <v>0.17</v>
      </c>
      <c r="J236" s="131" t="s">
        <v>5</v>
      </c>
      <c r="K236" s="141">
        <f t="shared" si="85"/>
        <v>0.17</v>
      </c>
      <c r="L236" s="126"/>
      <c r="M236" s="127"/>
      <c r="N236" s="127"/>
      <c r="O236" s="127"/>
      <c r="P236" s="127"/>
      <c r="Q236" s="128"/>
    </row>
    <row r="237" spans="1:17" ht="37.5" customHeight="1" x14ac:dyDescent="0.15">
      <c r="A237" s="146"/>
      <c r="B237" s="545" t="s">
        <v>909</v>
      </c>
      <c r="C237" s="546"/>
      <c r="D237" s="147"/>
      <c r="E237" s="141">
        <v>10.7</v>
      </c>
      <c r="F237" s="141">
        <v>0.15</v>
      </c>
      <c r="G237" s="141">
        <v>0.2</v>
      </c>
      <c r="H237" s="141">
        <v>2</v>
      </c>
      <c r="I237" s="141">
        <f t="shared" ref="I237:I238" si="86">G237*E237</f>
        <v>2.14</v>
      </c>
      <c r="J237" s="131" t="s">
        <v>5</v>
      </c>
      <c r="K237" s="141">
        <f t="shared" ref="K237:K238" si="87">I237*H237</f>
        <v>4.28</v>
      </c>
      <c r="L237" s="126"/>
      <c r="M237" s="127"/>
      <c r="N237" s="127"/>
      <c r="O237" s="127"/>
      <c r="P237" s="127"/>
      <c r="Q237" s="128"/>
    </row>
    <row r="238" spans="1:17" ht="37.5" customHeight="1" x14ac:dyDescent="0.15">
      <c r="A238" s="146"/>
      <c r="B238" s="545" t="s">
        <v>909</v>
      </c>
      <c r="C238" s="546"/>
      <c r="D238" s="147"/>
      <c r="E238" s="141">
        <v>0.85</v>
      </c>
      <c r="F238" s="141">
        <v>0.15</v>
      </c>
      <c r="G238" s="141">
        <v>0.2</v>
      </c>
      <c r="H238" s="141">
        <v>1</v>
      </c>
      <c r="I238" s="141">
        <f t="shared" si="86"/>
        <v>0.17</v>
      </c>
      <c r="J238" s="131" t="s">
        <v>5</v>
      </c>
      <c r="K238" s="141">
        <f t="shared" si="87"/>
        <v>0.17</v>
      </c>
      <c r="L238" s="126"/>
      <c r="M238" s="127"/>
      <c r="N238" s="127"/>
      <c r="O238" s="127"/>
      <c r="P238" s="127"/>
      <c r="Q238" s="128"/>
    </row>
    <row r="239" spans="1:17" ht="37.5" customHeight="1" x14ac:dyDescent="0.15">
      <c r="A239" s="146"/>
      <c r="B239" s="545" t="s">
        <v>909</v>
      </c>
      <c r="C239" s="546"/>
      <c r="D239" s="147"/>
      <c r="E239" s="141">
        <v>1.35</v>
      </c>
      <c r="F239" s="141">
        <v>0.15</v>
      </c>
      <c r="G239" s="141">
        <v>0.2</v>
      </c>
      <c r="H239" s="141">
        <v>2</v>
      </c>
      <c r="I239" s="141">
        <f t="shared" ref="I239:I240" si="88">G239*E239</f>
        <v>0.27</v>
      </c>
      <c r="J239" s="131" t="s">
        <v>5</v>
      </c>
      <c r="K239" s="141">
        <f t="shared" ref="K239:K240" si="89">I239*H239</f>
        <v>0.54</v>
      </c>
      <c r="L239" s="126"/>
      <c r="M239" s="127"/>
      <c r="N239" s="127"/>
      <c r="O239" s="127"/>
      <c r="P239" s="127"/>
      <c r="Q239" s="128"/>
    </row>
    <row r="240" spans="1:17" ht="37.5" customHeight="1" x14ac:dyDescent="0.15">
      <c r="A240" s="146"/>
      <c r="B240" s="545" t="s">
        <v>910</v>
      </c>
      <c r="C240" s="546"/>
      <c r="D240" s="147"/>
      <c r="E240" s="141">
        <v>33.08</v>
      </c>
      <c r="F240" s="141">
        <v>0.15</v>
      </c>
      <c r="G240" s="141">
        <v>0.2</v>
      </c>
      <c r="H240" s="141">
        <v>1</v>
      </c>
      <c r="I240" s="141">
        <f t="shared" si="88"/>
        <v>6.6159999999999997</v>
      </c>
      <c r="J240" s="131" t="s">
        <v>5</v>
      </c>
      <c r="K240" s="141">
        <f t="shared" si="89"/>
        <v>6.6159999999999997</v>
      </c>
      <c r="L240" s="126"/>
      <c r="M240" s="127"/>
      <c r="N240" s="127"/>
      <c r="O240" s="127"/>
      <c r="P240" s="127"/>
      <c r="Q240" s="128"/>
    </row>
    <row r="241" spans="1:17" ht="14" x14ac:dyDescent="0.15">
      <c r="A241" s="547" t="s">
        <v>149</v>
      </c>
      <c r="B241" s="548"/>
      <c r="C241" s="548"/>
      <c r="D241" s="548"/>
      <c r="E241" s="548"/>
      <c r="F241" s="548"/>
      <c r="G241" s="548"/>
      <c r="H241" s="548"/>
      <c r="I241" s="548"/>
      <c r="J241" s="549"/>
      <c r="K241" s="311">
        <f>SUM(K233:K240)</f>
        <v>51.08400000000001</v>
      </c>
      <c r="L241" s="132"/>
      <c r="M241" s="133"/>
      <c r="N241" s="133"/>
      <c r="O241" s="133"/>
      <c r="P241" s="133"/>
      <c r="Q241" s="134"/>
    </row>
    <row r="242" spans="1:17" x14ac:dyDescent="0.15">
      <c r="A242" s="550"/>
      <c r="B242" s="551"/>
      <c r="C242" s="551"/>
      <c r="D242" s="551"/>
      <c r="E242" s="551"/>
      <c r="F242" s="551"/>
      <c r="G242" s="551"/>
      <c r="H242" s="551"/>
      <c r="I242" s="551"/>
      <c r="J242" s="551"/>
      <c r="K242" s="551"/>
      <c r="L242" s="551"/>
      <c r="M242" s="551"/>
      <c r="N242" s="551"/>
      <c r="O242" s="551"/>
      <c r="P242" s="551"/>
      <c r="Q242" s="552"/>
    </row>
    <row r="243" spans="1:17" s="120" customFormat="1" ht="18" customHeight="1" x14ac:dyDescent="0.15">
      <c r="A243" s="396" t="s">
        <v>0</v>
      </c>
      <c r="B243" s="587" t="s">
        <v>966</v>
      </c>
      <c r="C243" s="588"/>
      <c r="D243" s="588"/>
      <c r="E243" s="588"/>
      <c r="F243" s="588"/>
      <c r="G243" s="588"/>
      <c r="H243" s="588"/>
      <c r="I243" s="588"/>
      <c r="J243" s="588"/>
      <c r="K243" s="588"/>
      <c r="L243" s="588"/>
      <c r="M243" s="588"/>
      <c r="N243" s="589"/>
      <c r="O243" s="394" t="s">
        <v>73</v>
      </c>
      <c r="P243" s="547" t="s">
        <v>5</v>
      </c>
      <c r="Q243" s="549"/>
    </row>
    <row r="244" spans="1:17" x14ac:dyDescent="0.15">
      <c r="A244" s="550"/>
      <c r="B244" s="551"/>
      <c r="C244" s="551"/>
      <c r="D244" s="551"/>
      <c r="E244" s="551"/>
      <c r="F244" s="551"/>
      <c r="G244" s="551"/>
      <c r="H244" s="551"/>
      <c r="I244" s="551"/>
      <c r="J244" s="551"/>
      <c r="K244" s="551"/>
      <c r="L244" s="551"/>
      <c r="M244" s="551"/>
      <c r="N244" s="551"/>
      <c r="O244" s="551"/>
      <c r="P244" s="551"/>
      <c r="Q244" s="552"/>
    </row>
    <row r="245" spans="1:17" s="125" customFormat="1" x14ac:dyDescent="0.15">
      <c r="A245" s="553" t="s">
        <v>150</v>
      </c>
      <c r="B245" s="540" t="s">
        <v>151</v>
      </c>
      <c r="C245" s="540"/>
      <c r="D245" s="558" t="s">
        <v>262</v>
      </c>
      <c r="E245" s="540" t="s">
        <v>152</v>
      </c>
      <c r="F245" s="540"/>
      <c r="G245" s="540"/>
      <c r="H245" s="541" t="s">
        <v>153</v>
      </c>
      <c r="I245" s="541" t="s">
        <v>159</v>
      </c>
      <c r="J245" s="543" t="s">
        <v>73</v>
      </c>
      <c r="K245" s="394" t="s">
        <v>154</v>
      </c>
      <c r="L245" s="122"/>
      <c r="M245" s="123"/>
      <c r="N245" s="123"/>
      <c r="O245" s="123"/>
      <c r="P245" s="123"/>
      <c r="Q245" s="124"/>
    </row>
    <row r="246" spans="1:17" s="129" customFormat="1" x14ac:dyDescent="0.15">
      <c r="A246" s="553"/>
      <c r="B246" s="540"/>
      <c r="C246" s="540"/>
      <c r="D246" s="559"/>
      <c r="E246" s="393" t="s">
        <v>155</v>
      </c>
      <c r="F246" s="393" t="s">
        <v>156</v>
      </c>
      <c r="G246" s="393" t="s">
        <v>157</v>
      </c>
      <c r="H246" s="542"/>
      <c r="I246" s="542"/>
      <c r="J246" s="544"/>
      <c r="K246" s="394" t="s">
        <v>158</v>
      </c>
      <c r="L246" s="126"/>
      <c r="M246" s="127"/>
      <c r="N246" s="127"/>
      <c r="O246" s="127"/>
      <c r="P246" s="127"/>
      <c r="Q246" s="128"/>
    </row>
    <row r="247" spans="1:17" ht="24" customHeight="1" x14ac:dyDescent="0.15">
      <c r="A247" s="146"/>
      <c r="B247" s="545" t="s">
        <v>785</v>
      </c>
      <c r="C247" s="546"/>
      <c r="D247" s="147"/>
      <c r="E247" s="141">
        <v>19.45</v>
      </c>
      <c r="F247" s="141">
        <v>0.8</v>
      </c>
      <c r="G247" s="141">
        <v>0.1</v>
      </c>
      <c r="H247" s="141">
        <v>2</v>
      </c>
      <c r="I247" s="141">
        <f>F247*E247</f>
        <v>15.56</v>
      </c>
      <c r="J247" s="131" t="s">
        <v>5</v>
      </c>
      <c r="K247" s="141">
        <f t="shared" ref="K247" si="90">I247*H247</f>
        <v>31.12</v>
      </c>
      <c r="L247" s="126"/>
      <c r="M247" s="127"/>
      <c r="N247" s="127"/>
      <c r="O247" s="127"/>
      <c r="P247" s="127"/>
      <c r="Q247" s="128"/>
    </row>
    <row r="248" spans="1:17" ht="24" customHeight="1" x14ac:dyDescent="0.15">
      <c r="A248" s="146"/>
      <c r="B248" s="545" t="s">
        <v>786</v>
      </c>
      <c r="C248" s="546"/>
      <c r="D248" s="147"/>
      <c r="E248" s="141">
        <v>9.3000000000000007</v>
      </c>
      <c r="F248" s="141">
        <v>1.25</v>
      </c>
      <c r="G248" s="141">
        <v>0.1</v>
      </c>
      <c r="H248" s="141">
        <v>1</v>
      </c>
      <c r="I248" s="141">
        <f>F248*E248</f>
        <v>11.625</v>
      </c>
      <c r="J248" s="131" t="s">
        <v>5</v>
      </c>
      <c r="K248" s="141">
        <f t="shared" ref="K248" si="91">I248*H248</f>
        <v>11.625</v>
      </c>
      <c r="L248" s="126"/>
      <c r="M248" s="127"/>
      <c r="N248" s="127"/>
      <c r="O248" s="127"/>
      <c r="P248" s="127"/>
      <c r="Q248" s="128"/>
    </row>
    <row r="249" spans="1:17" ht="14" x14ac:dyDescent="0.15">
      <c r="A249" s="547" t="s">
        <v>149</v>
      </c>
      <c r="B249" s="548"/>
      <c r="C249" s="548"/>
      <c r="D249" s="548"/>
      <c r="E249" s="548"/>
      <c r="F249" s="548"/>
      <c r="G249" s="548"/>
      <c r="H249" s="548"/>
      <c r="I249" s="548"/>
      <c r="J249" s="549"/>
      <c r="K249" s="311">
        <f>SUM(K247:K248)</f>
        <v>42.745000000000005</v>
      </c>
      <c r="L249" s="132"/>
      <c r="M249" s="133"/>
      <c r="N249" s="133"/>
      <c r="O249" s="133"/>
      <c r="P249" s="133"/>
      <c r="Q249" s="134"/>
    </row>
    <row r="250" spans="1:17" x14ac:dyDescent="0.15">
      <c r="A250" s="550"/>
      <c r="B250" s="551"/>
      <c r="C250" s="551"/>
      <c r="D250" s="551"/>
      <c r="E250" s="551"/>
      <c r="F250" s="551"/>
      <c r="G250" s="551"/>
      <c r="H250" s="551"/>
      <c r="I250" s="551"/>
      <c r="J250" s="551"/>
      <c r="K250" s="551"/>
      <c r="L250" s="551"/>
      <c r="M250" s="551"/>
      <c r="N250" s="551"/>
      <c r="O250" s="551"/>
      <c r="P250" s="551"/>
      <c r="Q250" s="552"/>
    </row>
    <row r="251" spans="1:17" s="120" customFormat="1" ht="18" customHeight="1" x14ac:dyDescent="0.15">
      <c r="A251" s="396" t="s">
        <v>0</v>
      </c>
      <c r="B251" s="587" t="s">
        <v>967</v>
      </c>
      <c r="C251" s="588"/>
      <c r="D251" s="588"/>
      <c r="E251" s="588"/>
      <c r="F251" s="588"/>
      <c r="G251" s="588"/>
      <c r="H251" s="588"/>
      <c r="I251" s="588"/>
      <c r="J251" s="588"/>
      <c r="K251" s="588"/>
      <c r="L251" s="588"/>
      <c r="M251" s="588"/>
      <c r="N251" s="589"/>
      <c r="O251" s="394" t="s">
        <v>73</v>
      </c>
      <c r="P251" s="547" t="s">
        <v>5</v>
      </c>
      <c r="Q251" s="549"/>
    </row>
    <row r="252" spans="1:17" x14ac:dyDescent="0.15">
      <c r="A252" s="550"/>
      <c r="B252" s="551"/>
      <c r="C252" s="551"/>
      <c r="D252" s="551"/>
      <c r="E252" s="551"/>
      <c r="F252" s="551"/>
      <c r="G252" s="551"/>
      <c r="H252" s="551"/>
      <c r="I252" s="551"/>
      <c r="J252" s="551"/>
      <c r="K252" s="551"/>
      <c r="L252" s="551"/>
      <c r="M252" s="551"/>
      <c r="N252" s="551"/>
      <c r="O252" s="551"/>
      <c r="P252" s="551"/>
      <c r="Q252" s="552"/>
    </row>
    <row r="253" spans="1:17" s="125" customFormat="1" x14ac:dyDescent="0.15">
      <c r="A253" s="553" t="s">
        <v>150</v>
      </c>
      <c r="B253" s="540" t="s">
        <v>151</v>
      </c>
      <c r="C253" s="540"/>
      <c r="D253" s="541"/>
      <c r="E253" s="540" t="s">
        <v>152</v>
      </c>
      <c r="F253" s="540"/>
      <c r="G253" s="540"/>
      <c r="H253" s="541" t="s">
        <v>153</v>
      </c>
      <c r="I253" s="541" t="s">
        <v>159</v>
      </c>
      <c r="J253" s="543" t="s">
        <v>73</v>
      </c>
      <c r="K253" s="394" t="s">
        <v>154</v>
      </c>
      <c r="L253" s="122"/>
      <c r="M253" s="123"/>
      <c r="N253" s="123"/>
      <c r="O253" s="123"/>
      <c r="P253" s="123"/>
      <c r="Q253" s="124"/>
    </row>
    <row r="254" spans="1:17" s="129" customFormat="1" x14ac:dyDescent="0.15">
      <c r="A254" s="553"/>
      <c r="B254" s="540"/>
      <c r="C254" s="540"/>
      <c r="D254" s="542"/>
      <c r="E254" s="393" t="s">
        <v>155</v>
      </c>
      <c r="F254" s="393" t="s">
        <v>156</v>
      </c>
      <c r="G254" s="393" t="s">
        <v>157</v>
      </c>
      <c r="H254" s="542"/>
      <c r="I254" s="542"/>
      <c r="J254" s="544"/>
      <c r="K254" s="394" t="s">
        <v>158</v>
      </c>
      <c r="L254" s="126"/>
      <c r="M254" s="127"/>
      <c r="N254" s="127"/>
      <c r="O254" s="127"/>
      <c r="P254" s="127"/>
      <c r="Q254" s="128"/>
    </row>
    <row r="255" spans="1:17" ht="30.75" customHeight="1" x14ac:dyDescent="0.15">
      <c r="A255" s="146"/>
      <c r="B255" s="545" t="s">
        <v>726</v>
      </c>
      <c r="C255" s="546"/>
      <c r="D255" s="141"/>
      <c r="E255" s="141">
        <v>1.2</v>
      </c>
      <c r="F255" s="141">
        <v>1.2</v>
      </c>
      <c r="G255" s="141">
        <v>0.12</v>
      </c>
      <c r="H255" s="141">
        <v>1</v>
      </c>
      <c r="I255" s="141">
        <f>E255*F255</f>
        <v>1.44</v>
      </c>
      <c r="J255" s="131" t="s">
        <v>5</v>
      </c>
      <c r="K255" s="141">
        <f>I255*H255</f>
        <v>1.44</v>
      </c>
      <c r="L255" s="126"/>
      <c r="M255" s="127"/>
      <c r="N255" s="127"/>
      <c r="O255" s="127"/>
      <c r="P255" s="127"/>
      <c r="Q255" s="128"/>
    </row>
    <row r="256" spans="1:17" ht="14" x14ac:dyDescent="0.15">
      <c r="A256" s="547" t="s">
        <v>149</v>
      </c>
      <c r="B256" s="548"/>
      <c r="C256" s="548"/>
      <c r="D256" s="548"/>
      <c r="E256" s="548"/>
      <c r="F256" s="548"/>
      <c r="G256" s="548"/>
      <c r="H256" s="548"/>
      <c r="I256" s="548"/>
      <c r="J256" s="549"/>
      <c r="K256" s="311">
        <f>SUM(K255:K255)</f>
        <v>1.44</v>
      </c>
      <c r="L256" s="132"/>
      <c r="M256" s="133"/>
      <c r="N256" s="133"/>
      <c r="O256" s="133"/>
      <c r="P256" s="133"/>
      <c r="Q256" s="134"/>
    </row>
    <row r="257" spans="1:17" x14ac:dyDescent="0.15">
      <c r="A257" s="550"/>
      <c r="B257" s="551"/>
      <c r="C257" s="551"/>
      <c r="D257" s="551"/>
      <c r="E257" s="551"/>
      <c r="F257" s="551"/>
      <c r="G257" s="551"/>
      <c r="H257" s="551"/>
      <c r="I257" s="551"/>
      <c r="J257" s="551"/>
      <c r="K257" s="551"/>
      <c r="L257" s="551"/>
      <c r="M257" s="551"/>
      <c r="N257" s="551"/>
      <c r="O257" s="551"/>
      <c r="P257" s="551"/>
      <c r="Q257" s="552"/>
    </row>
    <row r="258" spans="1:17" s="120" customFormat="1" ht="18" customHeight="1" x14ac:dyDescent="0.15">
      <c r="A258" s="396" t="s">
        <v>0</v>
      </c>
      <c r="B258" s="554" t="s">
        <v>180</v>
      </c>
      <c r="C258" s="555"/>
      <c r="D258" s="555"/>
      <c r="E258" s="555"/>
      <c r="F258" s="555"/>
      <c r="G258" s="555"/>
      <c r="H258" s="555"/>
      <c r="I258" s="555"/>
      <c r="J258" s="555"/>
      <c r="K258" s="555"/>
      <c r="L258" s="555"/>
      <c r="M258" s="555"/>
      <c r="N258" s="595"/>
      <c r="O258" s="394" t="s">
        <v>73</v>
      </c>
      <c r="P258" s="547" t="s">
        <v>5</v>
      </c>
      <c r="Q258" s="549"/>
    </row>
    <row r="259" spans="1:17" x14ac:dyDescent="0.15">
      <c r="A259" s="550"/>
      <c r="B259" s="551"/>
      <c r="C259" s="551"/>
      <c r="D259" s="551"/>
      <c r="E259" s="551"/>
      <c r="F259" s="551"/>
      <c r="G259" s="551"/>
      <c r="H259" s="551"/>
      <c r="I259" s="551"/>
      <c r="J259" s="551"/>
      <c r="K259" s="551"/>
      <c r="L259" s="551"/>
      <c r="M259" s="551"/>
      <c r="N259" s="551"/>
      <c r="O259" s="551"/>
      <c r="P259" s="551"/>
      <c r="Q259" s="552"/>
    </row>
    <row r="260" spans="1:17" s="125" customFormat="1" x14ac:dyDescent="0.15">
      <c r="A260" s="553" t="s">
        <v>150</v>
      </c>
      <c r="B260" s="540" t="s">
        <v>151</v>
      </c>
      <c r="C260" s="540"/>
      <c r="D260" s="558" t="s">
        <v>783</v>
      </c>
      <c r="E260" s="540" t="s">
        <v>152</v>
      </c>
      <c r="F260" s="540"/>
      <c r="G260" s="540"/>
      <c r="H260" s="541" t="s">
        <v>153</v>
      </c>
      <c r="I260" s="541" t="s">
        <v>159</v>
      </c>
      <c r="J260" s="543" t="s">
        <v>73</v>
      </c>
      <c r="K260" s="394" t="s">
        <v>154</v>
      </c>
      <c r="L260" s="122"/>
      <c r="M260" s="123"/>
      <c r="N260" s="123"/>
      <c r="O260" s="123"/>
      <c r="P260" s="123"/>
      <c r="Q260" s="124"/>
    </row>
    <row r="261" spans="1:17" s="129" customFormat="1" ht="28.5" customHeight="1" x14ac:dyDescent="0.15">
      <c r="A261" s="553"/>
      <c r="B261" s="540"/>
      <c r="C261" s="540"/>
      <c r="D261" s="559"/>
      <c r="E261" s="393" t="s">
        <v>155</v>
      </c>
      <c r="F261" s="393" t="s">
        <v>156</v>
      </c>
      <c r="G261" s="393" t="s">
        <v>157</v>
      </c>
      <c r="H261" s="542"/>
      <c r="I261" s="542"/>
      <c r="J261" s="544"/>
      <c r="K261" s="394" t="s">
        <v>158</v>
      </c>
      <c r="L261" s="126"/>
      <c r="M261" s="127"/>
      <c r="N261" s="127"/>
      <c r="O261" s="127"/>
      <c r="P261" s="127"/>
      <c r="Q261" s="128"/>
    </row>
    <row r="262" spans="1:17" ht="22.5" customHeight="1" x14ac:dyDescent="0.15">
      <c r="A262" s="146"/>
      <c r="B262" s="560" t="s">
        <v>979</v>
      </c>
      <c r="C262" s="561"/>
      <c r="D262" s="141">
        <f>(2*1.5)+(1*2.2)+((2+1.5+1.5)*1.5)+((0.7+0.7)*0.6)+(1*2.2)+((1.5+1.5+2)*1.5)+((0.7+0.7+0.7)*0.6)+(1*0.6)+((2+2)*1.5)+(2.1*1)</f>
        <v>33.200000000000003</v>
      </c>
      <c r="E262" s="141">
        <f>(19.06-1.25)+(19.06-1.25)+(8.23-0.25)+(8.23-0.25)+3.68+3.68+2</f>
        <v>60.94</v>
      </c>
      <c r="F262" s="141">
        <v>0.09</v>
      </c>
      <c r="G262" s="141">
        <v>2.7</v>
      </c>
      <c r="H262" s="141">
        <v>1</v>
      </c>
      <c r="I262" s="141">
        <f t="shared" ref="I262:I265" si="92">G262*E262</f>
        <v>164.53800000000001</v>
      </c>
      <c r="J262" s="131" t="s">
        <v>5</v>
      </c>
      <c r="K262" s="141">
        <f t="shared" ref="K262:K265" si="93">(I262*H262)-D262</f>
        <v>131.33800000000002</v>
      </c>
      <c r="L262" s="126"/>
      <c r="M262" s="127"/>
      <c r="N262" s="127"/>
      <c r="O262" s="127"/>
      <c r="P262" s="127"/>
      <c r="Q262" s="128"/>
    </row>
    <row r="263" spans="1:17" ht="22.5" customHeight="1" x14ac:dyDescent="0.15">
      <c r="A263" s="146"/>
      <c r="B263" s="560" t="s">
        <v>980</v>
      </c>
      <c r="C263" s="561"/>
      <c r="D263" s="141">
        <f>(0.9*2.2*8)+(0.7*2.2*9)</f>
        <v>29.700000000000003</v>
      </c>
      <c r="E263" s="141">
        <f>13.26+(17.63-1)+(8.94-0.25)+2.92+2+2+2.91+2.91+2.91+1.1+1.17+4.02+4.02+4.02+4.26+4.26+1.1+1.1+2.61</f>
        <v>81.889999999999986</v>
      </c>
      <c r="F263" s="141">
        <v>0.09</v>
      </c>
      <c r="G263" s="141">
        <v>2.7</v>
      </c>
      <c r="H263" s="141">
        <v>1</v>
      </c>
      <c r="I263" s="141">
        <f t="shared" ref="I263" si="94">G263*E263</f>
        <v>221.10299999999998</v>
      </c>
      <c r="J263" s="131" t="s">
        <v>5</v>
      </c>
      <c r="K263" s="141">
        <f t="shared" ref="K263" si="95">(I263*H263)-D263</f>
        <v>191.40299999999996</v>
      </c>
      <c r="L263" s="126"/>
      <c r="M263" s="127"/>
      <c r="N263" s="127"/>
      <c r="O263" s="127"/>
      <c r="P263" s="127"/>
      <c r="Q263" s="128"/>
    </row>
    <row r="264" spans="1:17" ht="19.5" customHeight="1" x14ac:dyDescent="0.15">
      <c r="A264" s="146"/>
      <c r="B264" s="560" t="s">
        <v>968</v>
      </c>
      <c r="C264" s="561"/>
      <c r="D264" s="141">
        <v>0</v>
      </c>
      <c r="E264" s="141">
        <v>2.8</v>
      </c>
      <c r="F264" s="141">
        <v>0.09</v>
      </c>
      <c r="G264" s="141">
        <v>0.6</v>
      </c>
      <c r="H264" s="141">
        <v>1</v>
      </c>
      <c r="I264" s="141">
        <f t="shared" ref="I264" si="96">G264*E264</f>
        <v>1.68</v>
      </c>
      <c r="J264" s="131" t="s">
        <v>5</v>
      </c>
      <c r="K264" s="141">
        <f t="shared" ref="K264" si="97">(I264*H264)-D264</f>
        <v>1.68</v>
      </c>
      <c r="L264" s="126"/>
      <c r="M264" s="127"/>
      <c r="N264" s="127"/>
      <c r="O264" s="127"/>
      <c r="P264" s="127"/>
      <c r="Q264" s="128"/>
    </row>
    <row r="265" spans="1:17" ht="21" customHeight="1" x14ac:dyDescent="0.15">
      <c r="A265" s="146"/>
      <c r="B265" s="545" t="s">
        <v>784</v>
      </c>
      <c r="C265" s="546"/>
      <c r="D265" s="141">
        <v>0</v>
      </c>
      <c r="E265" s="141">
        <v>11.8</v>
      </c>
      <c r="F265" s="141">
        <v>0.09</v>
      </c>
      <c r="G265" s="141">
        <v>0.7</v>
      </c>
      <c r="H265" s="141">
        <v>1</v>
      </c>
      <c r="I265" s="141">
        <f t="shared" si="92"/>
        <v>8.26</v>
      </c>
      <c r="J265" s="131" t="s">
        <v>5</v>
      </c>
      <c r="K265" s="141">
        <f t="shared" si="93"/>
        <v>8.26</v>
      </c>
      <c r="L265" s="126"/>
      <c r="M265" s="127"/>
      <c r="N265" s="127"/>
      <c r="O265" s="127"/>
      <c r="P265" s="127"/>
      <c r="Q265" s="128"/>
    </row>
    <row r="266" spans="1:17" ht="21" customHeight="1" x14ac:dyDescent="0.15">
      <c r="A266" s="146"/>
      <c r="B266" s="545" t="s">
        <v>784</v>
      </c>
      <c r="C266" s="546"/>
      <c r="D266" s="141">
        <v>0</v>
      </c>
      <c r="E266" s="141">
        <v>20.13</v>
      </c>
      <c r="F266" s="141">
        <v>0.09</v>
      </c>
      <c r="G266" s="141">
        <v>0.4</v>
      </c>
      <c r="H266" s="141">
        <v>2</v>
      </c>
      <c r="I266" s="141">
        <f t="shared" ref="I266" si="98">G266*E266</f>
        <v>8.0519999999999996</v>
      </c>
      <c r="J266" s="131" t="s">
        <v>5</v>
      </c>
      <c r="K266" s="141">
        <f t="shared" ref="K266" si="99">(I266*H266)-D266</f>
        <v>16.103999999999999</v>
      </c>
      <c r="L266" s="126"/>
      <c r="M266" s="127"/>
      <c r="N266" s="127"/>
      <c r="O266" s="127"/>
      <c r="P266" s="127"/>
      <c r="Q266" s="128"/>
    </row>
    <row r="267" spans="1:17" ht="21" customHeight="1" x14ac:dyDescent="0.15">
      <c r="A267" s="146"/>
      <c r="B267" s="545" t="s">
        <v>784</v>
      </c>
      <c r="C267" s="546"/>
      <c r="D267" s="141">
        <v>0</v>
      </c>
      <c r="E267" s="141">
        <v>19.399999999999999</v>
      </c>
      <c r="F267" s="141">
        <v>0.09</v>
      </c>
      <c r="G267" s="141">
        <v>0.2</v>
      </c>
      <c r="H267" s="141">
        <v>2</v>
      </c>
      <c r="I267" s="141">
        <f t="shared" ref="I267" si="100">G267*E267</f>
        <v>3.88</v>
      </c>
      <c r="J267" s="131" t="s">
        <v>5</v>
      </c>
      <c r="K267" s="141">
        <f t="shared" ref="K267" si="101">(I267*H267)-D267</f>
        <v>7.76</v>
      </c>
      <c r="L267" s="126"/>
      <c r="M267" s="127"/>
      <c r="N267" s="127"/>
      <c r="O267" s="127"/>
      <c r="P267" s="127"/>
      <c r="Q267" s="128"/>
    </row>
    <row r="268" spans="1:17" ht="21" customHeight="1" x14ac:dyDescent="0.15">
      <c r="A268" s="146"/>
      <c r="B268" s="545" t="s">
        <v>784</v>
      </c>
      <c r="C268" s="546"/>
      <c r="D268" s="141">
        <v>0</v>
      </c>
      <c r="E268" s="141">
        <v>3.73</v>
      </c>
      <c r="F268" s="141">
        <v>0.09</v>
      </c>
      <c r="G268" s="141">
        <v>0.85</v>
      </c>
      <c r="H268" s="141">
        <v>14</v>
      </c>
      <c r="I268" s="141">
        <f t="shared" ref="I268" si="102">G268*E268</f>
        <v>3.1705000000000001</v>
      </c>
      <c r="J268" s="131" t="s">
        <v>5</v>
      </c>
      <c r="K268" s="141">
        <f t="shared" ref="K268" si="103">(I268*H268)-D268</f>
        <v>44.387</v>
      </c>
      <c r="L268" s="126"/>
      <c r="M268" s="127"/>
      <c r="N268" s="127"/>
      <c r="O268" s="127"/>
      <c r="P268" s="127"/>
      <c r="Q268" s="128"/>
    </row>
    <row r="269" spans="1:17" ht="21" customHeight="1" x14ac:dyDescent="0.15">
      <c r="A269" s="146"/>
      <c r="B269" s="545" t="s">
        <v>748</v>
      </c>
      <c r="C269" s="546"/>
      <c r="D269" s="141">
        <f>(0.25*29*2)+(2*2)</f>
        <v>18.5</v>
      </c>
      <c r="E269" s="141">
        <v>85.23</v>
      </c>
      <c r="F269" s="141">
        <v>0.09</v>
      </c>
      <c r="G269" s="141">
        <v>2</v>
      </c>
      <c r="H269" s="141">
        <v>1</v>
      </c>
      <c r="I269" s="141">
        <f t="shared" ref="I269" si="104">G269*E269</f>
        <v>170.46</v>
      </c>
      <c r="J269" s="131" t="s">
        <v>5</v>
      </c>
      <c r="K269" s="141">
        <f t="shared" ref="K269" si="105">(I269*H269)-D269</f>
        <v>151.96</v>
      </c>
      <c r="L269" s="126"/>
      <c r="M269" s="127"/>
      <c r="N269" s="127"/>
      <c r="O269" s="127"/>
      <c r="P269" s="127"/>
      <c r="Q269" s="128"/>
    </row>
    <row r="270" spans="1:17" ht="14" x14ac:dyDescent="0.15">
      <c r="A270" s="547" t="s">
        <v>149</v>
      </c>
      <c r="B270" s="548"/>
      <c r="C270" s="548"/>
      <c r="D270" s="548"/>
      <c r="E270" s="548"/>
      <c r="F270" s="548"/>
      <c r="G270" s="548"/>
      <c r="H270" s="548"/>
      <c r="I270" s="548"/>
      <c r="J270" s="549"/>
      <c r="K270" s="313">
        <f>SUM(K262:K269)</f>
        <v>552.89199999999994</v>
      </c>
      <c r="L270" s="132"/>
      <c r="M270" s="133"/>
      <c r="N270" s="133"/>
      <c r="O270" s="133"/>
      <c r="P270" s="133"/>
      <c r="Q270" s="134"/>
    </row>
    <row r="271" spans="1:17" x14ac:dyDescent="0.15">
      <c r="A271" s="550"/>
      <c r="B271" s="551"/>
      <c r="C271" s="551"/>
      <c r="D271" s="551"/>
      <c r="E271" s="551"/>
      <c r="F271" s="551"/>
      <c r="G271" s="551"/>
      <c r="H271" s="551"/>
      <c r="I271" s="551"/>
      <c r="J271" s="551"/>
      <c r="K271" s="551"/>
      <c r="L271" s="551"/>
      <c r="M271" s="551"/>
      <c r="N271" s="551"/>
      <c r="O271" s="551"/>
      <c r="P271" s="551"/>
      <c r="Q271" s="552"/>
    </row>
    <row r="272" spans="1:17" s="120" customFormat="1" ht="18" customHeight="1" x14ac:dyDescent="0.15">
      <c r="A272" s="396" t="s">
        <v>0</v>
      </c>
      <c r="B272" s="554" t="s">
        <v>729</v>
      </c>
      <c r="C272" s="555"/>
      <c r="D272" s="555"/>
      <c r="E272" s="555"/>
      <c r="F272" s="555"/>
      <c r="G272" s="555"/>
      <c r="H272" s="555"/>
      <c r="I272" s="555"/>
      <c r="J272" s="555"/>
      <c r="K272" s="555"/>
      <c r="L272" s="555"/>
      <c r="M272" s="555"/>
      <c r="N272" s="555"/>
      <c r="O272" s="394" t="s">
        <v>73</v>
      </c>
      <c r="P272" s="547" t="s">
        <v>5</v>
      </c>
      <c r="Q272" s="549"/>
    </row>
    <row r="273" spans="1:20" x14ac:dyDescent="0.15">
      <c r="A273" s="550"/>
      <c r="B273" s="551"/>
      <c r="C273" s="551"/>
      <c r="D273" s="551"/>
      <c r="E273" s="551"/>
      <c r="F273" s="551"/>
      <c r="G273" s="551"/>
      <c r="H273" s="551"/>
      <c r="I273" s="551"/>
      <c r="J273" s="551"/>
      <c r="K273" s="551"/>
      <c r="L273" s="551"/>
      <c r="M273" s="551"/>
      <c r="N273" s="551"/>
      <c r="O273" s="551"/>
      <c r="P273" s="551"/>
      <c r="Q273" s="552"/>
    </row>
    <row r="274" spans="1:20" s="125" customFormat="1" ht="12.75" customHeight="1" x14ac:dyDescent="0.15">
      <c r="A274" s="553" t="s">
        <v>150</v>
      </c>
      <c r="B274" s="540" t="s">
        <v>151</v>
      </c>
      <c r="C274" s="540"/>
      <c r="D274" s="558" t="s">
        <v>240</v>
      </c>
      <c r="E274" s="540" t="s">
        <v>152</v>
      </c>
      <c r="F274" s="540"/>
      <c r="G274" s="540"/>
      <c r="H274" s="541" t="s">
        <v>153</v>
      </c>
      <c r="I274" s="541" t="s">
        <v>159</v>
      </c>
      <c r="J274" s="543" t="s">
        <v>73</v>
      </c>
      <c r="K274" s="394" t="s">
        <v>154</v>
      </c>
      <c r="L274" s="122"/>
      <c r="M274" s="123"/>
      <c r="N274" s="123"/>
      <c r="O274" s="123"/>
      <c r="P274" s="123"/>
      <c r="Q274" s="124"/>
    </row>
    <row r="275" spans="1:20" s="129" customFormat="1" x14ac:dyDescent="0.15">
      <c r="A275" s="553"/>
      <c r="B275" s="540"/>
      <c r="C275" s="540"/>
      <c r="D275" s="559"/>
      <c r="E275" s="393" t="s">
        <v>155</v>
      </c>
      <c r="F275" s="393" t="s">
        <v>206</v>
      </c>
      <c r="G275" s="393" t="s">
        <v>157</v>
      </c>
      <c r="H275" s="542"/>
      <c r="I275" s="542"/>
      <c r="J275" s="544"/>
      <c r="K275" s="394" t="s">
        <v>158</v>
      </c>
      <c r="L275" s="126"/>
      <c r="M275" s="127"/>
      <c r="N275" s="127"/>
      <c r="O275" s="127"/>
      <c r="P275" s="127"/>
      <c r="Q275" s="128"/>
    </row>
    <row r="276" spans="1:20" ht="20.25" customHeight="1" x14ac:dyDescent="0.15">
      <c r="A276" s="146"/>
      <c r="B276" s="560" t="s">
        <v>979</v>
      </c>
      <c r="C276" s="561"/>
      <c r="D276" s="141">
        <f>(2*1.5)+(1*2.2)+((2+1.5+1.5)*1.5)+((0.7+0.7)*0.6)+(1*2.2)+((1.5+1.5+2)*1.5)+((0.7+0.7+0.7)*0.6)+(1*0.6)+((2+2)*1.5)+(2.1*1)</f>
        <v>33.200000000000003</v>
      </c>
      <c r="E276" s="141">
        <f>(19.06-1.25)+(19.06-1.25)+(8.23-0.25)+(8.23-0.25)+3.68+3.68+2</f>
        <v>60.94</v>
      </c>
      <c r="F276" s="141">
        <v>0.09</v>
      </c>
      <c r="G276" s="141">
        <v>2.7</v>
      </c>
      <c r="H276" s="141">
        <v>2</v>
      </c>
      <c r="I276" s="141">
        <f t="shared" ref="I276:I283" si="106">G276*E276</f>
        <v>164.53800000000001</v>
      </c>
      <c r="J276" s="131" t="s">
        <v>5</v>
      </c>
      <c r="K276" s="141">
        <f t="shared" ref="K276:K283" si="107">(I276*H276)-D276</f>
        <v>295.87600000000003</v>
      </c>
      <c r="L276" s="126"/>
      <c r="M276" s="127"/>
      <c r="N276" s="127"/>
      <c r="O276" s="127"/>
      <c r="P276" s="127"/>
      <c r="Q276" s="128"/>
    </row>
    <row r="277" spans="1:20" ht="20.25" customHeight="1" x14ac:dyDescent="0.15">
      <c r="A277" s="146"/>
      <c r="B277" s="560" t="s">
        <v>980</v>
      </c>
      <c r="C277" s="561"/>
      <c r="D277" s="141">
        <f>(0.9*2.2*8)+(0.7*2.2*9)</f>
        <v>29.700000000000003</v>
      </c>
      <c r="E277" s="141">
        <f>13.26+(17.63-1)+(8.94-0.25)+2.92+2+2+2.91+2.91+2.91+1.1+1.17+4.02+4.02+4.02+4.26+4.26+1.1+1.1+2.61</f>
        <v>81.889999999999986</v>
      </c>
      <c r="F277" s="141">
        <v>0.09</v>
      </c>
      <c r="G277" s="141">
        <v>2.7</v>
      </c>
      <c r="H277" s="141">
        <v>2</v>
      </c>
      <c r="I277" s="141">
        <f t="shared" si="106"/>
        <v>221.10299999999998</v>
      </c>
      <c r="J277" s="131" t="s">
        <v>5</v>
      </c>
      <c r="K277" s="141">
        <f t="shared" si="107"/>
        <v>412.50599999999997</v>
      </c>
      <c r="L277" s="126"/>
      <c r="M277" s="127"/>
      <c r="N277" s="127"/>
      <c r="O277" s="127"/>
      <c r="P277" s="127"/>
      <c r="Q277" s="128"/>
    </row>
    <row r="278" spans="1:20" ht="20.25" customHeight="1" x14ac:dyDescent="0.15">
      <c r="A278" s="146"/>
      <c r="B278" s="560" t="s">
        <v>968</v>
      </c>
      <c r="C278" s="561"/>
      <c r="D278" s="141">
        <v>0</v>
      </c>
      <c r="E278" s="141">
        <v>2.8</v>
      </c>
      <c r="F278" s="141">
        <v>0.02</v>
      </c>
      <c r="G278" s="141">
        <v>0.75</v>
      </c>
      <c r="H278" s="141">
        <v>2</v>
      </c>
      <c r="I278" s="141">
        <f t="shared" si="106"/>
        <v>2.0999999999999996</v>
      </c>
      <c r="J278" s="131" t="s">
        <v>5</v>
      </c>
      <c r="K278" s="141">
        <f t="shared" si="107"/>
        <v>4.1999999999999993</v>
      </c>
      <c r="L278" s="126"/>
      <c r="M278" s="127"/>
      <c r="N278" s="127"/>
      <c r="O278" s="127"/>
      <c r="P278" s="127"/>
      <c r="Q278" s="128"/>
    </row>
    <row r="279" spans="1:20" ht="21" customHeight="1" x14ac:dyDescent="0.15">
      <c r="A279" s="146"/>
      <c r="B279" s="545" t="s">
        <v>784</v>
      </c>
      <c r="C279" s="546"/>
      <c r="D279" s="141">
        <v>0</v>
      </c>
      <c r="E279" s="141">
        <v>11.8</v>
      </c>
      <c r="F279" s="141">
        <v>0.02</v>
      </c>
      <c r="G279" s="141">
        <v>0.95</v>
      </c>
      <c r="H279" s="141">
        <v>2</v>
      </c>
      <c r="I279" s="141">
        <f t="shared" si="106"/>
        <v>11.21</v>
      </c>
      <c r="J279" s="131" t="s">
        <v>5</v>
      </c>
      <c r="K279" s="141">
        <f t="shared" si="107"/>
        <v>22.42</v>
      </c>
      <c r="L279" s="126"/>
      <c r="M279" s="127"/>
      <c r="N279" s="127"/>
      <c r="O279" s="127"/>
      <c r="P279" s="127"/>
      <c r="Q279" s="128"/>
    </row>
    <row r="280" spans="1:20" ht="21" customHeight="1" x14ac:dyDescent="0.15">
      <c r="A280" s="146"/>
      <c r="B280" s="545" t="s">
        <v>784</v>
      </c>
      <c r="C280" s="546"/>
      <c r="D280" s="141">
        <v>0</v>
      </c>
      <c r="E280" s="141">
        <v>20.13</v>
      </c>
      <c r="F280" s="141">
        <v>0.02</v>
      </c>
      <c r="G280" s="141">
        <v>0.65</v>
      </c>
      <c r="H280" s="141">
        <v>2</v>
      </c>
      <c r="I280" s="141">
        <f t="shared" si="106"/>
        <v>13.0845</v>
      </c>
      <c r="J280" s="131" t="s">
        <v>5</v>
      </c>
      <c r="K280" s="141">
        <f t="shared" si="107"/>
        <v>26.169</v>
      </c>
      <c r="L280" s="126"/>
      <c r="M280" s="127"/>
      <c r="N280" s="127"/>
      <c r="O280" s="127"/>
      <c r="P280" s="127"/>
      <c r="Q280" s="128"/>
    </row>
    <row r="281" spans="1:20" ht="21" customHeight="1" x14ac:dyDescent="0.15">
      <c r="A281" s="146"/>
      <c r="B281" s="545" t="s">
        <v>784</v>
      </c>
      <c r="C281" s="546"/>
      <c r="D281" s="141">
        <v>0</v>
      </c>
      <c r="E281" s="141">
        <v>19.399999999999999</v>
      </c>
      <c r="F281" s="141">
        <v>0.02</v>
      </c>
      <c r="G281" s="141">
        <v>0.45</v>
      </c>
      <c r="H281" s="141">
        <v>2</v>
      </c>
      <c r="I281" s="141">
        <f t="shared" si="106"/>
        <v>8.73</v>
      </c>
      <c r="J281" s="131" t="s">
        <v>5</v>
      </c>
      <c r="K281" s="141">
        <f t="shared" si="107"/>
        <v>17.46</v>
      </c>
      <c r="L281" s="126"/>
      <c r="M281" s="127"/>
      <c r="N281" s="127"/>
      <c r="O281" s="127"/>
      <c r="P281" s="127"/>
      <c r="Q281" s="128"/>
    </row>
    <row r="282" spans="1:20" ht="21" customHeight="1" x14ac:dyDescent="0.15">
      <c r="A282" s="146"/>
      <c r="B282" s="545" t="s">
        <v>784</v>
      </c>
      <c r="C282" s="546"/>
      <c r="D282" s="141">
        <v>0</v>
      </c>
      <c r="E282" s="141">
        <v>3.73</v>
      </c>
      <c r="F282" s="141">
        <v>0.02</v>
      </c>
      <c r="G282" s="141">
        <v>1.1000000000000001</v>
      </c>
      <c r="H282" s="141">
        <v>14</v>
      </c>
      <c r="I282" s="141">
        <f t="shared" si="106"/>
        <v>4.1030000000000006</v>
      </c>
      <c r="J282" s="131" t="s">
        <v>5</v>
      </c>
      <c r="K282" s="141">
        <f t="shared" si="107"/>
        <v>57.442000000000007</v>
      </c>
      <c r="L282" s="126"/>
      <c r="M282" s="127"/>
      <c r="N282" s="127"/>
      <c r="O282" s="127"/>
      <c r="P282" s="127"/>
      <c r="Q282" s="128"/>
    </row>
    <row r="283" spans="1:20" ht="21" customHeight="1" x14ac:dyDescent="0.15">
      <c r="A283" s="146"/>
      <c r="B283" s="545" t="s">
        <v>748</v>
      </c>
      <c r="C283" s="546"/>
      <c r="D283" s="141">
        <f>(2*2)</f>
        <v>4</v>
      </c>
      <c r="E283" s="141">
        <v>85.23</v>
      </c>
      <c r="F283" s="141">
        <v>0.02</v>
      </c>
      <c r="G283" s="141">
        <v>2.2999999999999998</v>
      </c>
      <c r="H283" s="141">
        <v>2</v>
      </c>
      <c r="I283" s="141">
        <f t="shared" si="106"/>
        <v>196.029</v>
      </c>
      <c r="J283" s="131" t="s">
        <v>5</v>
      </c>
      <c r="K283" s="141">
        <f t="shared" si="107"/>
        <v>388.05799999999999</v>
      </c>
      <c r="L283" s="126"/>
      <c r="M283" s="127"/>
      <c r="N283" s="127"/>
      <c r="O283" s="127"/>
      <c r="P283" s="127"/>
      <c r="Q283" s="128"/>
    </row>
    <row r="284" spans="1:20" ht="14" x14ac:dyDescent="0.15">
      <c r="A284" s="547" t="s">
        <v>149</v>
      </c>
      <c r="B284" s="548"/>
      <c r="C284" s="548"/>
      <c r="D284" s="548"/>
      <c r="E284" s="548"/>
      <c r="F284" s="548"/>
      <c r="G284" s="548"/>
      <c r="H284" s="548"/>
      <c r="I284" s="548"/>
      <c r="J284" s="549"/>
      <c r="K284" s="313">
        <f>SUM(K276:K283)</f>
        <v>1224.1310000000001</v>
      </c>
      <c r="L284" s="132"/>
      <c r="M284" s="133"/>
      <c r="N284" s="133"/>
      <c r="O284" s="133"/>
      <c r="P284" s="133"/>
      <c r="Q284" s="134"/>
    </row>
    <row r="285" spans="1:20" x14ac:dyDescent="0.15">
      <c r="A285" s="550"/>
      <c r="B285" s="551"/>
      <c r="C285" s="551"/>
      <c r="D285" s="551"/>
      <c r="E285" s="551"/>
      <c r="F285" s="551"/>
      <c r="G285" s="551"/>
      <c r="H285" s="551"/>
      <c r="I285" s="551"/>
      <c r="J285" s="551"/>
      <c r="K285" s="551"/>
      <c r="L285" s="551"/>
      <c r="M285" s="551"/>
      <c r="N285" s="551"/>
      <c r="O285" s="551"/>
      <c r="P285" s="551"/>
      <c r="Q285" s="552"/>
    </row>
    <row r="286" spans="1:20" s="120" customFormat="1" ht="18" customHeight="1" x14ac:dyDescent="0.15">
      <c r="A286" s="396" t="s">
        <v>0</v>
      </c>
      <c r="B286" s="554" t="s">
        <v>750</v>
      </c>
      <c r="C286" s="555"/>
      <c r="D286" s="555"/>
      <c r="E286" s="555"/>
      <c r="F286" s="555"/>
      <c r="G286" s="555"/>
      <c r="H286" s="555"/>
      <c r="I286" s="555"/>
      <c r="J286" s="555"/>
      <c r="K286" s="555"/>
      <c r="L286" s="555"/>
      <c r="M286" s="555"/>
      <c r="N286" s="555"/>
      <c r="O286" s="394" t="s">
        <v>73</v>
      </c>
      <c r="P286" s="547" t="s">
        <v>5</v>
      </c>
      <c r="Q286" s="549"/>
    </row>
    <row r="287" spans="1:20" x14ac:dyDescent="0.15">
      <c r="A287" s="550"/>
      <c r="B287" s="551"/>
      <c r="C287" s="551"/>
      <c r="D287" s="551"/>
      <c r="E287" s="551"/>
      <c r="F287" s="551"/>
      <c r="G287" s="551"/>
      <c r="H287" s="551"/>
      <c r="I287" s="551"/>
      <c r="J287" s="551"/>
      <c r="K287" s="551"/>
      <c r="L287" s="551"/>
      <c r="M287" s="551"/>
      <c r="N287" s="551"/>
      <c r="O287" s="551"/>
      <c r="P287" s="551"/>
      <c r="Q287" s="552"/>
      <c r="T287" s="212"/>
    </row>
    <row r="288" spans="1:20" s="125" customFormat="1" ht="12.75" customHeight="1" x14ac:dyDescent="0.15">
      <c r="A288" s="553" t="s">
        <v>150</v>
      </c>
      <c r="B288" s="540" t="s">
        <v>151</v>
      </c>
      <c r="C288" s="540"/>
      <c r="D288" s="558" t="s">
        <v>240</v>
      </c>
      <c r="E288" s="540" t="s">
        <v>152</v>
      </c>
      <c r="F288" s="540"/>
      <c r="G288" s="540"/>
      <c r="H288" s="541" t="s">
        <v>153</v>
      </c>
      <c r="I288" s="541" t="s">
        <v>751</v>
      </c>
      <c r="J288" s="543" t="s">
        <v>73</v>
      </c>
      <c r="K288" s="394" t="s">
        <v>154</v>
      </c>
      <c r="L288" s="122"/>
      <c r="M288" s="123"/>
      <c r="N288" s="123"/>
      <c r="O288" s="123"/>
      <c r="P288" s="123"/>
      <c r="Q288" s="124"/>
    </row>
    <row r="289" spans="1:20" s="129" customFormat="1" x14ac:dyDescent="0.15">
      <c r="A289" s="553"/>
      <c r="B289" s="540"/>
      <c r="C289" s="540"/>
      <c r="D289" s="559"/>
      <c r="E289" s="393" t="s">
        <v>155</v>
      </c>
      <c r="F289" s="393" t="s">
        <v>206</v>
      </c>
      <c r="G289" s="393" t="s">
        <v>749</v>
      </c>
      <c r="H289" s="542"/>
      <c r="I289" s="542"/>
      <c r="J289" s="544"/>
      <c r="K289" s="394" t="s">
        <v>158</v>
      </c>
      <c r="L289" s="126"/>
      <c r="M289" s="127"/>
      <c r="N289" s="127"/>
      <c r="O289" s="127"/>
      <c r="P289" s="127"/>
      <c r="Q289" s="128"/>
    </row>
    <row r="290" spans="1:20" ht="20.25" customHeight="1" x14ac:dyDescent="0.15">
      <c r="A290" s="146"/>
      <c r="B290" s="560" t="s">
        <v>979</v>
      </c>
      <c r="C290" s="561"/>
      <c r="D290" s="141">
        <f>((2+1.8)*2)+((2+2.5)*2)+((2+1.5+1.5+1.8+1.8+1.8)*2)+((0.7+0.7+0.6+0.6)*2)+((1+2.5)*2)+((1.5+1.5+1.8+1.8)*2)+((0.7+0.7+0.7+0.6+0.6+0.6)*2)+((1+0.6)*2)+((2+2+1.8+1.8)*2)+((2.5+1)*2)</f>
        <v>96.000000000000014</v>
      </c>
      <c r="E290" s="141">
        <v>0</v>
      </c>
      <c r="F290" s="141">
        <v>0.02</v>
      </c>
      <c r="G290" s="141">
        <v>0.13</v>
      </c>
      <c r="H290" s="141">
        <v>1</v>
      </c>
      <c r="I290" s="141">
        <f>D290</f>
        <v>96.000000000000014</v>
      </c>
      <c r="J290" s="131" t="s">
        <v>7</v>
      </c>
      <c r="K290" s="141">
        <f>I290*H290</f>
        <v>96.000000000000014</v>
      </c>
      <c r="L290" s="126"/>
      <c r="M290" s="127"/>
      <c r="N290" s="127"/>
      <c r="O290" s="127"/>
      <c r="P290" s="127"/>
      <c r="Q290" s="128"/>
    </row>
    <row r="291" spans="1:20" ht="20.25" customHeight="1" x14ac:dyDescent="0.15">
      <c r="A291" s="146"/>
      <c r="B291" s="560" t="s">
        <v>980</v>
      </c>
      <c r="C291" s="561"/>
      <c r="D291" s="141">
        <f>((0.9+2.5)*2*8)+((0.7+2.5)*2*9)</f>
        <v>112</v>
      </c>
      <c r="E291" s="141">
        <v>0</v>
      </c>
      <c r="F291" s="141">
        <v>0.02</v>
      </c>
      <c r="G291" s="141">
        <v>0.13</v>
      </c>
      <c r="H291" s="141">
        <v>1</v>
      </c>
      <c r="I291" s="141">
        <f>D291</f>
        <v>112</v>
      </c>
      <c r="J291" s="131" t="s">
        <v>7</v>
      </c>
      <c r="K291" s="141">
        <f>I291*H291</f>
        <v>112</v>
      </c>
      <c r="L291" s="126"/>
      <c r="M291" s="127"/>
      <c r="N291" s="127"/>
      <c r="O291" s="127"/>
      <c r="P291" s="127"/>
      <c r="Q291" s="128"/>
    </row>
    <row r="292" spans="1:20" ht="22.5" customHeight="1" x14ac:dyDescent="0.15">
      <c r="A292" s="146"/>
      <c r="B292" s="545" t="s">
        <v>981</v>
      </c>
      <c r="C292" s="546"/>
      <c r="D292" s="141">
        <f>0.25*26*2</f>
        <v>13</v>
      </c>
      <c r="E292" s="141">
        <v>85.23</v>
      </c>
      <c r="F292" s="141">
        <v>0.02</v>
      </c>
      <c r="G292" s="141">
        <v>0.13</v>
      </c>
      <c r="H292" s="141">
        <v>2</v>
      </c>
      <c r="I292" s="141">
        <f>E292</f>
        <v>85.23</v>
      </c>
      <c r="J292" s="131" t="s">
        <v>7</v>
      </c>
      <c r="K292" s="141">
        <f t="shared" ref="K292" si="108">(I292*H292)-D292</f>
        <v>157.46</v>
      </c>
      <c r="L292" s="126"/>
      <c r="M292" s="127"/>
      <c r="N292" s="127"/>
      <c r="O292" s="127"/>
      <c r="P292" s="127"/>
      <c r="Q292" s="128"/>
      <c r="T292" s="212"/>
    </row>
    <row r="293" spans="1:20" ht="22.5" customHeight="1" x14ac:dyDescent="0.15">
      <c r="A293" s="146"/>
      <c r="B293" s="545" t="s">
        <v>982</v>
      </c>
      <c r="C293" s="546"/>
      <c r="D293" s="141">
        <v>0</v>
      </c>
      <c r="E293" s="141">
        <v>2</v>
      </c>
      <c r="F293" s="141">
        <v>0.02</v>
      </c>
      <c r="G293" s="141">
        <v>0.13</v>
      </c>
      <c r="H293" s="141">
        <v>60</v>
      </c>
      <c r="I293" s="141">
        <v>1</v>
      </c>
      <c r="J293" s="131" t="s">
        <v>7</v>
      </c>
      <c r="K293" s="141">
        <f t="shared" ref="K293" si="109">(I293*H293)-D293</f>
        <v>60</v>
      </c>
      <c r="L293" s="126"/>
      <c r="M293" s="127"/>
      <c r="N293" s="127"/>
      <c r="O293" s="127"/>
      <c r="P293" s="127"/>
      <c r="Q293" s="128"/>
      <c r="T293" s="212"/>
    </row>
    <row r="294" spans="1:20" ht="14" x14ac:dyDescent="0.15">
      <c r="A294" s="547" t="s">
        <v>149</v>
      </c>
      <c r="B294" s="548"/>
      <c r="C294" s="548"/>
      <c r="D294" s="548"/>
      <c r="E294" s="548"/>
      <c r="F294" s="548"/>
      <c r="G294" s="548"/>
      <c r="H294" s="548"/>
      <c r="I294" s="548"/>
      <c r="J294" s="549"/>
      <c r="K294" s="313">
        <f>SUM(K290:K293)</f>
        <v>425.46000000000004</v>
      </c>
      <c r="L294" s="132"/>
      <c r="M294" s="133"/>
      <c r="N294" s="133"/>
      <c r="O294" s="133"/>
      <c r="P294" s="133"/>
      <c r="Q294" s="134"/>
      <c r="T294" s="120"/>
    </row>
    <row r="295" spans="1:20" x14ac:dyDescent="0.15">
      <c r="A295" s="550"/>
      <c r="B295" s="551"/>
      <c r="C295" s="551"/>
      <c r="D295" s="551"/>
      <c r="E295" s="551"/>
      <c r="F295" s="551"/>
      <c r="G295" s="551"/>
      <c r="H295" s="551"/>
      <c r="I295" s="551"/>
      <c r="J295" s="551"/>
      <c r="K295" s="551"/>
      <c r="L295" s="551"/>
      <c r="M295" s="551"/>
      <c r="N295" s="551"/>
      <c r="O295" s="551"/>
      <c r="P295" s="551"/>
      <c r="Q295" s="552"/>
    </row>
    <row r="296" spans="1:20" s="120" customFormat="1" ht="18" customHeight="1" x14ac:dyDescent="0.15">
      <c r="A296" s="396" t="s">
        <v>0</v>
      </c>
      <c r="B296" s="554" t="s">
        <v>727</v>
      </c>
      <c r="C296" s="555"/>
      <c r="D296" s="555"/>
      <c r="E296" s="555"/>
      <c r="F296" s="555"/>
      <c r="G296" s="555"/>
      <c r="H296" s="555"/>
      <c r="I296" s="555"/>
      <c r="J296" s="555"/>
      <c r="K296" s="555"/>
      <c r="L296" s="555"/>
      <c r="M296" s="555"/>
      <c r="N296" s="595"/>
      <c r="O296" s="394" t="s">
        <v>73</v>
      </c>
      <c r="P296" s="547" t="s">
        <v>5</v>
      </c>
      <c r="Q296" s="549"/>
    </row>
    <row r="297" spans="1:20" x14ac:dyDescent="0.15">
      <c r="A297" s="550"/>
      <c r="B297" s="551"/>
      <c r="C297" s="551"/>
      <c r="D297" s="551"/>
      <c r="E297" s="551"/>
      <c r="F297" s="551"/>
      <c r="G297" s="551"/>
      <c r="H297" s="551"/>
      <c r="I297" s="551"/>
      <c r="J297" s="551"/>
      <c r="K297" s="551"/>
      <c r="L297" s="551"/>
      <c r="M297" s="551"/>
      <c r="N297" s="551"/>
      <c r="O297" s="551"/>
      <c r="P297" s="551"/>
      <c r="Q297" s="552"/>
    </row>
    <row r="298" spans="1:20" s="125" customFormat="1" ht="12.75" customHeight="1" x14ac:dyDescent="0.15">
      <c r="A298" s="553" t="s">
        <v>150</v>
      </c>
      <c r="B298" s="540" t="s">
        <v>151</v>
      </c>
      <c r="C298" s="540"/>
      <c r="D298" s="558" t="s">
        <v>240</v>
      </c>
      <c r="E298" s="540" t="s">
        <v>152</v>
      </c>
      <c r="F298" s="540"/>
      <c r="G298" s="540"/>
      <c r="H298" s="541" t="s">
        <v>153</v>
      </c>
      <c r="I298" s="541" t="s">
        <v>159</v>
      </c>
      <c r="J298" s="543" t="s">
        <v>73</v>
      </c>
      <c r="K298" s="394" t="s">
        <v>154</v>
      </c>
      <c r="L298" s="122"/>
      <c r="M298" s="123"/>
      <c r="N298" s="123"/>
      <c r="O298" s="123"/>
      <c r="P298" s="123"/>
      <c r="Q298" s="124"/>
    </row>
    <row r="299" spans="1:20" s="129" customFormat="1" x14ac:dyDescent="0.15">
      <c r="A299" s="553"/>
      <c r="B299" s="540"/>
      <c r="C299" s="540"/>
      <c r="D299" s="559"/>
      <c r="E299" s="393" t="s">
        <v>155</v>
      </c>
      <c r="F299" s="393" t="s">
        <v>156</v>
      </c>
      <c r="G299" s="393" t="s">
        <v>157</v>
      </c>
      <c r="H299" s="542"/>
      <c r="I299" s="542"/>
      <c r="J299" s="544"/>
      <c r="K299" s="394" t="s">
        <v>158</v>
      </c>
      <c r="L299" s="126"/>
      <c r="M299" s="127"/>
      <c r="N299" s="127"/>
      <c r="O299" s="127"/>
      <c r="P299" s="127"/>
      <c r="Q299" s="128"/>
    </row>
    <row r="300" spans="1:20" ht="19.5" customHeight="1" x14ac:dyDescent="0.15">
      <c r="A300" s="146"/>
      <c r="B300" s="560" t="s">
        <v>979</v>
      </c>
      <c r="C300" s="561"/>
      <c r="D300" s="141">
        <f>(2*1.5)+(1*2.2)+((2+1.5+1.5)*1.5)+((0.7+0.7)*0.6)+(1*2.2)+((1.5+1.5+2)*1.5)+((0.7+0.7+0.7)*0.6)+(1*0.6)+((2+2)*1.5)+(2.1*1)</f>
        <v>33.200000000000003</v>
      </c>
      <c r="E300" s="141">
        <f>19.06+19.06+8.23+8.23+3.68+3.68+2</f>
        <v>63.94</v>
      </c>
      <c r="F300" s="141">
        <v>0</v>
      </c>
      <c r="G300" s="141">
        <v>2.7</v>
      </c>
      <c r="H300" s="141">
        <v>2</v>
      </c>
      <c r="I300" s="141">
        <f t="shared" ref="I300:I306" si="110">G300*E300</f>
        <v>172.63800000000001</v>
      </c>
      <c r="J300" s="131" t="s">
        <v>5</v>
      </c>
      <c r="K300" s="141">
        <f t="shared" ref="K300:K306" si="111">(I300*H300)-D300</f>
        <v>312.07600000000002</v>
      </c>
      <c r="L300" s="126"/>
      <c r="M300" s="127"/>
      <c r="N300" s="127"/>
      <c r="O300" s="127"/>
      <c r="P300" s="127"/>
      <c r="Q300" s="128"/>
    </row>
    <row r="301" spans="1:20" ht="19.5" customHeight="1" x14ac:dyDescent="0.15">
      <c r="A301" s="146"/>
      <c r="B301" s="560" t="s">
        <v>980</v>
      </c>
      <c r="C301" s="561"/>
      <c r="D301" s="141">
        <f>(0.9*2.2*8)+(0.7*2.2*9)</f>
        <v>29.700000000000003</v>
      </c>
      <c r="E301" s="141">
        <f>13.26+(17.63)+(8.94)+2.92+2+2+2.91+2.91+2.91+1.1+1.17+4.02+4.02+4.02+4.26+4.26+1.1+1.1+2.61</f>
        <v>83.139999999999986</v>
      </c>
      <c r="F301" s="141">
        <v>0</v>
      </c>
      <c r="G301" s="141">
        <v>2.7</v>
      </c>
      <c r="H301" s="141">
        <v>2</v>
      </c>
      <c r="I301" s="141">
        <f t="shared" si="110"/>
        <v>224.47799999999998</v>
      </c>
      <c r="J301" s="131" t="s">
        <v>5</v>
      </c>
      <c r="K301" s="141">
        <f t="shared" si="111"/>
        <v>419.25599999999997</v>
      </c>
      <c r="L301" s="126"/>
      <c r="M301" s="127"/>
      <c r="N301" s="127"/>
      <c r="O301" s="127"/>
      <c r="P301" s="127"/>
      <c r="Q301" s="128"/>
    </row>
    <row r="302" spans="1:20" ht="20.25" customHeight="1" x14ac:dyDescent="0.15">
      <c r="A302" s="146"/>
      <c r="B302" s="560" t="s">
        <v>968</v>
      </c>
      <c r="C302" s="561"/>
      <c r="D302" s="141">
        <v>0</v>
      </c>
      <c r="E302" s="141">
        <v>2.8</v>
      </c>
      <c r="F302" s="141">
        <v>0</v>
      </c>
      <c r="G302" s="141">
        <v>0.3</v>
      </c>
      <c r="H302" s="141">
        <v>1</v>
      </c>
      <c r="I302" s="141">
        <f t="shared" si="110"/>
        <v>0.84</v>
      </c>
      <c r="J302" s="131" t="s">
        <v>5</v>
      </c>
      <c r="K302" s="141">
        <f t="shared" si="111"/>
        <v>0.84</v>
      </c>
      <c r="L302" s="126"/>
      <c r="M302" s="127"/>
      <c r="N302" s="127"/>
      <c r="O302" s="127"/>
      <c r="P302" s="127"/>
      <c r="Q302" s="128"/>
    </row>
    <row r="303" spans="1:20" ht="21" customHeight="1" x14ac:dyDescent="0.15">
      <c r="A303" s="146"/>
      <c r="B303" s="545" t="s">
        <v>983</v>
      </c>
      <c r="C303" s="546"/>
      <c r="D303" s="141">
        <v>0</v>
      </c>
      <c r="E303" s="141">
        <v>11.8</v>
      </c>
      <c r="F303" s="141">
        <v>0</v>
      </c>
      <c r="G303" s="141">
        <v>0.95</v>
      </c>
      <c r="H303" s="141">
        <v>2</v>
      </c>
      <c r="I303" s="141">
        <f t="shared" si="110"/>
        <v>11.21</v>
      </c>
      <c r="J303" s="131" t="s">
        <v>5</v>
      </c>
      <c r="K303" s="141">
        <f t="shared" si="111"/>
        <v>22.42</v>
      </c>
      <c r="L303" s="126"/>
      <c r="M303" s="127"/>
      <c r="N303" s="127"/>
      <c r="O303" s="127"/>
      <c r="P303" s="127"/>
      <c r="Q303" s="128"/>
    </row>
    <row r="304" spans="1:20" ht="21" customHeight="1" x14ac:dyDescent="0.15">
      <c r="A304" s="146"/>
      <c r="B304" s="545" t="s">
        <v>984</v>
      </c>
      <c r="C304" s="546"/>
      <c r="D304" s="141">
        <v>0</v>
      </c>
      <c r="E304" s="141">
        <v>20.13</v>
      </c>
      <c r="F304" s="141">
        <v>0</v>
      </c>
      <c r="G304" s="141">
        <v>0.65</v>
      </c>
      <c r="H304" s="141">
        <v>2</v>
      </c>
      <c r="I304" s="141">
        <f t="shared" si="110"/>
        <v>13.0845</v>
      </c>
      <c r="J304" s="131" t="s">
        <v>5</v>
      </c>
      <c r="K304" s="141">
        <f t="shared" si="111"/>
        <v>26.169</v>
      </c>
      <c r="L304" s="126"/>
      <c r="M304" s="127"/>
      <c r="N304" s="127"/>
      <c r="O304" s="127"/>
      <c r="P304" s="127"/>
      <c r="Q304" s="128"/>
    </row>
    <row r="305" spans="1:17" ht="21" customHeight="1" x14ac:dyDescent="0.15">
      <c r="A305" s="146"/>
      <c r="B305" s="545" t="s">
        <v>985</v>
      </c>
      <c r="C305" s="546"/>
      <c r="D305" s="141">
        <v>0</v>
      </c>
      <c r="E305" s="141">
        <v>19.399999999999999</v>
      </c>
      <c r="F305" s="141">
        <v>0</v>
      </c>
      <c r="G305" s="141">
        <v>0.45</v>
      </c>
      <c r="H305" s="141">
        <v>2</v>
      </c>
      <c r="I305" s="141">
        <f t="shared" si="110"/>
        <v>8.73</v>
      </c>
      <c r="J305" s="131" t="s">
        <v>5</v>
      </c>
      <c r="K305" s="141">
        <f t="shared" si="111"/>
        <v>17.46</v>
      </c>
      <c r="L305" s="126"/>
      <c r="M305" s="127"/>
      <c r="N305" s="127"/>
      <c r="O305" s="127"/>
      <c r="P305" s="127"/>
      <c r="Q305" s="128"/>
    </row>
    <row r="306" spans="1:17" ht="21" customHeight="1" x14ac:dyDescent="0.15">
      <c r="A306" s="146"/>
      <c r="B306" s="545" t="s">
        <v>986</v>
      </c>
      <c r="C306" s="546"/>
      <c r="D306" s="141">
        <v>0</v>
      </c>
      <c r="E306" s="141">
        <v>3.73</v>
      </c>
      <c r="F306" s="141">
        <v>0</v>
      </c>
      <c r="G306" s="141">
        <v>1.1000000000000001</v>
      </c>
      <c r="H306" s="141">
        <v>14</v>
      </c>
      <c r="I306" s="141">
        <f t="shared" si="110"/>
        <v>4.1030000000000006</v>
      </c>
      <c r="J306" s="131" t="s">
        <v>5</v>
      </c>
      <c r="K306" s="141">
        <f t="shared" si="111"/>
        <v>57.442000000000007</v>
      </c>
      <c r="L306" s="126"/>
      <c r="M306" s="127"/>
      <c r="N306" s="127"/>
      <c r="O306" s="127"/>
      <c r="P306" s="127"/>
      <c r="Q306" s="128"/>
    </row>
    <row r="307" spans="1:17" ht="29.25" customHeight="1" x14ac:dyDescent="0.15">
      <c r="A307" s="146"/>
      <c r="B307" s="560" t="s">
        <v>987</v>
      </c>
      <c r="C307" s="561"/>
      <c r="D307" s="141">
        <f>((2+1.8)*2)+((2+2.5)*2)+((2+1.5+1.5+1.8+1.8+1.8)*2)+((0.7+0.7+0.6+0.6)*2)+((1+2.5)*2)+((1.5+1.5+1.8+1.8)*2)+((0.7+0.7+0.7+0.6+0.6+0.6)*2)+((1+0.6)*2)+((2+2+1.8+1.8)*2)+((2.5+1)*2)</f>
        <v>96.000000000000014</v>
      </c>
      <c r="E307" s="141">
        <v>0</v>
      </c>
      <c r="F307" s="141">
        <v>0</v>
      </c>
      <c r="G307" s="141">
        <v>0.13</v>
      </c>
      <c r="H307" s="141">
        <v>1</v>
      </c>
      <c r="I307" s="141">
        <f>D307*G307</f>
        <v>12.480000000000002</v>
      </c>
      <c r="J307" s="131" t="s">
        <v>5</v>
      </c>
      <c r="K307" s="141">
        <f>I307*H307</f>
        <v>12.480000000000002</v>
      </c>
      <c r="L307" s="126"/>
      <c r="M307" s="127"/>
      <c r="N307" s="127"/>
      <c r="O307" s="127"/>
      <c r="P307" s="127"/>
      <c r="Q307" s="128"/>
    </row>
    <row r="308" spans="1:17" ht="29.25" customHeight="1" x14ac:dyDescent="0.15">
      <c r="A308" s="146"/>
      <c r="B308" s="560" t="s">
        <v>988</v>
      </c>
      <c r="C308" s="561"/>
      <c r="D308" s="141">
        <f>((0.9+2.5)*2*8)+((0.7+2.5)*2*9)</f>
        <v>112</v>
      </c>
      <c r="E308" s="141">
        <v>0</v>
      </c>
      <c r="F308" s="141">
        <v>0</v>
      </c>
      <c r="G308" s="141">
        <v>0.13</v>
      </c>
      <c r="H308" s="141">
        <v>1</v>
      </c>
      <c r="I308" s="141">
        <f>D308*G308</f>
        <v>14.56</v>
      </c>
      <c r="J308" s="131" t="s">
        <v>5</v>
      </c>
      <c r="K308" s="141">
        <f t="shared" ref="K308" si="112">I308*H308</f>
        <v>14.56</v>
      </c>
      <c r="L308" s="126"/>
      <c r="M308" s="127"/>
      <c r="N308" s="127"/>
      <c r="O308" s="127"/>
      <c r="P308" s="127"/>
      <c r="Q308" s="128"/>
    </row>
    <row r="309" spans="1:17" ht="14" x14ac:dyDescent="0.15">
      <c r="A309" s="547" t="s">
        <v>149</v>
      </c>
      <c r="B309" s="548"/>
      <c r="C309" s="548"/>
      <c r="D309" s="548"/>
      <c r="E309" s="548"/>
      <c r="F309" s="548"/>
      <c r="G309" s="548"/>
      <c r="H309" s="548"/>
      <c r="I309" s="548"/>
      <c r="J309" s="549"/>
      <c r="K309" s="313">
        <f>SUM(K300:K308)</f>
        <v>882.70299999999997</v>
      </c>
      <c r="L309" s="132"/>
      <c r="M309" s="133"/>
      <c r="N309" s="133"/>
      <c r="O309" s="133"/>
      <c r="P309" s="133"/>
      <c r="Q309" s="134"/>
    </row>
    <row r="310" spans="1:17" x14ac:dyDescent="0.15">
      <c r="A310" s="550"/>
      <c r="B310" s="551"/>
      <c r="C310" s="551"/>
      <c r="D310" s="551"/>
      <c r="E310" s="551"/>
      <c r="F310" s="551"/>
      <c r="G310" s="551"/>
      <c r="H310" s="551"/>
      <c r="I310" s="551"/>
      <c r="J310" s="551"/>
      <c r="K310" s="551"/>
      <c r="L310" s="551"/>
      <c r="M310" s="551"/>
      <c r="N310" s="551"/>
      <c r="O310" s="551"/>
      <c r="P310" s="551"/>
      <c r="Q310" s="552"/>
    </row>
    <row r="311" spans="1:17" s="120" customFormat="1" ht="18" customHeight="1" x14ac:dyDescent="0.15">
      <c r="A311" s="396" t="s">
        <v>0</v>
      </c>
      <c r="B311" s="554" t="s">
        <v>733</v>
      </c>
      <c r="C311" s="555"/>
      <c r="D311" s="555"/>
      <c r="E311" s="555"/>
      <c r="F311" s="555"/>
      <c r="G311" s="555"/>
      <c r="H311" s="555"/>
      <c r="I311" s="555"/>
      <c r="J311" s="555"/>
      <c r="K311" s="555"/>
      <c r="L311" s="555"/>
      <c r="M311" s="555"/>
      <c r="N311" s="555"/>
      <c r="O311" s="394" t="s">
        <v>73</v>
      </c>
      <c r="P311" s="547" t="s">
        <v>5</v>
      </c>
      <c r="Q311" s="549"/>
    </row>
    <row r="312" spans="1:17" x14ac:dyDescent="0.15">
      <c r="A312" s="550"/>
      <c r="B312" s="551"/>
      <c r="C312" s="551"/>
      <c r="D312" s="551"/>
      <c r="E312" s="551"/>
      <c r="F312" s="551"/>
      <c r="G312" s="551"/>
      <c r="H312" s="551"/>
      <c r="I312" s="551"/>
      <c r="J312" s="551"/>
      <c r="K312" s="551"/>
      <c r="L312" s="551"/>
      <c r="M312" s="551"/>
      <c r="N312" s="551"/>
      <c r="O312" s="551"/>
      <c r="P312" s="551"/>
      <c r="Q312" s="552"/>
    </row>
    <row r="313" spans="1:17" s="125" customFormat="1" ht="12.75" customHeight="1" x14ac:dyDescent="0.15">
      <c r="A313" s="553" t="s">
        <v>150</v>
      </c>
      <c r="B313" s="540" t="s">
        <v>151</v>
      </c>
      <c r="C313" s="540"/>
      <c r="D313" s="558" t="s">
        <v>240</v>
      </c>
      <c r="E313" s="540" t="s">
        <v>152</v>
      </c>
      <c r="F313" s="540"/>
      <c r="G313" s="540"/>
      <c r="H313" s="541" t="s">
        <v>153</v>
      </c>
      <c r="I313" s="541" t="s">
        <v>159</v>
      </c>
      <c r="J313" s="543" t="s">
        <v>73</v>
      </c>
      <c r="K313" s="394" t="s">
        <v>154</v>
      </c>
      <c r="L313" s="122"/>
      <c r="M313" s="123"/>
      <c r="N313" s="123"/>
      <c r="O313" s="123"/>
      <c r="P313" s="123"/>
      <c r="Q313" s="124"/>
    </row>
    <row r="314" spans="1:17" s="129" customFormat="1" x14ac:dyDescent="0.15">
      <c r="A314" s="553"/>
      <c r="B314" s="540"/>
      <c r="C314" s="540"/>
      <c r="D314" s="559"/>
      <c r="E314" s="393" t="s">
        <v>155</v>
      </c>
      <c r="F314" s="393" t="s">
        <v>156</v>
      </c>
      <c r="G314" s="393" t="s">
        <v>157</v>
      </c>
      <c r="H314" s="542"/>
      <c r="I314" s="542"/>
      <c r="J314" s="544"/>
      <c r="K314" s="394" t="s">
        <v>158</v>
      </c>
      <c r="L314" s="126"/>
      <c r="M314" s="127"/>
      <c r="N314" s="127"/>
      <c r="O314" s="127"/>
      <c r="P314" s="127"/>
      <c r="Q314" s="128"/>
    </row>
    <row r="315" spans="1:17" ht="20.25" customHeight="1" x14ac:dyDescent="0.15">
      <c r="A315" s="146"/>
      <c r="B315" s="560" t="s">
        <v>979</v>
      </c>
      <c r="C315" s="561"/>
      <c r="D315" s="141">
        <f>(2*1.5)+(1*2.2)+((2+1.5+1.5)*1.5)+((0.7+0.7)*0.6)+(1*2.2)+((1.5+1.5+2)*1.5)+((0.7+0.7+0.7)*0.6)+(1*0.6)+((2+2)*1.5)+(2.1*1)</f>
        <v>33.200000000000003</v>
      </c>
      <c r="E315" s="141">
        <f>19.06+19.06+8.23+8.23+3.68+3.68+2</f>
        <v>63.94</v>
      </c>
      <c r="F315" s="141">
        <v>0</v>
      </c>
      <c r="G315" s="141">
        <v>2.7</v>
      </c>
      <c r="H315" s="141">
        <v>2</v>
      </c>
      <c r="I315" s="141">
        <f t="shared" ref="I315:I321" si="113">G315*E315</f>
        <v>172.63800000000001</v>
      </c>
      <c r="J315" s="131" t="s">
        <v>5</v>
      </c>
      <c r="K315" s="141">
        <f t="shared" ref="K315:K321" si="114">(I315*H315)-D315</f>
        <v>312.07600000000002</v>
      </c>
      <c r="L315" s="126"/>
      <c r="M315" s="127"/>
      <c r="N315" s="127"/>
      <c r="O315" s="127"/>
      <c r="P315" s="127"/>
      <c r="Q315" s="128"/>
    </row>
    <row r="316" spans="1:17" ht="20.25" customHeight="1" x14ac:dyDescent="0.15">
      <c r="A316" s="146"/>
      <c r="B316" s="560" t="s">
        <v>980</v>
      </c>
      <c r="C316" s="561"/>
      <c r="D316" s="141">
        <f>(0.9*2.2*8)+(0.7*2.2*9)</f>
        <v>29.700000000000003</v>
      </c>
      <c r="E316" s="141">
        <f>13.26+(17.63)+(8.94)+2.92+2+2+2.91+2.91+2.91+1.1+1.17+4.02+4.02+4.02+4.26+4.26+1.1+1.1+2.61</f>
        <v>83.139999999999986</v>
      </c>
      <c r="F316" s="141">
        <v>0</v>
      </c>
      <c r="G316" s="141">
        <v>2.7</v>
      </c>
      <c r="H316" s="141">
        <v>2</v>
      </c>
      <c r="I316" s="141">
        <f t="shared" si="113"/>
        <v>224.47799999999998</v>
      </c>
      <c r="J316" s="131" t="s">
        <v>5</v>
      </c>
      <c r="K316" s="141">
        <f t="shared" si="114"/>
        <v>419.25599999999997</v>
      </c>
      <c r="L316" s="126"/>
      <c r="M316" s="127"/>
      <c r="N316" s="127"/>
      <c r="O316" s="127"/>
      <c r="P316" s="127"/>
      <c r="Q316" s="128"/>
    </row>
    <row r="317" spans="1:17" ht="20.25" customHeight="1" x14ac:dyDescent="0.15">
      <c r="A317" s="146"/>
      <c r="B317" s="560" t="s">
        <v>968</v>
      </c>
      <c r="C317" s="561"/>
      <c r="D317" s="141">
        <v>0</v>
      </c>
      <c r="E317" s="141">
        <v>2.8</v>
      </c>
      <c r="F317" s="141">
        <v>0</v>
      </c>
      <c r="G317" s="141">
        <v>0.3</v>
      </c>
      <c r="H317" s="141">
        <v>1</v>
      </c>
      <c r="I317" s="141">
        <f t="shared" si="113"/>
        <v>0.84</v>
      </c>
      <c r="J317" s="131" t="s">
        <v>5</v>
      </c>
      <c r="K317" s="141">
        <f t="shared" si="114"/>
        <v>0.84</v>
      </c>
      <c r="L317" s="126"/>
      <c r="M317" s="127"/>
      <c r="N317" s="127"/>
      <c r="O317" s="127"/>
      <c r="P317" s="127"/>
      <c r="Q317" s="128"/>
    </row>
    <row r="318" spans="1:17" ht="21" customHeight="1" x14ac:dyDescent="0.15">
      <c r="A318" s="146"/>
      <c r="B318" s="545" t="s">
        <v>784</v>
      </c>
      <c r="C318" s="546"/>
      <c r="D318" s="141">
        <v>0</v>
      </c>
      <c r="E318" s="141">
        <v>11.8</v>
      </c>
      <c r="F318" s="141">
        <v>0</v>
      </c>
      <c r="G318" s="141">
        <v>0.95</v>
      </c>
      <c r="H318" s="141">
        <v>2</v>
      </c>
      <c r="I318" s="141">
        <f t="shared" si="113"/>
        <v>11.21</v>
      </c>
      <c r="J318" s="131" t="s">
        <v>5</v>
      </c>
      <c r="K318" s="141">
        <f t="shared" si="114"/>
        <v>22.42</v>
      </c>
      <c r="L318" s="126"/>
      <c r="M318" s="127"/>
      <c r="N318" s="127"/>
      <c r="O318" s="127"/>
      <c r="P318" s="127"/>
      <c r="Q318" s="128"/>
    </row>
    <row r="319" spans="1:17" ht="21" customHeight="1" x14ac:dyDescent="0.15">
      <c r="A319" s="146"/>
      <c r="B319" s="545" t="s">
        <v>784</v>
      </c>
      <c r="C319" s="546"/>
      <c r="D319" s="141">
        <v>0</v>
      </c>
      <c r="E319" s="141">
        <v>20.13</v>
      </c>
      <c r="F319" s="141">
        <v>0</v>
      </c>
      <c r="G319" s="141">
        <v>0.65</v>
      </c>
      <c r="H319" s="141">
        <v>2</v>
      </c>
      <c r="I319" s="141">
        <f t="shared" si="113"/>
        <v>13.0845</v>
      </c>
      <c r="J319" s="131" t="s">
        <v>5</v>
      </c>
      <c r="K319" s="141">
        <f t="shared" si="114"/>
        <v>26.169</v>
      </c>
      <c r="L319" s="126"/>
      <c r="M319" s="127"/>
      <c r="N319" s="127"/>
      <c r="O319" s="127"/>
      <c r="P319" s="127"/>
      <c r="Q319" s="128"/>
    </row>
    <row r="320" spans="1:17" ht="21" customHeight="1" x14ac:dyDescent="0.15">
      <c r="A320" s="146"/>
      <c r="B320" s="545" t="s">
        <v>784</v>
      </c>
      <c r="C320" s="546"/>
      <c r="D320" s="141">
        <v>0</v>
      </c>
      <c r="E320" s="141">
        <v>19.399999999999999</v>
      </c>
      <c r="F320" s="141">
        <v>0</v>
      </c>
      <c r="G320" s="141">
        <v>0.45</v>
      </c>
      <c r="H320" s="141">
        <v>2</v>
      </c>
      <c r="I320" s="141">
        <f t="shared" si="113"/>
        <v>8.73</v>
      </c>
      <c r="J320" s="131" t="s">
        <v>5</v>
      </c>
      <c r="K320" s="141">
        <f t="shared" si="114"/>
        <v>17.46</v>
      </c>
      <c r="L320" s="126"/>
      <c r="M320" s="127"/>
      <c r="N320" s="127"/>
      <c r="O320" s="127"/>
      <c r="P320" s="127"/>
      <c r="Q320" s="128"/>
    </row>
    <row r="321" spans="1:17" ht="21" customHeight="1" x14ac:dyDescent="0.15">
      <c r="A321" s="146"/>
      <c r="B321" s="545" t="s">
        <v>784</v>
      </c>
      <c r="C321" s="546"/>
      <c r="D321" s="141">
        <v>0</v>
      </c>
      <c r="E321" s="141">
        <v>3.73</v>
      </c>
      <c r="F321" s="141">
        <v>0</v>
      </c>
      <c r="G321" s="141">
        <v>1.1000000000000001</v>
      </c>
      <c r="H321" s="141">
        <v>14</v>
      </c>
      <c r="I321" s="141">
        <f t="shared" si="113"/>
        <v>4.1030000000000006</v>
      </c>
      <c r="J321" s="131" t="s">
        <v>5</v>
      </c>
      <c r="K321" s="141">
        <f t="shared" si="114"/>
        <v>57.442000000000007</v>
      </c>
      <c r="L321" s="126"/>
      <c r="M321" s="127"/>
      <c r="N321" s="127"/>
      <c r="O321" s="127"/>
      <c r="P321" s="127"/>
      <c r="Q321" s="128"/>
    </row>
    <row r="322" spans="1:17" ht="29.25" customHeight="1" x14ac:dyDescent="0.15">
      <c r="A322" s="146"/>
      <c r="B322" s="560" t="s">
        <v>987</v>
      </c>
      <c r="C322" s="561"/>
      <c r="D322" s="141">
        <f>((2+1.8)*2)+((2+2.5)*2)+((2+1.5+1.5+1.8+1.8+1.8)*2)+((0.7+0.7+0.6+0.6)*2)+((1+2.5)*2)+((1.5+1.5+1.8+1.8)*2)+((0.7+0.7+0.7+0.6+0.6+0.6)*2)+((1+0.6)*2)+((2+2+1.8+1.8)*2)+((2.5+1)*2)</f>
        <v>96.000000000000014</v>
      </c>
      <c r="E322" s="141">
        <v>0</v>
      </c>
      <c r="F322" s="141">
        <v>0</v>
      </c>
      <c r="G322" s="141">
        <v>0.13</v>
      </c>
      <c r="H322" s="141">
        <v>1</v>
      </c>
      <c r="I322" s="141">
        <f>D322*G322</f>
        <v>12.480000000000002</v>
      </c>
      <c r="J322" s="131" t="s">
        <v>5</v>
      </c>
      <c r="K322" s="141">
        <f>I322*H322</f>
        <v>12.480000000000002</v>
      </c>
      <c r="L322" s="126"/>
      <c r="M322" s="127"/>
      <c r="N322" s="127"/>
      <c r="O322" s="127"/>
      <c r="P322" s="127"/>
      <c r="Q322" s="128"/>
    </row>
    <row r="323" spans="1:17" ht="29.25" customHeight="1" x14ac:dyDescent="0.15">
      <c r="A323" s="146"/>
      <c r="B323" s="560" t="s">
        <v>988</v>
      </c>
      <c r="C323" s="561"/>
      <c r="D323" s="141">
        <f>((0.9+2.5)*2*8)+((0.7+2.5)*2*9)</f>
        <v>112</v>
      </c>
      <c r="E323" s="141">
        <v>0</v>
      </c>
      <c r="F323" s="141">
        <v>0</v>
      </c>
      <c r="G323" s="141">
        <v>0.13</v>
      </c>
      <c r="H323" s="141">
        <v>1</v>
      </c>
      <c r="I323" s="141">
        <f>D323*G323</f>
        <v>14.56</v>
      </c>
      <c r="J323" s="131" t="s">
        <v>5</v>
      </c>
      <c r="K323" s="141">
        <f t="shared" ref="K323" si="115">I323*H323</f>
        <v>14.56</v>
      </c>
      <c r="L323" s="126"/>
      <c r="M323" s="127"/>
      <c r="N323" s="127"/>
      <c r="O323" s="127"/>
      <c r="P323" s="127"/>
      <c r="Q323" s="128"/>
    </row>
    <row r="324" spans="1:17" ht="14" x14ac:dyDescent="0.15">
      <c r="A324" s="547" t="s">
        <v>149</v>
      </c>
      <c r="B324" s="548"/>
      <c r="C324" s="548"/>
      <c r="D324" s="548"/>
      <c r="E324" s="548"/>
      <c r="F324" s="548"/>
      <c r="G324" s="548"/>
      <c r="H324" s="548"/>
      <c r="I324" s="548"/>
      <c r="J324" s="549"/>
      <c r="K324" s="313">
        <f>SUM(K315:K323)</f>
        <v>882.70299999999997</v>
      </c>
      <c r="L324" s="132"/>
      <c r="M324" s="133"/>
      <c r="N324" s="133"/>
      <c r="O324" s="133"/>
      <c r="P324" s="133"/>
      <c r="Q324" s="134"/>
    </row>
    <row r="325" spans="1:17" x14ac:dyDescent="0.15">
      <c r="A325" s="550"/>
      <c r="B325" s="551"/>
      <c r="C325" s="551"/>
      <c r="D325" s="551"/>
      <c r="E325" s="551"/>
      <c r="F325" s="551"/>
      <c r="G325" s="551"/>
      <c r="H325" s="551"/>
      <c r="I325" s="551"/>
      <c r="J325" s="551"/>
      <c r="K325" s="551"/>
      <c r="L325" s="551"/>
      <c r="M325" s="551"/>
      <c r="N325" s="551"/>
      <c r="O325" s="551"/>
      <c r="P325" s="551"/>
      <c r="Q325" s="552"/>
    </row>
    <row r="326" spans="1:17" s="120" customFormat="1" ht="18" customHeight="1" x14ac:dyDescent="0.15">
      <c r="A326" s="396" t="s">
        <v>0</v>
      </c>
      <c r="B326" s="554" t="s">
        <v>730</v>
      </c>
      <c r="C326" s="555"/>
      <c r="D326" s="555"/>
      <c r="E326" s="555"/>
      <c r="F326" s="555"/>
      <c r="G326" s="555"/>
      <c r="H326" s="555"/>
      <c r="I326" s="555"/>
      <c r="J326" s="555"/>
      <c r="K326" s="555"/>
      <c r="L326" s="555"/>
      <c r="M326" s="555"/>
      <c r="N326" s="555"/>
      <c r="O326" s="394" t="s">
        <v>73</v>
      </c>
      <c r="P326" s="547" t="s">
        <v>5</v>
      </c>
      <c r="Q326" s="549"/>
    </row>
    <row r="327" spans="1:17" x14ac:dyDescent="0.15">
      <c r="A327" s="550"/>
      <c r="B327" s="551"/>
      <c r="C327" s="551"/>
      <c r="D327" s="551"/>
      <c r="E327" s="551"/>
      <c r="F327" s="551"/>
      <c r="G327" s="551"/>
      <c r="H327" s="551"/>
      <c r="I327" s="551"/>
      <c r="J327" s="551"/>
      <c r="K327" s="551"/>
      <c r="L327" s="551"/>
      <c r="M327" s="551"/>
      <c r="N327" s="551"/>
      <c r="O327" s="551"/>
      <c r="P327" s="551"/>
      <c r="Q327" s="552"/>
    </row>
    <row r="328" spans="1:17" s="125" customFormat="1" x14ac:dyDescent="0.15">
      <c r="A328" s="553" t="s">
        <v>150</v>
      </c>
      <c r="B328" s="540" t="s">
        <v>151</v>
      </c>
      <c r="C328" s="540"/>
      <c r="D328" s="558" t="s">
        <v>262</v>
      </c>
      <c r="E328" s="540" t="s">
        <v>152</v>
      </c>
      <c r="F328" s="540"/>
      <c r="G328" s="540"/>
      <c r="H328" s="541" t="s">
        <v>153</v>
      </c>
      <c r="I328" s="541" t="s">
        <v>159</v>
      </c>
      <c r="J328" s="543" t="s">
        <v>73</v>
      </c>
      <c r="K328" s="394" t="s">
        <v>154</v>
      </c>
      <c r="L328" s="122"/>
      <c r="M328" s="123"/>
      <c r="N328" s="123"/>
      <c r="O328" s="123"/>
      <c r="P328" s="123"/>
      <c r="Q328" s="124"/>
    </row>
    <row r="329" spans="1:17" s="129" customFormat="1" x14ac:dyDescent="0.15">
      <c r="A329" s="553"/>
      <c r="B329" s="540"/>
      <c r="C329" s="540"/>
      <c r="D329" s="559"/>
      <c r="E329" s="393" t="s">
        <v>155</v>
      </c>
      <c r="F329" s="393" t="s">
        <v>156</v>
      </c>
      <c r="G329" s="393" t="s">
        <v>157</v>
      </c>
      <c r="H329" s="542"/>
      <c r="I329" s="542"/>
      <c r="J329" s="544"/>
      <c r="K329" s="394" t="s">
        <v>158</v>
      </c>
      <c r="L329" s="126"/>
      <c r="M329" s="127"/>
      <c r="N329" s="127"/>
      <c r="O329" s="127"/>
      <c r="P329" s="127"/>
      <c r="Q329" s="128"/>
    </row>
    <row r="330" spans="1:17" ht="19.5" customHeight="1" x14ac:dyDescent="0.15">
      <c r="A330" s="146"/>
      <c r="B330" s="560" t="s">
        <v>969</v>
      </c>
      <c r="C330" s="561"/>
      <c r="D330" s="141">
        <v>52.42</v>
      </c>
      <c r="E330" s="141">
        <v>0</v>
      </c>
      <c r="F330" s="141">
        <v>0</v>
      </c>
      <c r="G330" s="141">
        <v>0</v>
      </c>
      <c r="H330" s="141">
        <v>1</v>
      </c>
      <c r="I330" s="141">
        <f>D330</f>
        <v>52.42</v>
      </c>
      <c r="J330" s="131" t="s">
        <v>5</v>
      </c>
      <c r="K330" s="141">
        <f>I330*H330</f>
        <v>52.42</v>
      </c>
      <c r="L330" s="126"/>
      <c r="M330" s="127"/>
      <c r="N330" s="127"/>
      <c r="O330" s="127"/>
      <c r="P330" s="127"/>
      <c r="Q330" s="128"/>
    </row>
    <row r="331" spans="1:17" ht="14" x14ac:dyDescent="0.15">
      <c r="A331" s="547" t="s">
        <v>149</v>
      </c>
      <c r="B331" s="548"/>
      <c r="C331" s="548"/>
      <c r="D331" s="548"/>
      <c r="E331" s="548"/>
      <c r="F331" s="548"/>
      <c r="G331" s="548"/>
      <c r="H331" s="548"/>
      <c r="I331" s="548"/>
      <c r="J331" s="549"/>
      <c r="K331" s="313">
        <f>SUM(K330:K330)</f>
        <v>52.42</v>
      </c>
      <c r="L331" s="132"/>
      <c r="M331" s="133"/>
      <c r="N331" s="133"/>
      <c r="O331" s="133"/>
      <c r="P331" s="133"/>
      <c r="Q331" s="134"/>
    </row>
    <row r="332" spans="1:17" x14ac:dyDescent="0.15">
      <c r="A332" s="550"/>
      <c r="B332" s="551"/>
      <c r="C332" s="551"/>
      <c r="D332" s="551"/>
      <c r="E332" s="551"/>
      <c r="F332" s="551"/>
      <c r="G332" s="551"/>
      <c r="H332" s="551"/>
      <c r="I332" s="551"/>
      <c r="J332" s="551"/>
      <c r="K332" s="551"/>
      <c r="L332" s="551"/>
      <c r="M332" s="551"/>
      <c r="N332" s="551"/>
      <c r="O332" s="551"/>
      <c r="P332" s="551"/>
      <c r="Q332" s="552"/>
    </row>
    <row r="333" spans="1:17" s="120" customFormat="1" ht="18" customHeight="1" x14ac:dyDescent="0.15">
      <c r="A333" s="396" t="s">
        <v>0</v>
      </c>
      <c r="B333" s="554" t="s">
        <v>731</v>
      </c>
      <c r="C333" s="555"/>
      <c r="D333" s="555"/>
      <c r="E333" s="555"/>
      <c r="F333" s="555"/>
      <c r="G333" s="555"/>
      <c r="H333" s="555"/>
      <c r="I333" s="555"/>
      <c r="J333" s="555"/>
      <c r="K333" s="555"/>
      <c r="L333" s="555"/>
      <c r="M333" s="555"/>
      <c r="N333" s="555"/>
      <c r="O333" s="394" t="s">
        <v>73</v>
      </c>
      <c r="P333" s="547" t="s">
        <v>193</v>
      </c>
      <c r="Q333" s="549"/>
    </row>
    <row r="334" spans="1:17" x14ac:dyDescent="0.15">
      <c r="A334" s="550"/>
      <c r="B334" s="551"/>
      <c r="C334" s="551"/>
      <c r="D334" s="551"/>
      <c r="E334" s="551"/>
      <c r="F334" s="551"/>
      <c r="G334" s="551"/>
      <c r="H334" s="551"/>
      <c r="I334" s="551"/>
      <c r="J334" s="551"/>
      <c r="K334" s="551"/>
      <c r="L334" s="551"/>
      <c r="M334" s="551"/>
      <c r="N334" s="551"/>
      <c r="O334" s="551"/>
      <c r="P334" s="551"/>
      <c r="Q334" s="552"/>
    </row>
    <row r="335" spans="1:17" s="125" customFormat="1" x14ac:dyDescent="0.15">
      <c r="A335" s="553" t="s">
        <v>150</v>
      </c>
      <c r="B335" s="540" t="s">
        <v>151</v>
      </c>
      <c r="C335" s="540"/>
      <c r="D335" s="558" t="s">
        <v>971</v>
      </c>
      <c r="E335" s="540" t="s">
        <v>152</v>
      </c>
      <c r="F335" s="540"/>
      <c r="G335" s="540"/>
      <c r="H335" s="541" t="s">
        <v>153</v>
      </c>
      <c r="I335" s="541" t="s">
        <v>241</v>
      </c>
      <c r="J335" s="543" t="s">
        <v>73</v>
      </c>
      <c r="K335" s="394" t="s">
        <v>154</v>
      </c>
      <c r="L335" s="122"/>
      <c r="M335" s="123"/>
      <c r="N335" s="123"/>
      <c r="O335" s="123"/>
      <c r="P335" s="123"/>
      <c r="Q335" s="124"/>
    </row>
    <row r="336" spans="1:17" s="129" customFormat="1" x14ac:dyDescent="0.15">
      <c r="A336" s="553"/>
      <c r="B336" s="540"/>
      <c r="C336" s="540"/>
      <c r="D336" s="559"/>
      <c r="E336" s="393" t="s">
        <v>155</v>
      </c>
      <c r="F336" s="393" t="s">
        <v>156</v>
      </c>
      <c r="G336" s="393" t="s">
        <v>157</v>
      </c>
      <c r="H336" s="542"/>
      <c r="I336" s="542"/>
      <c r="J336" s="544"/>
      <c r="K336" s="394" t="s">
        <v>158</v>
      </c>
      <c r="L336" s="126"/>
      <c r="M336" s="127"/>
      <c r="N336" s="127"/>
      <c r="O336" s="127"/>
      <c r="P336" s="127"/>
      <c r="Q336" s="128"/>
    </row>
    <row r="337" spans="1:17" ht="27" customHeight="1" x14ac:dyDescent="0.15">
      <c r="A337" s="146"/>
      <c r="B337" s="545" t="s">
        <v>970</v>
      </c>
      <c r="C337" s="546"/>
      <c r="D337" s="141">
        <f>(1*4)+(0.7*9)</f>
        <v>10.3</v>
      </c>
      <c r="E337" s="141">
        <v>151</v>
      </c>
      <c r="F337" s="391">
        <v>0</v>
      </c>
      <c r="G337" s="141">
        <v>0.2</v>
      </c>
      <c r="H337" s="141">
        <v>1</v>
      </c>
      <c r="I337" s="141">
        <f t="shared" ref="I337" si="116">E337</f>
        <v>151</v>
      </c>
      <c r="J337" s="131" t="s">
        <v>7</v>
      </c>
      <c r="K337" s="141">
        <f>(I337*H337)-D337</f>
        <v>140.69999999999999</v>
      </c>
      <c r="L337" s="126"/>
      <c r="M337" s="127"/>
      <c r="N337" s="127"/>
      <c r="O337" s="127"/>
      <c r="P337" s="127"/>
      <c r="Q337" s="128"/>
    </row>
    <row r="338" spans="1:17" ht="14" x14ac:dyDescent="0.15">
      <c r="A338" s="547" t="s">
        <v>149</v>
      </c>
      <c r="B338" s="548"/>
      <c r="C338" s="548"/>
      <c r="D338" s="548"/>
      <c r="E338" s="548"/>
      <c r="F338" s="548"/>
      <c r="G338" s="548"/>
      <c r="H338" s="548"/>
      <c r="I338" s="548"/>
      <c r="J338" s="549"/>
      <c r="K338" s="313">
        <f>SUM(K337:K337)</f>
        <v>140.69999999999999</v>
      </c>
      <c r="L338" s="132"/>
      <c r="M338" s="133"/>
      <c r="N338" s="133"/>
      <c r="O338" s="133"/>
      <c r="P338" s="133"/>
      <c r="Q338" s="134"/>
    </row>
    <row r="339" spans="1:17" x14ac:dyDescent="0.15">
      <c r="A339" s="550"/>
      <c r="B339" s="551"/>
      <c r="C339" s="551"/>
      <c r="D339" s="551"/>
      <c r="E339" s="551"/>
      <c r="F339" s="551"/>
      <c r="G339" s="551"/>
      <c r="H339" s="551"/>
      <c r="I339" s="551"/>
      <c r="J339" s="551"/>
      <c r="K339" s="551"/>
      <c r="L339" s="551"/>
      <c r="M339" s="551"/>
      <c r="N339" s="551"/>
      <c r="O339" s="551"/>
      <c r="P339" s="551"/>
      <c r="Q339" s="552"/>
    </row>
    <row r="340" spans="1:17" s="120" customFormat="1" ht="18" customHeight="1" x14ac:dyDescent="0.15">
      <c r="A340" s="396" t="s">
        <v>0</v>
      </c>
      <c r="B340" s="554" t="s">
        <v>732</v>
      </c>
      <c r="C340" s="555"/>
      <c r="D340" s="555"/>
      <c r="E340" s="555"/>
      <c r="F340" s="555"/>
      <c r="G340" s="555"/>
      <c r="H340" s="555"/>
      <c r="I340" s="555"/>
      <c r="J340" s="555"/>
      <c r="K340" s="555"/>
      <c r="L340" s="555"/>
      <c r="M340" s="555"/>
      <c r="N340" s="555"/>
      <c r="O340" s="394" t="s">
        <v>73</v>
      </c>
      <c r="P340" s="547" t="s">
        <v>5</v>
      </c>
      <c r="Q340" s="549"/>
    </row>
    <row r="341" spans="1:17" x14ac:dyDescent="0.15">
      <c r="A341" s="550"/>
      <c r="B341" s="551"/>
      <c r="C341" s="551"/>
      <c r="D341" s="551"/>
      <c r="E341" s="551"/>
      <c r="F341" s="551"/>
      <c r="G341" s="551"/>
      <c r="H341" s="551"/>
      <c r="I341" s="551"/>
      <c r="J341" s="551"/>
      <c r="K341" s="551"/>
      <c r="L341" s="551"/>
      <c r="M341" s="551"/>
      <c r="N341" s="551"/>
      <c r="O341" s="551"/>
      <c r="P341" s="551"/>
      <c r="Q341" s="552"/>
    </row>
    <row r="342" spans="1:17" s="125" customFormat="1" ht="12.75" customHeight="1" x14ac:dyDescent="0.15">
      <c r="A342" s="553" t="s">
        <v>150</v>
      </c>
      <c r="B342" s="540" t="s">
        <v>151</v>
      </c>
      <c r="C342" s="540"/>
      <c r="D342" s="558" t="s">
        <v>240</v>
      </c>
      <c r="E342" s="540" t="s">
        <v>152</v>
      </c>
      <c r="F342" s="540"/>
      <c r="G342" s="540"/>
      <c r="H342" s="541" t="s">
        <v>153</v>
      </c>
      <c r="I342" s="541" t="s">
        <v>159</v>
      </c>
      <c r="J342" s="543" t="s">
        <v>73</v>
      </c>
      <c r="K342" s="394" t="s">
        <v>154</v>
      </c>
      <c r="L342" s="122"/>
      <c r="M342" s="123"/>
      <c r="N342" s="123"/>
      <c r="O342" s="123"/>
      <c r="P342" s="123"/>
      <c r="Q342" s="124"/>
    </row>
    <row r="343" spans="1:17" s="129" customFormat="1" x14ac:dyDescent="0.15">
      <c r="A343" s="553"/>
      <c r="B343" s="540"/>
      <c r="C343" s="540"/>
      <c r="D343" s="559"/>
      <c r="E343" s="393" t="s">
        <v>155</v>
      </c>
      <c r="F343" s="393" t="s">
        <v>156</v>
      </c>
      <c r="G343" s="393" t="s">
        <v>157</v>
      </c>
      <c r="H343" s="542"/>
      <c r="I343" s="542"/>
      <c r="J343" s="544"/>
      <c r="K343" s="394" t="s">
        <v>158</v>
      </c>
      <c r="L343" s="126"/>
      <c r="M343" s="127"/>
      <c r="N343" s="127"/>
      <c r="O343" s="127"/>
      <c r="P343" s="127"/>
      <c r="Q343" s="128"/>
    </row>
    <row r="344" spans="1:17" ht="29.25" customHeight="1" x14ac:dyDescent="0.15">
      <c r="A344" s="146"/>
      <c r="B344" s="545" t="s">
        <v>970</v>
      </c>
      <c r="C344" s="546"/>
      <c r="D344" s="141">
        <v>135</v>
      </c>
      <c r="E344" s="141">
        <v>0</v>
      </c>
      <c r="F344" s="141">
        <v>0</v>
      </c>
      <c r="G344" s="141">
        <v>0</v>
      </c>
      <c r="H344" s="141">
        <v>1</v>
      </c>
      <c r="I344" s="141">
        <f>D344</f>
        <v>135</v>
      </c>
      <c r="J344" s="131" t="s">
        <v>5</v>
      </c>
      <c r="K344" s="141">
        <f>I344*H344</f>
        <v>135</v>
      </c>
      <c r="L344" s="126"/>
      <c r="M344" s="127"/>
      <c r="N344" s="127"/>
      <c r="O344" s="127"/>
      <c r="P344" s="127"/>
      <c r="Q344" s="128"/>
    </row>
    <row r="345" spans="1:17" ht="14" x14ac:dyDescent="0.15">
      <c r="A345" s="547" t="s">
        <v>149</v>
      </c>
      <c r="B345" s="548"/>
      <c r="C345" s="548"/>
      <c r="D345" s="548"/>
      <c r="E345" s="548"/>
      <c r="F345" s="548"/>
      <c r="G345" s="548"/>
      <c r="H345" s="548"/>
      <c r="I345" s="548"/>
      <c r="J345" s="549"/>
      <c r="K345" s="313">
        <f>SUM(K344:K344)</f>
        <v>135</v>
      </c>
      <c r="L345" s="132"/>
      <c r="M345" s="133"/>
      <c r="N345" s="133"/>
      <c r="O345" s="133"/>
      <c r="P345" s="133"/>
      <c r="Q345" s="134"/>
    </row>
    <row r="346" spans="1:17" x14ac:dyDescent="0.15">
      <c r="A346" s="550"/>
      <c r="B346" s="551"/>
      <c r="C346" s="551"/>
      <c r="D346" s="551"/>
      <c r="E346" s="551"/>
      <c r="F346" s="551"/>
      <c r="G346" s="551"/>
      <c r="H346" s="551"/>
      <c r="I346" s="551"/>
      <c r="J346" s="551"/>
      <c r="K346" s="551"/>
      <c r="L346" s="551"/>
      <c r="M346" s="551"/>
      <c r="N346" s="551"/>
      <c r="O346" s="551"/>
      <c r="P346" s="551"/>
      <c r="Q346" s="552"/>
    </row>
    <row r="347" spans="1:17" s="120" customFormat="1" ht="18" customHeight="1" x14ac:dyDescent="0.15">
      <c r="A347" s="396" t="s">
        <v>0</v>
      </c>
      <c r="B347" s="554" t="s">
        <v>734</v>
      </c>
      <c r="C347" s="555"/>
      <c r="D347" s="555"/>
      <c r="E347" s="555"/>
      <c r="F347" s="555"/>
      <c r="G347" s="555"/>
      <c r="H347" s="555"/>
      <c r="I347" s="555"/>
      <c r="J347" s="555"/>
      <c r="K347" s="555"/>
      <c r="L347" s="555"/>
      <c r="M347" s="555"/>
      <c r="N347" s="555"/>
      <c r="O347" s="394" t="s">
        <v>73</v>
      </c>
      <c r="P347" s="547" t="s">
        <v>5</v>
      </c>
      <c r="Q347" s="549"/>
    </row>
    <row r="348" spans="1:17" x14ac:dyDescent="0.15">
      <c r="A348" s="550"/>
      <c r="B348" s="551"/>
      <c r="C348" s="551"/>
      <c r="D348" s="551"/>
      <c r="E348" s="551"/>
      <c r="F348" s="551"/>
      <c r="G348" s="551"/>
      <c r="H348" s="551"/>
      <c r="I348" s="551"/>
      <c r="J348" s="551"/>
      <c r="K348" s="551"/>
      <c r="L348" s="551"/>
      <c r="M348" s="551"/>
      <c r="N348" s="551"/>
      <c r="O348" s="551"/>
      <c r="P348" s="551"/>
      <c r="Q348" s="552"/>
    </row>
    <row r="349" spans="1:17" s="125" customFormat="1" x14ac:dyDescent="0.15">
      <c r="A349" s="553" t="s">
        <v>150</v>
      </c>
      <c r="B349" s="540" t="s">
        <v>151</v>
      </c>
      <c r="C349" s="540"/>
      <c r="D349" s="558" t="s">
        <v>262</v>
      </c>
      <c r="E349" s="540" t="s">
        <v>152</v>
      </c>
      <c r="F349" s="540"/>
      <c r="G349" s="540"/>
      <c r="H349" s="541" t="s">
        <v>153</v>
      </c>
      <c r="I349" s="541" t="s">
        <v>159</v>
      </c>
      <c r="J349" s="543" t="s">
        <v>73</v>
      </c>
      <c r="K349" s="394" t="s">
        <v>154</v>
      </c>
      <c r="L349" s="122"/>
      <c r="M349" s="123"/>
      <c r="N349" s="123"/>
      <c r="O349" s="123"/>
      <c r="P349" s="123"/>
      <c r="Q349" s="124"/>
    </row>
    <row r="350" spans="1:17" s="129" customFormat="1" x14ac:dyDescent="0.15">
      <c r="A350" s="553"/>
      <c r="B350" s="540"/>
      <c r="C350" s="540"/>
      <c r="D350" s="559"/>
      <c r="E350" s="393" t="s">
        <v>155</v>
      </c>
      <c r="F350" s="393" t="s">
        <v>156</v>
      </c>
      <c r="G350" s="393" t="s">
        <v>157</v>
      </c>
      <c r="H350" s="542"/>
      <c r="I350" s="542"/>
      <c r="J350" s="544"/>
      <c r="K350" s="394" t="s">
        <v>158</v>
      </c>
      <c r="L350" s="126"/>
      <c r="M350" s="127"/>
      <c r="N350" s="127"/>
      <c r="O350" s="127"/>
      <c r="P350" s="127"/>
      <c r="Q350" s="128"/>
    </row>
    <row r="351" spans="1:17" ht="27" customHeight="1" x14ac:dyDescent="0.15">
      <c r="A351" s="146"/>
      <c r="B351" s="545" t="s">
        <v>970</v>
      </c>
      <c r="C351" s="546"/>
      <c r="D351" s="141">
        <v>135.5</v>
      </c>
      <c r="E351" s="141">
        <v>0</v>
      </c>
      <c r="F351" s="141">
        <v>0</v>
      </c>
      <c r="G351" s="141">
        <v>0</v>
      </c>
      <c r="H351" s="141">
        <v>1</v>
      </c>
      <c r="I351" s="141">
        <f>D351</f>
        <v>135.5</v>
      </c>
      <c r="J351" s="131" t="s">
        <v>5</v>
      </c>
      <c r="K351" s="141">
        <f>I351*H351</f>
        <v>135.5</v>
      </c>
      <c r="L351" s="126"/>
      <c r="M351" s="127"/>
      <c r="N351" s="127"/>
      <c r="O351" s="127"/>
      <c r="P351" s="127"/>
      <c r="Q351" s="128"/>
    </row>
    <row r="352" spans="1:17" ht="14" x14ac:dyDescent="0.15">
      <c r="A352" s="547" t="s">
        <v>149</v>
      </c>
      <c r="B352" s="548"/>
      <c r="C352" s="548"/>
      <c r="D352" s="548"/>
      <c r="E352" s="548"/>
      <c r="F352" s="548"/>
      <c r="G352" s="548"/>
      <c r="H352" s="548"/>
      <c r="I352" s="548"/>
      <c r="J352" s="549"/>
      <c r="K352" s="313">
        <f>SUM(K351:K351)</f>
        <v>135.5</v>
      </c>
      <c r="L352" s="132"/>
      <c r="M352" s="133"/>
      <c r="N352" s="133"/>
      <c r="O352" s="133"/>
      <c r="P352" s="133"/>
      <c r="Q352" s="134"/>
    </row>
    <row r="353" spans="1:17" x14ac:dyDescent="0.15">
      <c r="A353" s="550"/>
      <c r="B353" s="551"/>
      <c r="C353" s="551"/>
      <c r="D353" s="551"/>
      <c r="E353" s="551"/>
      <c r="F353" s="551"/>
      <c r="G353" s="551"/>
      <c r="H353" s="551"/>
      <c r="I353" s="551"/>
      <c r="J353" s="551"/>
      <c r="K353" s="551"/>
      <c r="L353" s="551"/>
      <c r="M353" s="551"/>
      <c r="N353" s="551"/>
      <c r="O353" s="551"/>
      <c r="P353" s="551"/>
      <c r="Q353" s="552"/>
    </row>
    <row r="354" spans="1:17" s="120" customFormat="1" ht="18" customHeight="1" x14ac:dyDescent="0.15">
      <c r="A354" s="396" t="s">
        <v>0</v>
      </c>
      <c r="B354" s="554" t="s">
        <v>765</v>
      </c>
      <c r="C354" s="555"/>
      <c r="D354" s="555"/>
      <c r="E354" s="555"/>
      <c r="F354" s="555"/>
      <c r="G354" s="555"/>
      <c r="H354" s="555"/>
      <c r="I354" s="555"/>
      <c r="J354" s="555"/>
      <c r="K354" s="555"/>
      <c r="L354" s="555"/>
      <c r="M354" s="555"/>
      <c r="N354" s="555"/>
      <c r="O354" s="394" t="s">
        <v>73</v>
      </c>
      <c r="P354" s="547" t="s">
        <v>193</v>
      </c>
      <c r="Q354" s="549"/>
    </row>
    <row r="355" spans="1:17" x14ac:dyDescent="0.15">
      <c r="A355" s="550"/>
      <c r="B355" s="551"/>
      <c r="C355" s="551"/>
      <c r="D355" s="551"/>
      <c r="E355" s="551"/>
      <c r="F355" s="551"/>
      <c r="G355" s="551"/>
      <c r="H355" s="551"/>
      <c r="I355" s="551"/>
      <c r="J355" s="551"/>
      <c r="K355" s="551"/>
      <c r="L355" s="551"/>
      <c r="M355" s="551"/>
      <c r="N355" s="551"/>
      <c r="O355" s="551"/>
      <c r="P355" s="551"/>
      <c r="Q355" s="552"/>
    </row>
    <row r="356" spans="1:17" s="125" customFormat="1" x14ac:dyDescent="0.15">
      <c r="A356" s="553" t="s">
        <v>150</v>
      </c>
      <c r="B356" s="540" t="s">
        <v>151</v>
      </c>
      <c r="C356" s="540"/>
      <c r="D356" s="558" t="s">
        <v>262</v>
      </c>
      <c r="E356" s="540" t="s">
        <v>152</v>
      </c>
      <c r="F356" s="540"/>
      <c r="G356" s="540"/>
      <c r="H356" s="541" t="s">
        <v>153</v>
      </c>
      <c r="I356" s="541" t="s">
        <v>241</v>
      </c>
      <c r="J356" s="543" t="s">
        <v>73</v>
      </c>
      <c r="K356" s="394" t="s">
        <v>154</v>
      </c>
      <c r="L356" s="122"/>
      <c r="M356" s="123"/>
      <c r="N356" s="123"/>
      <c r="O356" s="123"/>
      <c r="P356" s="123"/>
      <c r="Q356" s="124"/>
    </row>
    <row r="357" spans="1:17" s="129" customFormat="1" x14ac:dyDescent="0.15">
      <c r="A357" s="553"/>
      <c r="B357" s="540"/>
      <c r="C357" s="540"/>
      <c r="D357" s="559"/>
      <c r="E357" s="393" t="s">
        <v>155</v>
      </c>
      <c r="F357" s="393" t="s">
        <v>156</v>
      </c>
      <c r="G357" s="393" t="s">
        <v>157</v>
      </c>
      <c r="H357" s="542"/>
      <c r="I357" s="542"/>
      <c r="J357" s="544"/>
      <c r="K357" s="394" t="s">
        <v>158</v>
      </c>
      <c r="L357" s="126"/>
      <c r="M357" s="127"/>
      <c r="N357" s="127"/>
      <c r="O357" s="127"/>
      <c r="P357" s="127"/>
      <c r="Q357" s="128"/>
    </row>
    <row r="358" spans="1:17" ht="30" customHeight="1" x14ac:dyDescent="0.15">
      <c r="A358" s="146"/>
      <c r="B358" s="545" t="s">
        <v>970</v>
      </c>
      <c r="C358" s="546"/>
      <c r="D358" s="141">
        <f>(1*4)+(0.7*9)</f>
        <v>10.3</v>
      </c>
      <c r="E358" s="141">
        <v>151</v>
      </c>
      <c r="F358" s="391">
        <v>0</v>
      </c>
      <c r="G358" s="141">
        <v>0.2</v>
      </c>
      <c r="H358" s="141">
        <v>1</v>
      </c>
      <c r="I358" s="141">
        <f t="shared" ref="I358" si="117">E358</f>
        <v>151</v>
      </c>
      <c r="J358" s="131" t="s">
        <v>7</v>
      </c>
      <c r="K358" s="141">
        <f>(I358*H358)-D358</f>
        <v>140.69999999999999</v>
      </c>
      <c r="L358" s="126"/>
      <c r="M358" s="127"/>
      <c r="N358" s="127"/>
      <c r="O358" s="127"/>
      <c r="P358" s="127"/>
      <c r="Q358" s="128"/>
    </row>
    <row r="359" spans="1:17" ht="14" x14ac:dyDescent="0.15">
      <c r="A359" s="547" t="s">
        <v>149</v>
      </c>
      <c r="B359" s="548"/>
      <c r="C359" s="548"/>
      <c r="D359" s="548"/>
      <c r="E359" s="548"/>
      <c r="F359" s="548"/>
      <c r="G359" s="548"/>
      <c r="H359" s="548"/>
      <c r="I359" s="548"/>
      <c r="J359" s="549"/>
      <c r="K359" s="313">
        <f>SUM(K358:K358)</f>
        <v>140.69999999999999</v>
      </c>
      <c r="L359" s="132"/>
      <c r="M359" s="133"/>
      <c r="N359" s="133"/>
      <c r="O359" s="133"/>
      <c r="P359" s="133"/>
      <c r="Q359" s="134"/>
    </row>
    <row r="360" spans="1:17" x14ac:dyDescent="0.15">
      <c r="A360" s="550"/>
      <c r="B360" s="551"/>
      <c r="C360" s="551"/>
      <c r="D360" s="551"/>
      <c r="E360" s="551"/>
      <c r="F360" s="551"/>
      <c r="G360" s="551"/>
      <c r="H360" s="551"/>
      <c r="I360" s="551"/>
      <c r="J360" s="551"/>
      <c r="K360" s="551"/>
      <c r="L360" s="551"/>
      <c r="M360" s="551"/>
      <c r="N360" s="551"/>
      <c r="O360" s="551"/>
      <c r="P360" s="551"/>
      <c r="Q360" s="552"/>
    </row>
    <row r="361" spans="1:17" s="120" customFormat="1" ht="18" customHeight="1" x14ac:dyDescent="0.15">
      <c r="A361" s="396" t="s">
        <v>0</v>
      </c>
      <c r="B361" s="554" t="s">
        <v>989</v>
      </c>
      <c r="C361" s="555"/>
      <c r="D361" s="555"/>
      <c r="E361" s="555"/>
      <c r="F361" s="555"/>
      <c r="G361" s="555"/>
      <c r="H361" s="555"/>
      <c r="I361" s="555"/>
      <c r="J361" s="555"/>
      <c r="K361" s="555"/>
      <c r="L361" s="555"/>
      <c r="M361" s="555"/>
      <c r="N361" s="555"/>
      <c r="O361" s="394" t="s">
        <v>73</v>
      </c>
      <c r="P361" s="547" t="s">
        <v>5</v>
      </c>
      <c r="Q361" s="549"/>
    </row>
    <row r="362" spans="1:17" x14ac:dyDescent="0.15">
      <c r="A362" s="550"/>
      <c r="B362" s="551"/>
      <c r="C362" s="551"/>
      <c r="D362" s="551"/>
      <c r="E362" s="551"/>
      <c r="F362" s="551"/>
      <c r="G362" s="551"/>
      <c r="H362" s="551"/>
      <c r="I362" s="551"/>
      <c r="J362" s="551"/>
      <c r="K362" s="551"/>
      <c r="L362" s="551"/>
      <c r="M362" s="551"/>
      <c r="N362" s="551"/>
      <c r="O362" s="551"/>
      <c r="P362" s="551"/>
      <c r="Q362" s="552"/>
    </row>
    <row r="363" spans="1:17" s="125" customFormat="1" ht="12.75" customHeight="1" x14ac:dyDescent="0.15">
      <c r="A363" s="553" t="s">
        <v>150</v>
      </c>
      <c r="B363" s="540" t="s">
        <v>151</v>
      </c>
      <c r="C363" s="540"/>
      <c r="D363" s="558" t="s">
        <v>240</v>
      </c>
      <c r="E363" s="540" t="s">
        <v>152</v>
      </c>
      <c r="F363" s="540"/>
      <c r="G363" s="540"/>
      <c r="H363" s="541" t="s">
        <v>153</v>
      </c>
      <c r="I363" s="541" t="s">
        <v>159</v>
      </c>
      <c r="J363" s="543" t="s">
        <v>73</v>
      </c>
      <c r="K363" s="394" t="s">
        <v>154</v>
      </c>
      <c r="L363" s="122"/>
      <c r="M363" s="123"/>
      <c r="N363" s="123"/>
      <c r="O363" s="123"/>
      <c r="P363" s="123"/>
      <c r="Q363" s="124"/>
    </row>
    <row r="364" spans="1:17" s="129" customFormat="1" x14ac:dyDescent="0.15">
      <c r="A364" s="553"/>
      <c r="B364" s="540"/>
      <c r="C364" s="540"/>
      <c r="D364" s="559"/>
      <c r="E364" s="393" t="s">
        <v>155</v>
      </c>
      <c r="F364" s="393" t="s">
        <v>156</v>
      </c>
      <c r="G364" s="393" t="s">
        <v>157</v>
      </c>
      <c r="H364" s="542"/>
      <c r="I364" s="542"/>
      <c r="J364" s="544"/>
      <c r="K364" s="394" t="s">
        <v>158</v>
      </c>
      <c r="L364" s="126"/>
      <c r="M364" s="127"/>
      <c r="N364" s="127"/>
      <c r="O364" s="127"/>
      <c r="P364" s="127"/>
      <c r="Q364" s="128"/>
    </row>
    <row r="365" spans="1:17" ht="18.75" customHeight="1" x14ac:dyDescent="0.15">
      <c r="A365" s="146"/>
      <c r="B365" s="545" t="s">
        <v>748</v>
      </c>
      <c r="C365" s="546"/>
      <c r="D365" s="141">
        <v>0</v>
      </c>
      <c r="E365" s="141">
        <v>85.23</v>
      </c>
      <c r="F365" s="141">
        <v>0</v>
      </c>
      <c r="G365" s="141">
        <v>2.2999999999999998</v>
      </c>
      <c r="H365" s="141">
        <v>2</v>
      </c>
      <c r="I365" s="141">
        <f t="shared" ref="I365" si="118">G365*E365</f>
        <v>196.029</v>
      </c>
      <c r="J365" s="131" t="s">
        <v>5</v>
      </c>
      <c r="K365" s="141">
        <f t="shared" ref="K365" si="119">(I365*H365)-D365</f>
        <v>392.05799999999999</v>
      </c>
      <c r="L365" s="126"/>
      <c r="M365" s="127"/>
      <c r="N365" s="127"/>
      <c r="O365" s="127"/>
      <c r="P365" s="127"/>
      <c r="Q365" s="128"/>
    </row>
    <row r="366" spans="1:17" ht="18.75" customHeight="1" x14ac:dyDescent="0.15">
      <c r="A366" s="146"/>
      <c r="B366" s="545" t="s">
        <v>748</v>
      </c>
      <c r="C366" s="546"/>
      <c r="D366" s="141">
        <f>0.25*29*2</f>
        <v>14.5</v>
      </c>
      <c r="E366" s="141">
        <v>85.23</v>
      </c>
      <c r="F366" s="141">
        <v>0</v>
      </c>
      <c r="G366" s="141">
        <v>0.13</v>
      </c>
      <c r="H366" s="141">
        <v>2</v>
      </c>
      <c r="I366" s="141">
        <f>E366*G366</f>
        <v>11.0799</v>
      </c>
      <c r="J366" s="131" t="s">
        <v>5</v>
      </c>
      <c r="K366" s="141">
        <f t="shared" ref="K366:K367" si="120">I366*H366</f>
        <v>22.159800000000001</v>
      </c>
      <c r="L366" s="126"/>
      <c r="M366" s="127"/>
      <c r="N366" s="127"/>
      <c r="O366" s="127"/>
      <c r="P366" s="127"/>
      <c r="Q366" s="128"/>
    </row>
    <row r="367" spans="1:17" ht="18.75" customHeight="1" x14ac:dyDescent="0.15">
      <c r="A367" s="146"/>
      <c r="B367" s="545" t="s">
        <v>748</v>
      </c>
      <c r="C367" s="546"/>
      <c r="D367" s="141">
        <v>0</v>
      </c>
      <c r="E367" s="141">
        <v>2</v>
      </c>
      <c r="F367" s="141">
        <v>0</v>
      </c>
      <c r="G367" s="141">
        <v>0.13</v>
      </c>
      <c r="H367" s="141">
        <v>60</v>
      </c>
      <c r="I367" s="141">
        <f>E367*G367</f>
        <v>0.26</v>
      </c>
      <c r="J367" s="131" t="s">
        <v>5</v>
      </c>
      <c r="K367" s="141">
        <f t="shared" si="120"/>
        <v>15.600000000000001</v>
      </c>
      <c r="L367" s="126"/>
      <c r="M367" s="127"/>
      <c r="N367" s="127"/>
      <c r="O367" s="127"/>
      <c r="P367" s="127"/>
      <c r="Q367" s="128"/>
    </row>
    <row r="368" spans="1:17" ht="14" x14ac:dyDescent="0.15">
      <c r="A368" s="547" t="s">
        <v>149</v>
      </c>
      <c r="B368" s="548"/>
      <c r="C368" s="548"/>
      <c r="D368" s="548"/>
      <c r="E368" s="548"/>
      <c r="F368" s="548"/>
      <c r="G368" s="548"/>
      <c r="H368" s="548"/>
      <c r="I368" s="548"/>
      <c r="J368" s="549"/>
      <c r="K368" s="313">
        <f>SUM(K365:K367)</f>
        <v>429.81780000000003</v>
      </c>
      <c r="L368" s="132"/>
      <c r="M368" s="133"/>
      <c r="N368" s="133"/>
      <c r="O368" s="133"/>
      <c r="P368" s="133"/>
      <c r="Q368" s="134"/>
    </row>
    <row r="369" spans="1:17" x14ac:dyDescent="0.15">
      <c r="A369" s="550"/>
      <c r="B369" s="551"/>
      <c r="C369" s="551"/>
      <c r="D369" s="551"/>
      <c r="E369" s="551"/>
      <c r="F369" s="551"/>
      <c r="G369" s="551"/>
      <c r="H369" s="551"/>
      <c r="I369" s="551"/>
      <c r="J369" s="551"/>
      <c r="K369" s="551"/>
      <c r="L369" s="551"/>
      <c r="M369" s="551"/>
      <c r="N369" s="551"/>
      <c r="O369" s="551"/>
      <c r="P369" s="551"/>
      <c r="Q369" s="552"/>
    </row>
    <row r="370" spans="1:17" s="120" customFormat="1" ht="18" customHeight="1" x14ac:dyDescent="0.15">
      <c r="A370" s="396" t="s">
        <v>0</v>
      </c>
      <c r="B370" s="554" t="s">
        <v>799</v>
      </c>
      <c r="C370" s="555"/>
      <c r="D370" s="555"/>
      <c r="E370" s="555"/>
      <c r="F370" s="555"/>
      <c r="G370" s="555"/>
      <c r="H370" s="555"/>
      <c r="I370" s="555"/>
      <c r="J370" s="555"/>
      <c r="K370" s="555"/>
      <c r="L370" s="555"/>
      <c r="M370" s="555"/>
      <c r="N370" s="555"/>
      <c r="O370" s="394" t="s">
        <v>73</v>
      </c>
      <c r="P370" s="547" t="s">
        <v>5</v>
      </c>
      <c r="Q370" s="549"/>
    </row>
    <row r="371" spans="1:17" x14ac:dyDescent="0.15">
      <c r="A371" s="550"/>
      <c r="B371" s="551"/>
      <c r="C371" s="551"/>
      <c r="D371" s="551"/>
      <c r="E371" s="551"/>
      <c r="F371" s="551"/>
      <c r="G371" s="551"/>
      <c r="H371" s="551"/>
      <c r="I371" s="551"/>
      <c r="J371" s="551"/>
      <c r="K371" s="551"/>
      <c r="L371" s="551"/>
      <c r="M371" s="551"/>
      <c r="N371" s="551"/>
      <c r="O371" s="551"/>
      <c r="P371" s="551"/>
      <c r="Q371" s="552"/>
    </row>
    <row r="372" spans="1:17" s="125" customFormat="1" x14ac:dyDescent="0.15">
      <c r="A372" s="553" t="s">
        <v>150</v>
      </c>
      <c r="B372" s="540" t="s">
        <v>151</v>
      </c>
      <c r="C372" s="540"/>
      <c r="D372" s="558" t="s">
        <v>262</v>
      </c>
      <c r="E372" s="540" t="s">
        <v>152</v>
      </c>
      <c r="F372" s="540"/>
      <c r="G372" s="540"/>
      <c r="H372" s="541" t="s">
        <v>153</v>
      </c>
      <c r="I372" s="541" t="s">
        <v>159</v>
      </c>
      <c r="J372" s="543" t="s">
        <v>73</v>
      </c>
      <c r="K372" s="394" t="s">
        <v>154</v>
      </c>
      <c r="L372" s="122"/>
      <c r="M372" s="123"/>
      <c r="N372" s="123"/>
      <c r="O372" s="123"/>
      <c r="P372" s="123"/>
      <c r="Q372" s="124"/>
    </row>
    <row r="373" spans="1:17" s="129" customFormat="1" x14ac:dyDescent="0.15">
      <c r="A373" s="553"/>
      <c r="B373" s="540"/>
      <c r="C373" s="540"/>
      <c r="D373" s="559"/>
      <c r="E373" s="393" t="s">
        <v>155</v>
      </c>
      <c r="F373" s="393" t="s">
        <v>156</v>
      </c>
      <c r="G373" s="393" t="s">
        <v>157</v>
      </c>
      <c r="H373" s="542"/>
      <c r="I373" s="542"/>
      <c r="J373" s="544"/>
      <c r="K373" s="394" t="s">
        <v>158</v>
      </c>
      <c r="L373" s="126"/>
      <c r="M373" s="127"/>
      <c r="N373" s="127"/>
      <c r="O373" s="127"/>
      <c r="P373" s="127"/>
      <c r="Q373" s="128"/>
    </row>
    <row r="374" spans="1:17" ht="18.75" customHeight="1" x14ac:dyDescent="0.15">
      <c r="A374" s="146"/>
      <c r="B374" s="545" t="s">
        <v>790</v>
      </c>
      <c r="C374" s="546"/>
      <c r="D374" s="141">
        <v>2.35</v>
      </c>
      <c r="E374" s="141">
        <v>0</v>
      </c>
      <c r="F374" s="141">
        <v>0</v>
      </c>
      <c r="G374" s="141">
        <v>0</v>
      </c>
      <c r="H374" s="141">
        <v>1</v>
      </c>
      <c r="I374" s="141">
        <f t="shared" ref="I374:I382" si="121">D374</f>
        <v>2.35</v>
      </c>
      <c r="J374" s="131" t="s">
        <v>5</v>
      </c>
      <c r="K374" s="141">
        <f t="shared" ref="K374:K382" si="122">I374*H374</f>
        <v>2.35</v>
      </c>
      <c r="L374" s="126"/>
      <c r="M374" s="127"/>
      <c r="N374" s="127"/>
      <c r="O374" s="127"/>
      <c r="P374" s="127"/>
      <c r="Q374" s="128"/>
    </row>
    <row r="375" spans="1:17" ht="18.75" customHeight="1" x14ac:dyDescent="0.15">
      <c r="A375" s="146"/>
      <c r="B375" s="545" t="s">
        <v>791</v>
      </c>
      <c r="C375" s="546"/>
      <c r="D375" s="141">
        <v>2.35</v>
      </c>
      <c r="E375" s="141">
        <v>0</v>
      </c>
      <c r="F375" s="141">
        <v>0</v>
      </c>
      <c r="G375" s="141">
        <v>0</v>
      </c>
      <c r="H375" s="141">
        <v>1</v>
      </c>
      <c r="I375" s="141">
        <f t="shared" si="121"/>
        <v>2.35</v>
      </c>
      <c r="J375" s="131" t="s">
        <v>5</v>
      </c>
      <c r="K375" s="141">
        <f t="shared" si="122"/>
        <v>2.35</v>
      </c>
      <c r="L375" s="126"/>
      <c r="M375" s="127"/>
      <c r="N375" s="127"/>
      <c r="O375" s="127"/>
      <c r="P375" s="127"/>
      <c r="Q375" s="128"/>
    </row>
    <row r="376" spans="1:17" ht="18.75" customHeight="1" x14ac:dyDescent="0.15">
      <c r="A376" s="146"/>
      <c r="B376" s="545" t="s">
        <v>792</v>
      </c>
      <c r="C376" s="546"/>
      <c r="D376" s="141">
        <v>2.65</v>
      </c>
      <c r="E376" s="141">
        <v>0</v>
      </c>
      <c r="F376" s="141">
        <v>0</v>
      </c>
      <c r="G376" s="141">
        <v>0</v>
      </c>
      <c r="H376" s="141">
        <v>1</v>
      </c>
      <c r="I376" s="141">
        <f t="shared" si="121"/>
        <v>2.65</v>
      </c>
      <c r="J376" s="131" t="s">
        <v>5</v>
      </c>
      <c r="K376" s="141">
        <f t="shared" si="122"/>
        <v>2.65</v>
      </c>
      <c r="L376" s="126"/>
      <c r="M376" s="127"/>
      <c r="N376" s="127"/>
      <c r="O376" s="127"/>
      <c r="P376" s="127"/>
      <c r="Q376" s="128"/>
    </row>
    <row r="377" spans="1:17" ht="18.75" customHeight="1" x14ac:dyDescent="0.15">
      <c r="A377" s="146"/>
      <c r="B377" s="545" t="s">
        <v>793</v>
      </c>
      <c r="C377" s="546"/>
      <c r="D377" s="141">
        <v>2.65</v>
      </c>
      <c r="E377" s="141">
        <v>0</v>
      </c>
      <c r="F377" s="141">
        <v>0</v>
      </c>
      <c r="G377" s="141">
        <v>0</v>
      </c>
      <c r="H377" s="141">
        <v>1</v>
      </c>
      <c r="I377" s="141">
        <f t="shared" si="121"/>
        <v>2.65</v>
      </c>
      <c r="J377" s="131" t="s">
        <v>5</v>
      </c>
      <c r="K377" s="141">
        <f t="shared" si="122"/>
        <v>2.65</v>
      </c>
      <c r="L377" s="126"/>
      <c r="M377" s="127"/>
      <c r="N377" s="127"/>
      <c r="O377" s="127"/>
      <c r="P377" s="127"/>
      <c r="Q377" s="128"/>
    </row>
    <row r="378" spans="1:17" ht="18.75" customHeight="1" x14ac:dyDescent="0.15">
      <c r="A378" s="146"/>
      <c r="B378" s="545" t="s">
        <v>972</v>
      </c>
      <c r="C378" s="546"/>
      <c r="D378" s="141">
        <v>1.71</v>
      </c>
      <c r="E378" s="141">
        <v>0</v>
      </c>
      <c r="F378" s="141">
        <v>0</v>
      </c>
      <c r="G378" s="141">
        <v>0</v>
      </c>
      <c r="H378" s="141">
        <v>1</v>
      </c>
      <c r="I378" s="141">
        <f t="shared" si="121"/>
        <v>1.71</v>
      </c>
      <c r="J378" s="131" t="s">
        <v>5</v>
      </c>
      <c r="K378" s="141">
        <f t="shared" si="122"/>
        <v>1.71</v>
      </c>
      <c r="L378" s="126"/>
      <c r="M378" s="127"/>
      <c r="N378" s="127"/>
      <c r="O378" s="127"/>
      <c r="P378" s="127"/>
      <c r="Q378" s="128"/>
    </row>
    <row r="379" spans="1:17" ht="18.75" customHeight="1" x14ac:dyDescent="0.15">
      <c r="A379" s="146"/>
      <c r="B379" s="545" t="s">
        <v>973</v>
      </c>
      <c r="C379" s="546"/>
      <c r="D379" s="141">
        <v>1.71</v>
      </c>
      <c r="E379" s="141">
        <v>0</v>
      </c>
      <c r="F379" s="141">
        <v>0</v>
      </c>
      <c r="G379" s="141">
        <v>0</v>
      </c>
      <c r="H379" s="141">
        <v>1</v>
      </c>
      <c r="I379" s="141">
        <f t="shared" si="121"/>
        <v>1.71</v>
      </c>
      <c r="J379" s="131" t="s">
        <v>5</v>
      </c>
      <c r="K379" s="141">
        <f t="shared" si="122"/>
        <v>1.71</v>
      </c>
      <c r="L379" s="126"/>
      <c r="M379" s="127"/>
      <c r="N379" s="127"/>
      <c r="O379" s="127"/>
      <c r="P379" s="127"/>
      <c r="Q379" s="128"/>
    </row>
    <row r="380" spans="1:17" ht="18.75" customHeight="1" x14ac:dyDescent="0.15">
      <c r="A380" s="146"/>
      <c r="B380" s="545" t="s">
        <v>974</v>
      </c>
      <c r="C380" s="546"/>
      <c r="D380" s="141">
        <v>2.35</v>
      </c>
      <c r="E380" s="141">
        <v>0</v>
      </c>
      <c r="F380" s="141">
        <v>0</v>
      </c>
      <c r="G380" s="141">
        <v>0</v>
      </c>
      <c r="H380" s="141">
        <v>1</v>
      </c>
      <c r="I380" s="141">
        <f t="shared" si="121"/>
        <v>2.35</v>
      </c>
      <c r="J380" s="131" t="s">
        <v>5</v>
      </c>
      <c r="K380" s="141">
        <f t="shared" si="122"/>
        <v>2.35</v>
      </c>
      <c r="L380" s="126"/>
      <c r="M380" s="127"/>
      <c r="N380" s="127"/>
      <c r="O380" s="127"/>
      <c r="P380" s="127"/>
      <c r="Q380" s="128"/>
    </row>
    <row r="381" spans="1:17" ht="18.75" customHeight="1" x14ac:dyDescent="0.15">
      <c r="A381" s="146"/>
      <c r="B381" s="545" t="s">
        <v>975</v>
      </c>
      <c r="C381" s="546"/>
      <c r="D381" s="141">
        <v>2.35</v>
      </c>
      <c r="E381" s="141">
        <v>0</v>
      </c>
      <c r="F381" s="141">
        <v>0</v>
      </c>
      <c r="G381" s="141">
        <v>0</v>
      </c>
      <c r="H381" s="141">
        <v>1</v>
      </c>
      <c r="I381" s="141">
        <f t="shared" si="121"/>
        <v>2.35</v>
      </c>
      <c r="J381" s="131" t="s">
        <v>5</v>
      </c>
      <c r="K381" s="141">
        <f t="shared" si="122"/>
        <v>2.35</v>
      </c>
      <c r="L381" s="126"/>
      <c r="M381" s="127"/>
      <c r="N381" s="127"/>
      <c r="O381" s="127"/>
      <c r="P381" s="127"/>
      <c r="Q381" s="128"/>
    </row>
    <row r="382" spans="1:17" ht="18.75" customHeight="1" x14ac:dyDescent="0.15">
      <c r="A382" s="146"/>
      <c r="B382" s="545" t="s">
        <v>976</v>
      </c>
      <c r="C382" s="546"/>
      <c r="D382" s="141">
        <v>1.97</v>
      </c>
      <c r="E382" s="141">
        <v>0</v>
      </c>
      <c r="F382" s="141">
        <v>0</v>
      </c>
      <c r="G382" s="141">
        <v>0</v>
      </c>
      <c r="H382" s="141">
        <v>1</v>
      </c>
      <c r="I382" s="141">
        <f t="shared" si="121"/>
        <v>1.97</v>
      </c>
      <c r="J382" s="131" t="s">
        <v>5</v>
      </c>
      <c r="K382" s="141">
        <f t="shared" si="122"/>
        <v>1.97</v>
      </c>
      <c r="L382" s="126"/>
      <c r="M382" s="127"/>
      <c r="N382" s="127"/>
      <c r="O382" s="127"/>
      <c r="P382" s="127"/>
      <c r="Q382" s="128"/>
    </row>
    <row r="383" spans="1:17" ht="14" x14ac:dyDescent="0.15">
      <c r="A383" s="547" t="s">
        <v>149</v>
      </c>
      <c r="B383" s="548"/>
      <c r="C383" s="548"/>
      <c r="D383" s="548"/>
      <c r="E383" s="548"/>
      <c r="F383" s="548"/>
      <c r="G383" s="548"/>
      <c r="H383" s="548"/>
      <c r="I383" s="548"/>
      <c r="J383" s="549"/>
      <c r="K383" s="313">
        <f>SUM(K374:K382)</f>
        <v>20.09</v>
      </c>
      <c r="L383" s="132"/>
      <c r="M383" s="133"/>
      <c r="N383" s="133"/>
      <c r="O383" s="133"/>
      <c r="P383" s="133"/>
      <c r="Q383" s="134"/>
    </row>
    <row r="384" spans="1:17" x14ac:dyDescent="0.15">
      <c r="A384" s="550"/>
      <c r="B384" s="551"/>
      <c r="C384" s="551"/>
      <c r="D384" s="551"/>
      <c r="E384" s="551"/>
      <c r="F384" s="551"/>
      <c r="G384" s="551"/>
      <c r="H384" s="551"/>
      <c r="I384" s="551"/>
      <c r="J384" s="551"/>
      <c r="K384" s="551"/>
      <c r="L384" s="551"/>
      <c r="M384" s="551"/>
      <c r="N384" s="551"/>
      <c r="O384" s="551"/>
      <c r="P384" s="551"/>
      <c r="Q384" s="552"/>
    </row>
    <row r="385" spans="1:17" s="120" customFormat="1" ht="18" customHeight="1" x14ac:dyDescent="0.15">
      <c r="A385" s="396" t="s">
        <v>0</v>
      </c>
      <c r="B385" s="554" t="s">
        <v>800</v>
      </c>
      <c r="C385" s="555"/>
      <c r="D385" s="555"/>
      <c r="E385" s="555"/>
      <c r="F385" s="555"/>
      <c r="G385" s="555"/>
      <c r="H385" s="555"/>
      <c r="I385" s="555"/>
      <c r="J385" s="555"/>
      <c r="K385" s="555"/>
      <c r="L385" s="555"/>
      <c r="M385" s="555"/>
      <c r="N385" s="555"/>
      <c r="O385" s="394" t="s">
        <v>73</v>
      </c>
      <c r="P385" s="547" t="s">
        <v>5</v>
      </c>
      <c r="Q385" s="549"/>
    </row>
    <row r="386" spans="1:17" x14ac:dyDescent="0.15">
      <c r="A386" s="550"/>
      <c r="B386" s="551"/>
      <c r="C386" s="551"/>
      <c r="D386" s="551"/>
      <c r="E386" s="551"/>
      <c r="F386" s="551"/>
      <c r="G386" s="551"/>
      <c r="H386" s="551"/>
      <c r="I386" s="551"/>
      <c r="J386" s="551"/>
      <c r="K386" s="551"/>
      <c r="L386" s="551"/>
      <c r="M386" s="551"/>
      <c r="N386" s="551"/>
      <c r="O386" s="551"/>
      <c r="P386" s="551"/>
      <c r="Q386" s="552"/>
    </row>
    <row r="387" spans="1:17" s="125" customFormat="1" x14ac:dyDescent="0.15">
      <c r="A387" s="553" t="s">
        <v>150</v>
      </c>
      <c r="B387" s="540" t="s">
        <v>151</v>
      </c>
      <c r="C387" s="540"/>
      <c r="D387" s="558" t="s">
        <v>262</v>
      </c>
      <c r="E387" s="540" t="s">
        <v>152</v>
      </c>
      <c r="F387" s="540"/>
      <c r="G387" s="540"/>
      <c r="H387" s="541" t="s">
        <v>153</v>
      </c>
      <c r="I387" s="541" t="s">
        <v>159</v>
      </c>
      <c r="J387" s="543" t="s">
        <v>73</v>
      </c>
      <c r="K387" s="394" t="s">
        <v>154</v>
      </c>
      <c r="L387" s="122"/>
      <c r="M387" s="123"/>
      <c r="N387" s="123"/>
      <c r="O387" s="123"/>
      <c r="P387" s="123"/>
      <c r="Q387" s="124"/>
    </row>
    <row r="388" spans="1:17" s="129" customFormat="1" x14ac:dyDescent="0.15">
      <c r="A388" s="553"/>
      <c r="B388" s="540"/>
      <c r="C388" s="540"/>
      <c r="D388" s="559"/>
      <c r="E388" s="393" t="s">
        <v>155</v>
      </c>
      <c r="F388" s="393" t="s">
        <v>156</v>
      </c>
      <c r="G388" s="393" t="s">
        <v>157</v>
      </c>
      <c r="H388" s="542"/>
      <c r="I388" s="542"/>
      <c r="J388" s="544"/>
      <c r="K388" s="394" t="s">
        <v>158</v>
      </c>
      <c r="L388" s="126"/>
      <c r="M388" s="127"/>
      <c r="N388" s="127"/>
      <c r="O388" s="127"/>
      <c r="P388" s="127"/>
      <c r="Q388" s="128"/>
    </row>
    <row r="389" spans="1:17" ht="18.75" customHeight="1" x14ac:dyDescent="0.15">
      <c r="A389" s="146"/>
      <c r="B389" s="545" t="s">
        <v>790</v>
      </c>
      <c r="C389" s="546"/>
      <c r="D389" s="141">
        <v>0</v>
      </c>
      <c r="E389" s="141">
        <v>5.89</v>
      </c>
      <c r="F389" s="141">
        <v>0</v>
      </c>
      <c r="G389" s="141">
        <v>2.2000000000000002</v>
      </c>
      <c r="H389" s="141">
        <v>1</v>
      </c>
      <c r="I389" s="141">
        <f>E389*G389</f>
        <v>12.958</v>
      </c>
      <c r="J389" s="131" t="s">
        <v>5</v>
      </c>
      <c r="K389" s="141">
        <f t="shared" ref="K389:K397" si="123">I389*H389</f>
        <v>12.958</v>
      </c>
      <c r="L389" s="126"/>
      <c r="M389" s="127"/>
      <c r="N389" s="127"/>
      <c r="O389" s="127"/>
      <c r="P389" s="127"/>
      <c r="Q389" s="128"/>
    </row>
    <row r="390" spans="1:17" ht="18.75" customHeight="1" x14ac:dyDescent="0.15">
      <c r="A390" s="146"/>
      <c r="B390" s="545" t="s">
        <v>791</v>
      </c>
      <c r="C390" s="546"/>
      <c r="D390" s="141">
        <v>0</v>
      </c>
      <c r="E390" s="141">
        <v>5.89</v>
      </c>
      <c r="F390" s="141">
        <v>0</v>
      </c>
      <c r="G390" s="141">
        <v>2.2000000000000002</v>
      </c>
      <c r="H390" s="141">
        <v>1</v>
      </c>
      <c r="I390" s="141">
        <f t="shared" ref="I390:I393" si="124">E390*G390</f>
        <v>12.958</v>
      </c>
      <c r="J390" s="131" t="s">
        <v>5</v>
      </c>
      <c r="K390" s="141">
        <f t="shared" si="123"/>
        <v>12.958</v>
      </c>
      <c r="L390" s="126"/>
      <c r="M390" s="127"/>
      <c r="N390" s="127"/>
      <c r="O390" s="127"/>
      <c r="P390" s="127"/>
      <c r="Q390" s="128"/>
    </row>
    <row r="391" spans="1:17" ht="18.75" customHeight="1" x14ac:dyDescent="0.15">
      <c r="A391" s="146"/>
      <c r="B391" s="545" t="s">
        <v>792</v>
      </c>
      <c r="C391" s="546"/>
      <c r="D391" s="141">
        <v>0</v>
      </c>
      <c r="E391" s="141">
        <v>6.12</v>
      </c>
      <c r="F391" s="141">
        <v>0</v>
      </c>
      <c r="G391" s="141">
        <v>2.2000000000000002</v>
      </c>
      <c r="H391" s="141">
        <v>1</v>
      </c>
      <c r="I391" s="141">
        <f t="shared" si="124"/>
        <v>13.464000000000002</v>
      </c>
      <c r="J391" s="131" t="s">
        <v>5</v>
      </c>
      <c r="K391" s="141">
        <f t="shared" si="123"/>
        <v>13.464000000000002</v>
      </c>
      <c r="L391" s="126"/>
      <c r="M391" s="127"/>
      <c r="N391" s="127"/>
      <c r="O391" s="127"/>
      <c r="P391" s="127"/>
      <c r="Q391" s="128"/>
    </row>
    <row r="392" spans="1:17" ht="18.75" customHeight="1" x14ac:dyDescent="0.15">
      <c r="A392" s="146"/>
      <c r="B392" s="545" t="s">
        <v>793</v>
      </c>
      <c r="C392" s="546"/>
      <c r="D392" s="141">
        <v>0</v>
      </c>
      <c r="E392" s="141">
        <v>6.12</v>
      </c>
      <c r="F392" s="141">
        <v>0</v>
      </c>
      <c r="G392" s="141">
        <v>2.2000000000000002</v>
      </c>
      <c r="H392" s="141">
        <v>1</v>
      </c>
      <c r="I392" s="141">
        <f t="shared" si="124"/>
        <v>13.464000000000002</v>
      </c>
      <c r="J392" s="131" t="s">
        <v>5</v>
      </c>
      <c r="K392" s="141">
        <f t="shared" si="123"/>
        <v>13.464000000000002</v>
      </c>
      <c r="L392" s="126"/>
      <c r="M392" s="127"/>
      <c r="N392" s="127"/>
      <c r="O392" s="127"/>
      <c r="P392" s="127"/>
      <c r="Q392" s="128"/>
    </row>
    <row r="393" spans="1:17" ht="18.75" customHeight="1" x14ac:dyDescent="0.15">
      <c r="A393" s="146"/>
      <c r="B393" s="545" t="s">
        <v>972</v>
      </c>
      <c r="C393" s="546"/>
      <c r="D393" s="141">
        <v>0</v>
      </c>
      <c r="E393" s="141">
        <v>4.75</v>
      </c>
      <c r="F393" s="141">
        <v>0</v>
      </c>
      <c r="G393" s="141">
        <v>2.2000000000000002</v>
      </c>
      <c r="H393" s="141">
        <v>1</v>
      </c>
      <c r="I393" s="141">
        <f t="shared" si="124"/>
        <v>10.450000000000001</v>
      </c>
      <c r="J393" s="131" t="s">
        <v>5</v>
      </c>
      <c r="K393" s="141">
        <f t="shared" si="123"/>
        <v>10.450000000000001</v>
      </c>
      <c r="L393" s="126"/>
      <c r="M393" s="127"/>
      <c r="N393" s="127"/>
      <c r="O393" s="127"/>
      <c r="P393" s="127"/>
      <c r="Q393" s="128"/>
    </row>
    <row r="394" spans="1:17" ht="18.75" customHeight="1" x14ac:dyDescent="0.15">
      <c r="A394" s="146"/>
      <c r="B394" s="545" t="s">
        <v>973</v>
      </c>
      <c r="C394" s="546"/>
      <c r="D394" s="141">
        <v>0</v>
      </c>
      <c r="E394" s="141">
        <v>4.75</v>
      </c>
      <c r="F394" s="141">
        <v>0</v>
      </c>
      <c r="G394" s="141">
        <v>2.2000000000000002</v>
      </c>
      <c r="H394" s="141">
        <v>1</v>
      </c>
      <c r="I394" s="141">
        <f t="shared" ref="I394:I395" si="125">E394*G394</f>
        <v>10.450000000000001</v>
      </c>
      <c r="J394" s="131" t="s">
        <v>5</v>
      </c>
      <c r="K394" s="141">
        <f t="shared" si="123"/>
        <v>10.450000000000001</v>
      </c>
      <c r="L394" s="126"/>
      <c r="M394" s="127"/>
      <c r="N394" s="127"/>
      <c r="O394" s="127"/>
      <c r="P394" s="127"/>
      <c r="Q394" s="128"/>
    </row>
    <row r="395" spans="1:17" ht="18.75" customHeight="1" x14ac:dyDescent="0.15">
      <c r="A395" s="146"/>
      <c r="B395" s="545" t="s">
        <v>974</v>
      </c>
      <c r="C395" s="546"/>
      <c r="D395" s="141">
        <v>0</v>
      </c>
      <c r="E395" s="141">
        <v>5.89</v>
      </c>
      <c r="F395" s="141">
        <v>0</v>
      </c>
      <c r="G395" s="141">
        <v>2.2000000000000002</v>
      </c>
      <c r="H395" s="141">
        <v>1</v>
      </c>
      <c r="I395" s="141">
        <f t="shared" si="125"/>
        <v>12.958</v>
      </c>
      <c r="J395" s="131" t="s">
        <v>5</v>
      </c>
      <c r="K395" s="141">
        <f t="shared" si="123"/>
        <v>12.958</v>
      </c>
      <c r="L395" s="126"/>
      <c r="M395" s="127"/>
      <c r="N395" s="127"/>
      <c r="O395" s="127"/>
      <c r="P395" s="127"/>
      <c r="Q395" s="128"/>
    </row>
    <row r="396" spans="1:17" ht="18.75" customHeight="1" x14ac:dyDescent="0.15">
      <c r="A396" s="146"/>
      <c r="B396" s="545" t="s">
        <v>975</v>
      </c>
      <c r="C396" s="546"/>
      <c r="D396" s="141">
        <v>0</v>
      </c>
      <c r="E396" s="141">
        <v>5.89</v>
      </c>
      <c r="F396" s="141">
        <v>0</v>
      </c>
      <c r="G396" s="141">
        <v>2.2000000000000002</v>
      </c>
      <c r="H396" s="141">
        <v>1</v>
      </c>
      <c r="I396" s="141">
        <f t="shared" ref="I396:I397" si="126">E396*G396</f>
        <v>12.958</v>
      </c>
      <c r="J396" s="131" t="s">
        <v>5</v>
      </c>
      <c r="K396" s="141">
        <f t="shared" si="123"/>
        <v>12.958</v>
      </c>
      <c r="L396" s="126"/>
      <c r="M396" s="127"/>
      <c r="N396" s="127"/>
      <c r="O396" s="127"/>
      <c r="P396" s="127"/>
      <c r="Q396" s="128"/>
    </row>
    <row r="397" spans="1:17" ht="18.75" customHeight="1" x14ac:dyDescent="0.15">
      <c r="A397" s="146"/>
      <c r="B397" s="545" t="s">
        <v>976</v>
      </c>
      <c r="C397" s="546"/>
      <c r="D397" s="141">
        <v>0</v>
      </c>
      <c r="E397" s="141">
        <v>5.17</v>
      </c>
      <c r="F397" s="141">
        <v>0</v>
      </c>
      <c r="G397" s="141">
        <v>2.2000000000000002</v>
      </c>
      <c r="H397" s="141">
        <v>1</v>
      </c>
      <c r="I397" s="141">
        <f t="shared" si="126"/>
        <v>11.374000000000001</v>
      </c>
      <c r="J397" s="131" t="s">
        <v>5</v>
      </c>
      <c r="K397" s="141">
        <f t="shared" si="123"/>
        <v>11.374000000000001</v>
      </c>
      <c r="L397" s="126"/>
      <c r="M397" s="127"/>
      <c r="N397" s="127"/>
      <c r="O397" s="127"/>
      <c r="P397" s="127"/>
      <c r="Q397" s="128"/>
    </row>
    <row r="398" spans="1:17" ht="14" x14ac:dyDescent="0.15">
      <c r="A398" s="547" t="s">
        <v>149</v>
      </c>
      <c r="B398" s="548"/>
      <c r="C398" s="548"/>
      <c r="D398" s="548"/>
      <c r="E398" s="548"/>
      <c r="F398" s="548"/>
      <c r="G398" s="548"/>
      <c r="H398" s="548"/>
      <c r="I398" s="548"/>
      <c r="J398" s="549"/>
      <c r="K398" s="313">
        <f>SUM(K389:K397)</f>
        <v>111.03400000000001</v>
      </c>
      <c r="L398" s="132"/>
      <c r="M398" s="133"/>
      <c r="N398" s="133"/>
      <c r="O398" s="133"/>
      <c r="P398" s="133"/>
      <c r="Q398" s="134"/>
    </row>
    <row r="399" spans="1:17" x14ac:dyDescent="0.15">
      <c r="A399" s="550"/>
      <c r="B399" s="551"/>
      <c r="C399" s="551"/>
      <c r="D399" s="551"/>
      <c r="E399" s="551"/>
      <c r="F399" s="551"/>
      <c r="G399" s="551"/>
      <c r="H399" s="551"/>
      <c r="I399" s="551"/>
      <c r="J399" s="551"/>
      <c r="K399" s="551"/>
      <c r="L399" s="551"/>
      <c r="M399" s="551"/>
      <c r="N399" s="551"/>
      <c r="O399" s="551"/>
      <c r="P399" s="551"/>
      <c r="Q399" s="552"/>
    </row>
    <row r="400" spans="1:17" s="120" customFormat="1" ht="18" customHeight="1" x14ac:dyDescent="0.15">
      <c r="A400" s="396" t="s">
        <v>0</v>
      </c>
      <c r="B400" s="593" t="s">
        <v>995</v>
      </c>
      <c r="C400" s="594"/>
      <c r="D400" s="594"/>
      <c r="E400" s="594"/>
      <c r="F400" s="594"/>
      <c r="G400" s="594"/>
      <c r="H400" s="594"/>
      <c r="I400" s="594"/>
      <c r="J400" s="594"/>
      <c r="K400" s="594"/>
      <c r="L400" s="594"/>
      <c r="M400" s="594"/>
      <c r="N400" s="594"/>
      <c r="O400" s="394" t="s">
        <v>73</v>
      </c>
      <c r="P400" s="547" t="s">
        <v>316</v>
      </c>
      <c r="Q400" s="549"/>
    </row>
    <row r="401" spans="1:17" x14ac:dyDescent="0.15">
      <c r="A401" s="550"/>
      <c r="B401" s="551"/>
      <c r="C401" s="551"/>
      <c r="D401" s="551"/>
      <c r="E401" s="551"/>
      <c r="F401" s="551"/>
      <c r="G401" s="551"/>
      <c r="H401" s="551"/>
      <c r="I401" s="551"/>
      <c r="J401" s="551"/>
      <c r="K401" s="551"/>
      <c r="L401" s="551"/>
      <c r="M401" s="551"/>
      <c r="N401" s="551"/>
      <c r="O401" s="551"/>
      <c r="P401" s="551"/>
      <c r="Q401" s="552"/>
    </row>
    <row r="402" spans="1:17" s="125" customFormat="1" ht="12.75" customHeight="1" x14ac:dyDescent="0.15">
      <c r="A402" s="553" t="s">
        <v>150</v>
      </c>
      <c r="B402" s="540" t="s">
        <v>151</v>
      </c>
      <c r="C402" s="540"/>
      <c r="D402" s="541"/>
      <c r="E402" s="540" t="s">
        <v>152</v>
      </c>
      <c r="F402" s="540"/>
      <c r="G402" s="540"/>
      <c r="H402" s="541" t="s">
        <v>153</v>
      </c>
      <c r="I402" s="541" t="s">
        <v>410</v>
      </c>
      <c r="J402" s="543" t="s">
        <v>73</v>
      </c>
      <c r="K402" s="394" t="s">
        <v>154</v>
      </c>
      <c r="L402" s="122"/>
      <c r="M402" s="123"/>
      <c r="N402" s="123"/>
      <c r="O402" s="123"/>
      <c r="P402" s="123"/>
      <c r="Q402" s="124"/>
    </row>
    <row r="403" spans="1:17" s="129" customFormat="1" x14ac:dyDescent="0.15">
      <c r="A403" s="553"/>
      <c r="B403" s="540"/>
      <c r="C403" s="540"/>
      <c r="D403" s="542"/>
      <c r="E403" s="393" t="s">
        <v>155</v>
      </c>
      <c r="F403" s="393" t="s">
        <v>156</v>
      </c>
      <c r="G403" s="393" t="s">
        <v>157</v>
      </c>
      <c r="H403" s="542"/>
      <c r="I403" s="542"/>
      <c r="J403" s="544"/>
      <c r="K403" s="394" t="s">
        <v>158</v>
      </c>
      <c r="L403" s="126"/>
      <c r="M403" s="127"/>
      <c r="N403" s="127"/>
      <c r="O403" s="127"/>
      <c r="P403" s="127"/>
      <c r="Q403" s="128"/>
    </row>
    <row r="404" spans="1:17" ht="21" customHeight="1" x14ac:dyDescent="0.15">
      <c r="A404" s="146"/>
      <c r="B404" s="545" t="s">
        <v>735</v>
      </c>
      <c r="C404" s="546"/>
      <c r="D404" s="141"/>
      <c r="E404" s="141">
        <v>0</v>
      </c>
      <c r="F404" s="141">
        <v>0</v>
      </c>
      <c r="G404" s="141">
        <v>0</v>
      </c>
      <c r="H404" s="141">
        <v>1</v>
      </c>
      <c r="I404" s="141">
        <v>1</v>
      </c>
      <c r="J404" s="131" t="s">
        <v>316</v>
      </c>
      <c r="K404" s="141">
        <f>I404*H404</f>
        <v>1</v>
      </c>
      <c r="L404" s="126"/>
      <c r="M404" s="127"/>
      <c r="N404" s="127"/>
      <c r="O404" s="127"/>
      <c r="P404" s="127"/>
      <c r="Q404" s="128"/>
    </row>
    <row r="405" spans="1:17" ht="14" x14ac:dyDescent="0.15">
      <c r="A405" s="547" t="s">
        <v>149</v>
      </c>
      <c r="B405" s="548"/>
      <c r="C405" s="548"/>
      <c r="D405" s="548"/>
      <c r="E405" s="548"/>
      <c r="F405" s="548"/>
      <c r="G405" s="548"/>
      <c r="H405" s="548"/>
      <c r="I405" s="548"/>
      <c r="J405" s="549"/>
      <c r="K405" s="313">
        <f>SUM(K404:K404)</f>
        <v>1</v>
      </c>
      <c r="L405" s="132"/>
      <c r="M405" s="133"/>
      <c r="N405" s="133"/>
      <c r="O405" s="133"/>
      <c r="P405" s="133"/>
      <c r="Q405" s="134"/>
    </row>
    <row r="406" spans="1:17" x14ac:dyDescent="0.15">
      <c r="A406" s="550"/>
      <c r="B406" s="551"/>
      <c r="C406" s="551"/>
      <c r="D406" s="551"/>
      <c r="E406" s="551"/>
      <c r="F406" s="551"/>
      <c r="G406" s="551"/>
      <c r="H406" s="551"/>
      <c r="I406" s="551"/>
      <c r="J406" s="551"/>
      <c r="K406" s="551"/>
      <c r="L406" s="551"/>
      <c r="M406" s="551"/>
      <c r="N406" s="551"/>
      <c r="O406" s="551"/>
      <c r="P406" s="551"/>
      <c r="Q406" s="552"/>
    </row>
    <row r="407" spans="1:17" s="120" customFormat="1" x14ac:dyDescent="0.15">
      <c r="A407" s="396" t="s">
        <v>0</v>
      </c>
      <c r="B407" s="562" t="s">
        <v>996</v>
      </c>
      <c r="C407" s="563"/>
      <c r="D407" s="563"/>
      <c r="E407" s="563"/>
      <c r="F407" s="563"/>
      <c r="G407" s="563"/>
      <c r="H407" s="563"/>
      <c r="I407" s="563"/>
      <c r="J407" s="563"/>
      <c r="K407" s="563"/>
      <c r="L407" s="563"/>
      <c r="M407" s="563"/>
      <c r="N407" s="563"/>
      <c r="O407" s="394" t="s">
        <v>73</v>
      </c>
      <c r="P407" s="547" t="s">
        <v>316</v>
      </c>
      <c r="Q407" s="549"/>
    </row>
    <row r="408" spans="1:17" x14ac:dyDescent="0.15">
      <c r="A408" s="550"/>
      <c r="B408" s="551"/>
      <c r="C408" s="551"/>
      <c r="D408" s="551"/>
      <c r="E408" s="551"/>
      <c r="F408" s="551"/>
      <c r="G408" s="551"/>
      <c r="H408" s="551"/>
      <c r="I408" s="551"/>
      <c r="J408" s="551"/>
      <c r="K408" s="551"/>
      <c r="L408" s="551"/>
      <c r="M408" s="551"/>
      <c r="N408" s="551"/>
      <c r="O408" s="551"/>
      <c r="P408" s="551"/>
      <c r="Q408" s="552"/>
    </row>
    <row r="409" spans="1:17" s="125" customFormat="1" x14ac:dyDescent="0.15">
      <c r="A409" s="553" t="s">
        <v>150</v>
      </c>
      <c r="B409" s="540" t="s">
        <v>151</v>
      </c>
      <c r="C409" s="540"/>
      <c r="D409" s="541"/>
      <c r="E409" s="540" t="s">
        <v>152</v>
      </c>
      <c r="F409" s="540"/>
      <c r="G409" s="540"/>
      <c r="H409" s="541" t="s">
        <v>153</v>
      </c>
      <c r="I409" s="541" t="s">
        <v>410</v>
      </c>
      <c r="J409" s="543" t="s">
        <v>73</v>
      </c>
      <c r="K409" s="394" t="s">
        <v>154</v>
      </c>
      <c r="L409" s="122"/>
      <c r="M409" s="123"/>
      <c r="N409" s="123"/>
      <c r="O409" s="123"/>
      <c r="P409" s="123"/>
      <c r="Q409" s="124"/>
    </row>
    <row r="410" spans="1:17" s="129" customFormat="1" x14ac:dyDescent="0.15">
      <c r="A410" s="553"/>
      <c r="B410" s="540"/>
      <c r="C410" s="540"/>
      <c r="D410" s="542"/>
      <c r="E410" s="393" t="s">
        <v>155</v>
      </c>
      <c r="F410" s="393" t="s">
        <v>156</v>
      </c>
      <c r="G410" s="393" t="s">
        <v>157</v>
      </c>
      <c r="H410" s="542"/>
      <c r="I410" s="542"/>
      <c r="J410" s="544"/>
      <c r="K410" s="394" t="s">
        <v>158</v>
      </c>
      <c r="L410" s="126"/>
      <c r="M410" s="127"/>
      <c r="N410" s="127"/>
      <c r="O410" s="127"/>
      <c r="P410" s="127"/>
      <c r="Q410" s="128"/>
    </row>
    <row r="411" spans="1:17" ht="14" x14ac:dyDescent="0.15">
      <c r="A411" s="146"/>
      <c r="B411" s="545" t="s">
        <v>808</v>
      </c>
      <c r="C411" s="546"/>
      <c r="D411" s="141"/>
      <c r="E411" s="141">
        <v>0</v>
      </c>
      <c r="F411" s="141">
        <v>0</v>
      </c>
      <c r="G411" s="141">
        <v>0</v>
      </c>
      <c r="H411" s="141">
        <v>9</v>
      </c>
      <c r="I411" s="141">
        <v>2</v>
      </c>
      <c r="J411" s="131" t="s">
        <v>316</v>
      </c>
      <c r="K411" s="141">
        <f>I411*H411</f>
        <v>18</v>
      </c>
      <c r="L411" s="126"/>
      <c r="M411" s="127"/>
      <c r="N411" s="127"/>
      <c r="O411" s="127"/>
      <c r="P411" s="127"/>
      <c r="Q411" s="128"/>
    </row>
    <row r="412" spans="1:17" ht="14" x14ac:dyDescent="0.15">
      <c r="A412" s="146"/>
      <c r="B412" s="545" t="s">
        <v>252</v>
      </c>
      <c r="C412" s="546"/>
      <c r="D412" s="141"/>
      <c r="E412" s="141">
        <v>0</v>
      </c>
      <c r="F412" s="141">
        <v>0</v>
      </c>
      <c r="G412" s="141">
        <v>0</v>
      </c>
      <c r="H412" s="141">
        <v>1</v>
      </c>
      <c r="I412" s="141">
        <v>1</v>
      </c>
      <c r="J412" s="131" t="s">
        <v>316</v>
      </c>
      <c r="K412" s="141">
        <f>I412*H412</f>
        <v>1</v>
      </c>
      <c r="L412" s="126"/>
      <c r="M412" s="127"/>
      <c r="N412" s="127"/>
      <c r="O412" s="127"/>
      <c r="P412" s="127"/>
      <c r="Q412" s="128"/>
    </row>
    <row r="413" spans="1:17" ht="14" x14ac:dyDescent="0.15">
      <c r="A413" s="547" t="s">
        <v>149</v>
      </c>
      <c r="B413" s="548"/>
      <c r="C413" s="548"/>
      <c r="D413" s="548"/>
      <c r="E413" s="548"/>
      <c r="F413" s="548"/>
      <c r="G413" s="548"/>
      <c r="H413" s="548"/>
      <c r="I413" s="548"/>
      <c r="J413" s="549"/>
      <c r="K413" s="313">
        <f>SUM(K411:K412)</f>
        <v>19</v>
      </c>
      <c r="L413" s="132"/>
      <c r="M413" s="133"/>
      <c r="N413" s="133"/>
      <c r="O413" s="133"/>
      <c r="P413" s="133"/>
      <c r="Q413" s="134"/>
    </row>
    <row r="414" spans="1:17" x14ac:dyDescent="0.15">
      <c r="A414" s="550"/>
      <c r="B414" s="551"/>
      <c r="C414" s="551"/>
      <c r="D414" s="551"/>
      <c r="E414" s="551"/>
      <c r="F414" s="551"/>
      <c r="G414" s="551"/>
      <c r="H414" s="551"/>
      <c r="I414" s="551"/>
      <c r="J414" s="551"/>
      <c r="K414" s="551"/>
      <c r="L414" s="551"/>
      <c r="M414" s="551"/>
      <c r="N414" s="551"/>
      <c r="O414" s="551"/>
      <c r="P414" s="551"/>
      <c r="Q414" s="552"/>
    </row>
    <row r="415" spans="1:17" s="120" customFormat="1" x14ac:dyDescent="0.15">
      <c r="A415" s="396" t="s">
        <v>0</v>
      </c>
      <c r="B415" s="562" t="s">
        <v>997</v>
      </c>
      <c r="C415" s="563"/>
      <c r="D415" s="563"/>
      <c r="E415" s="563"/>
      <c r="F415" s="563"/>
      <c r="G415" s="563"/>
      <c r="H415" s="563"/>
      <c r="I415" s="563"/>
      <c r="J415" s="563"/>
      <c r="K415" s="563"/>
      <c r="L415" s="563"/>
      <c r="M415" s="563"/>
      <c r="N415" s="563"/>
      <c r="O415" s="394" t="s">
        <v>73</v>
      </c>
      <c r="P415" s="547" t="s">
        <v>193</v>
      </c>
      <c r="Q415" s="549"/>
    </row>
    <row r="416" spans="1:17" x14ac:dyDescent="0.15">
      <c r="A416" s="550"/>
      <c r="B416" s="551"/>
      <c r="C416" s="551"/>
      <c r="D416" s="551"/>
      <c r="E416" s="551"/>
      <c r="F416" s="551"/>
      <c r="G416" s="551"/>
      <c r="H416" s="551"/>
      <c r="I416" s="551"/>
      <c r="J416" s="551"/>
      <c r="K416" s="551"/>
      <c r="L416" s="551"/>
      <c r="M416" s="551"/>
      <c r="N416" s="551"/>
      <c r="O416" s="551"/>
      <c r="P416" s="551"/>
      <c r="Q416" s="552"/>
    </row>
    <row r="417" spans="1:17" s="125" customFormat="1" x14ac:dyDescent="0.15">
      <c r="A417" s="553" t="s">
        <v>150</v>
      </c>
      <c r="B417" s="540" t="s">
        <v>151</v>
      </c>
      <c r="C417" s="540"/>
      <c r="D417" s="558" t="s">
        <v>245</v>
      </c>
      <c r="E417" s="540" t="s">
        <v>152</v>
      </c>
      <c r="F417" s="540"/>
      <c r="G417" s="540"/>
      <c r="H417" s="541" t="s">
        <v>153</v>
      </c>
      <c r="I417" s="541" t="s">
        <v>241</v>
      </c>
      <c r="J417" s="543" t="s">
        <v>73</v>
      </c>
      <c r="K417" s="394" t="s">
        <v>154</v>
      </c>
      <c r="L417" s="122"/>
      <c r="M417" s="123"/>
      <c r="N417" s="123"/>
      <c r="O417" s="123"/>
      <c r="P417" s="123"/>
      <c r="Q417" s="124"/>
    </row>
    <row r="418" spans="1:17" s="129" customFormat="1" x14ac:dyDescent="0.15">
      <c r="A418" s="553"/>
      <c r="B418" s="540"/>
      <c r="C418" s="540"/>
      <c r="D418" s="559"/>
      <c r="E418" s="393" t="s">
        <v>155</v>
      </c>
      <c r="F418" s="393" t="s">
        <v>156</v>
      </c>
      <c r="G418" s="393" t="s">
        <v>157</v>
      </c>
      <c r="H418" s="542"/>
      <c r="I418" s="542"/>
      <c r="J418" s="544"/>
      <c r="K418" s="394" t="s">
        <v>158</v>
      </c>
      <c r="L418" s="126"/>
      <c r="M418" s="127"/>
      <c r="N418" s="127"/>
      <c r="O418" s="127"/>
      <c r="P418" s="127"/>
      <c r="Q418" s="128"/>
    </row>
    <row r="419" spans="1:17" ht="14" x14ac:dyDescent="0.15">
      <c r="A419" s="146"/>
      <c r="B419" s="545" t="s">
        <v>808</v>
      </c>
      <c r="C419" s="546"/>
      <c r="D419" s="147"/>
      <c r="E419" s="141">
        <v>4</v>
      </c>
      <c r="F419" s="391">
        <v>0</v>
      </c>
      <c r="G419" s="141">
        <v>0</v>
      </c>
      <c r="H419" s="141">
        <v>9</v>
      </c>
      <c r="I419" s="141">
        <f>E419</f>
        <v>4</v>
      </c>
      <c r="J419" s="131" t="s">
        <v>7</v>
      </c>
      <c r="K419" s="141">
        <f>I419*H419</f>
        <v>36</v>
      </c>
      <c r="L419" s="126"/>
      <c r="M419" s="127"/>
      <c r="N419" s="127"/>
      <c r="O419" s="127"/>
      <c r="P419" s="127"/>
      <c r="Q419" s="128"/>
    </row>
    <row r="420" spans="1:17" ht="14" x14ac:dyDescent="0.15">
      <c r="A420" s="146"/>
      <c r="B420" s="545" t="s">
        <v>252</v>
      </c>
      <c r="C420" s="546"/>
      <c r="D420" s="147"/>
      <c r="E420" s="141">
        <v>4</v>
      </c>
      <c r="F420" s="391">
        <v>0</v>
      </c>
      <c r="G420" s="141">
        <v>0</v>
      </c>
      <c r="H420" s="141">
        <v>1</v>
      </c>
      <c r="I420" s="141">
        <f>E420</f>
        <v>4</v>
      </c>
      <c r="J420" s="131" t="s">
        <v>7</v>
      </c>
      <c r="K420" s="141">
        <f>I420*H420</f>
        <v>4</v>
      </c>
      <c r="L420" s="126"/>
      <c r="M420" s="127"/>
      <c r="N420" s="127"/>
      <c r="O420" s="127"/>
      <c r="P420" s="127"/>
      <c r="Q420" s="128"/>
    </row>
    <row r="421" spans="1:17" ht="14" x14ac:dyDescent="0.15">
      <c r="A421" s="547" t="s">
        <v>149</v>
      </c>
      <c r="B421" s="548"/>
      <c r="C421" s="548"/>
      <c r="D421" s="548"/>
      <c r="E421" s="548"/>
      <c r="F421" s="548"/>
      <c r="G421" s="548"/>
      <c r="H421" s="548"/>
      <c r="I421" s="548"/>
      <c r="J421" s="549"/>
      <c r="K421" s="313">
        <f>SUM(K419:K420)</f>
        <v>40</v>
      </c>
      <c r="L421" s="132"/>
      <c r="M421" s="133"/>
      <c r="N421" s="133"/>
      <c r="O421" s="133"/>
      <c r="P421" s="133"/>
      <c r="Q421" s="134"/>
    </row>
    <row r="422" spans="1:17" x14ac:dyDescent="0.15">
      <c r="A422" s="550"/>
      <c r="B422" s="551"/>
      <c r="C422" s="551"/>
      <c r="D422" s="551"/>
      <c r="E422" s="551"/>
      <c r="F422" s="551"/>
      <c r="G422" s="551"/>
      <c r="H422" s="551"/>
      <c r="I422" s="551"/>
      <c r="J422" s="551"/>
      <c r="K422" s="551"/>
      <c r="L422" s="551"/>
      <c r="M422" s="551"/>
      <c r="N422" s="551"/>
      <c r="O422" s="551"/>
      <c r="P422" s="551"/>
      <c r="Q422" s="552"/>
    </row>
    <row r="423" spans="1:17" s="120" customFormat="1" x14ac:dyDescent="0.15">
      <c r="A423" s="396" t="s">
        <v>0</v>
      </c>
      <c r="B423" s="562" t="s">
        <v>998</v>
      </c>
      <c r="C423" s="563"/>
      <c r="D423" s="563"/>
      <c r="E423" s="563"/>
      <c r="F423" s="563"/>
      <c r="G423" s="563"/>
      <c r="H423" s="563"/>
      <c r="I423" s="563"/>
      <c r="J423" s="563"/>
      <c r="K423" s="563"/>
      <c r="L423" s="563"/>
      <c r="M423" s="563"/>
      <c r="N423" s="563"/>
      <c r="O423" s="394" t="s">
        <v>73</v>
      </c>
      <c r="P423" s="547" t="s">
        <v>193</v>
      </c>
      <c r="Q423" s="549"/>
    </row>
    <row r="424" spans="1:17" x14ac:dyDescent="0.15">
      <c r="A424" s="550"/>
      <c r="B424" s="551"/>
      <c r="C424" s="551"/>
      <c r="D424" s="551"/>
      <c r="E424" s="551"/>
      <c r="F424" s="551"/>
      <c r="G424" s="551"/>
      <c r="H424" s="551"/>
      <c r="I424" s="551"/>
      <c r="J424" s="551"/>
      <c r="K424" s="551"/>
      <c r="L424" s="551"/>
      <c r="M424" s="551"/>
      <c r="N424" s="551"/>
      <c r="O424" s="551"/>
      <c r="P424" s="551"/>
      <c r="Q424" s="552"/>
    </row>
    <row r="425" spans="1:17" s="125" customFormat="1" x14ac:dyDescent="0.15">
      <c r="A425" s="553" t="s">
        <v>150</v>
      </c>
      <c r="B425" s="540" t="s">
        <v>151</v>
      </c>
      <c r="C425" s="540"/>
      <c r="D425" s="558" t="s">
        <v>245</v>
      </c>
      <c r="E425" s="540" t="s">
        <v>152</v>
      </c>
      <c r="F425" s="540"/>
      <c r="G425" s="540"/>
      <c r="H425" s="541" t="s">
        <v>153</v>
      </c>
      <c r="I425" s="541" t="s">
        <v>241</v>
      </c>
      <c r="J425" s="543" t="s">
        <v>73</v>
      </c>
      <c r="K425" s="394" t="s">
        <v>154</v>
      </c>
      <c r="L425" s="122"/>
      <c r="M425" s="123"/>
      <c r="N425" s="123"/>
      <c r="O425" s="123"/>
      <c r="P425" s="123"/>
      <c r="Q425" s="124"/>
    </row>
    <row r="426" spans="1:17" s="129" customFormat="1" x14ac:dyDescent="0.15">
      <c r="A426" s="553"/>
      <c r="B426" s="540"/>
      <c r="C426" s="540"/>
      <c r="D426" s="559"/>
      <c r="E426" s="393" t="s">
        <v>155</v>
      </c>
      <c r="F426" s="393" t="s">
        <v>156</v>
      </c>
      <c r="G426" s="393" t="s">
        <v>157</v>
      </c>
      <c r="H426" s="542"/>
      <c r="I426" s="542"/>
      <c r="J426" s="544"/>
      <c r="K426" s="394" t="s">
        <v>158</v>
      </c>
      <c r="L426" s="126"/>
      <c r="M426" s="127"/>
      <c r="N426" s="127"/>
      <c r="O426" s="127"/>
      <c r="P426" s="127"/>
      <c r="Q426" s="128"/>
    </row>
    <row r="427" spans="1:17" ht="14" x14ac:dyDescent="0.15">
      <c r="A427" s="146"/>
      <c r="B427" s="545" t="s">
        <v>806</v>
      </c>
      <c r="C427" s="546"/>
      <c r="D427" s="147"/>
      <c r="E427" s="141">
        <v>41</v>
      </c>
      <c r="F427" s="391">
        <v>0</v>
      </c>
      <c r="G427" s="141">
        <v>0</v>
      </c>
      <c r="H427" s="141">
        <v>1</v>
      </c>
      <c r="I427" s="141">
        <f>E427</f>
        <v>41</v>
      </c>
      <c r="J427" s="131" t="s">
        <v>7</v>
      </c>
      <c r="K427" s="141">
        <f>I427*H427</f>
        <v>41</v>
      </c>
      <c r="L427" s="126"/>
      <c r="M427" s="127"/>
      <c r="N427" s="127"/>
      <c r="O427" s="127"/>
      <c r="P427" s="127"/>
      <c r="Q427" s="128"/>
    </row>
    <row r="428" spans="1:17" ht="14" x14ac:dyDescent="0.15">
      <c r="A428" s="146"/>
      <c r="B428" s="545" t="s">
        <v>807</v>
      </c>
      <c r="C428" s="546"/>
      <c r="D428" s="147"/>
      <c r="E428" s="141">
        <v>30</v>
      </c>
      <c r="F428" s="391">
        <v>0</v>
      </c>
      <c r="G428" s="141">
        <v>0</v>
      </c>
      <c r="H428" s="141">
        <v>1</v>
      </c>
      <c r="I428" s="141">
        <f>E428</f>
        <v>30</v>
      </c>
      <c r="J428" s="131" t="s">
        <v>7</v>
      </c>
      <c r="K428" s="141">
        <f>I428*H428</f>
        <v>30</v>
      </c>
      <c r="L428" s="126"/>
      <c r="M428" s="127"/>
      <c r="N428" s="127"/>
      <c r="O428" s="127"/>
      <c r="P428" s="127"/>
      <c r="Q428" s="128"/>
    </row>
    <row r="429" spans="1:17" ht="14" x14ac:dyDescent="0.15">
      <c r="A429" s="547" t="s">
        <v>149</v>
      </c>
      <c r="B429" s="548"/>
      <c r="C429" s="548"/>
      <c r="D429" s="548"/>
      <c r="E429" s="548"/>
      <c r="F429" s="548"/>
      <c r="G429" s="548"/>
      <c r="H429" s="548"/>
      <c r="I429" s="548"/>
      <c r="J429" s="549"/>
      <c r="K429" s="313">
        <f>SUM(K427:K428)</f>
        <v>71</v>
      </c>
      <c r="L429" s="132"/>
      <c r="M429" s="133"/>
      <c r="N429" s="133"/>
      <c r="O429" s="133"/>
      <c r="P429" s="133"/>
      <c r="Q429" s="134"/>
    </row>
    <row r="430" spans="1:17" x14ac:dyDescent="0.15">
      <c r="A430" s="550"/>
      <c r="B430" s="551"/>
      <c r="C430" s="551"/>
      <c r="D430" s="551"/>
      <c r="E430" s="551"/>
      <c r="F430" s="551"/>
      <c r="G430" s="551"/>
      <c r="H430" s="551"/>
      <c r="I430" s="551"/>
      <c r="J430" s="551"/>
      <c r="K430" s="551"/>
      <c r="L430" s="551"/>
      <c r="M430" s="551"/>
      <c r="N430" s="551"/>
      <c r="O430" s="551"/>
      <c r="P430" s="551"/>
      <c r="Q430" s="552"/>
    </row>
    <row r="431" spans="1:17" s="120" customFormat="1" ht="18" customHeight="1" x14ac:dyDescent="0.15">
      <c r="A431" s="396" t="s">
        <v>0</v>
      </c>
      <c r="B431" s="593" t="s">
        <v>999</v>
      </c>
      <c r="C431" s="594"/>
      <c r="D431" s="594"/>
      <c r="E431" s="594"/>
      <c r="F431" s="594"/>
      <c r="G431" s="594"/>
      <c r="H431" s="594"/>
      <c r="I431" s="594"/>
      <c r="J431" s="594"/>
      <c r="K431" s="594"/>
      <c r="L431" s="594"/>
      <c r="M431" s="594"/>
      <c r="N431" s="594"/>
      <c r="O431" s="394" t="s">
        <v>73</v>
      </c>
      <c r="P431" s="547" t="s">
        <v>316</v>
      </c>
      <c r="Q431" s="549"/>
    </row>
    <row r="432" spans="1:17" x14ac:dyDescent="0.15">
      <c r="A432" s="550"/>
      <c r="B432" s="551"/>
      <c r="C432" s="551"/>
      <c r="D432" s="551"/>
      <c r="E432" s="551"/>
      <c r="F432" s="551"/>
      <c r="G432" s="551"/>
      <c r="H432" s="551"/>
      <c r="I432" s="551"/>
      <c r="J432" s="551"/>
      <c r="K432" s="551"/>
      <c r="L432" s="551"/>
      <c r="M432" s="551"/>
      <c r="N432" s="551"/>
      <c r="O432" s="551"/>
      <c r="P432" s="551"/>
      <c r="Q432" s="552"/>
    </row>
    <row r="433" spans="1:17" s="125" customFormat="1" ht="12.75" customHeight="1" x14ac:dyDescent="0.15">
      <c r="A433" s="553" t="s">
        <v>150</v>
      </c>
      <c r="B433" s="540" t="s">
        <v>151</v>
      </c>
      <c r="C433" s="540"/>
      <c r="D433" s="541"/>
      <c r="E433" s="540" t="s">
        <v>152</v>
      </c>
      <c r="F433" s="540"/>
      <c r="G433" s="540"/>
      <c r="H433" s="541" t="s">
        <v>153</v>
      </c>
      <c r="I433" s="541" t="s">
        <v>410</v>
      </c>
      <c r="J433" s="543" t="s">
        <v>73</v>
      </c>
      <c r="K433" s="394" t="s">
        <v>154</v>
      </c>
      <c r="L433" s="122"/>
      <c r="M433" s="123"/>
      <c r="N433" s="123"/>
      <c r="O433" s="123"/>
      <c r="P433" s="123"/>
      <c r="Q433" s="124"/>
    </row>
    <row r="434" spans="1:17" s="129" customFormat="1" x14ac:dyDescent="0.15">
      <c r="A434" s="553"/>
      <c r="B434" s="540"/>
      <c r="C434" s="540"/>
      <c r="D434" s="542"/>
      <c r="E434" s="393" t="s">
        <v>155</v>
      </c>
      <c r="F434" s="393" t="s">
        <v>156</v>
      </c>
      <c r="G434" s="393" t="s">
        <v>157</v>
      </c>
      <c r="H434" s="542"/>
      <c r="I434" s="542"/>
      <c r="J434" s="544"/>
      <c r="K434" s="394" t="s">
        <v>158</v>
      </c>
      <c r="L434" s="126"/>
      <c r="M434" s="127"/>
      <c r="N434" s="127"/>
      <c r="O434" s="127"/>
      <c r="P434" s="127"/>
      <c r="Q434" s="128"/>
    </row>
    <row r="435" spans="1:17" ht="21" customHeight="1" x14ac:dyDescent="0.15">
      <c r="A435" s="146"/>
      <c r="B435" s="545" t="s">
        <v>736</v>
      </c>
      <c r="C435" s="546"/>
      <c r="D435" s="141"/>
      <c r="E435" s="141">
        <v>0</v>
      </c>
      <c r="F435" s="141">
        <v>0</v>
      </c>
      <c r="G435" s="141">
        <v>0</v>
      </c>
      <c r="H435" s="141">
        <v>1</v>
      </c>
      <c r="I435" s="141">
        <v>1</v>
      </c>
      <c r="J435" s="131" t="s">
        <v>316</v>
      </c>
      <c r="K435" s="141">
        <f>I435*H435</f>
        <v>1</v>
      </c>
      <c r="L435" s="126"/>
      <c r="M435" s="127"/>
      <c r="N435" s="127"/>
      <c r="O435" s="127"/>
      <c r="P435" s="127"/>
      <c r="Q435" s="128"/>
    </row>
    <row r="436" spans="1:17" ht="14" x14ac:dyDescent="0.15">
      <c r="A436" s="547" t="s">
        <v>149</v>
      </c>
      <c r="B436" s="548"/>
      <c r="C436" s="548"/>
      <c r="D436" s="548"/>
      <c r="E436" s="548"/>
      <c r="F436" s="548"/>
      <c r="G436" s="548"/>
      <c r="H436" s="548"/>
      <c r="I436" s="548"/>
      <c r="J436" s="549"/>
      <c r="K436" s="313">
        <f>SUM(K435:K435)</f>
        <v>1</v>
      </c>
      <c r="L436" s="132"/>
      <c r="M436" s="133"/>
      <c r="N436" s="133"/>
      <c r="O436" s="133"/>
      <c r="P436" s="133"/>
      <c r="Q436" s="134"/>
    </row>
    <row r="437" spans="1:17" x14ac:dyDescent="0.15">
      <c r="A437" s="550"/>
      <c r="B437" s="551"/>
      <c r="C437" s="551"/>
      <c r="D437" s="551"/>
      <c r="E437" s="551"/>
      <c r="F437" s="551"/>
      <c r="G437" s="551"/>
      <c r="H437" s="551"/>
      <c r="I437" s="551"/>
      <c r="J437" s="551"/>
      <c r="K437" s="551"/>
      <c r="L437" s="551"/>
      <c r="M437" s="551"/>
      <c r="N437" s="551"/>
      <c r="O437" s="551"/>
      <c r="P437" s="551"/>
      <c r="Q437" s="552"/>
    </row>
    <row r="438" spans="1:17" s="120" customFormat="1" ht="18" customHeight="1" x14ac:dyDescent="0.15">
      <c r="A438" s="396" t="s">
        <v>0</v>
      </c>
      <c r="B438" s="556" t="s">
        <v>1016</v>
      </c>
      <c r="C438" s="557"/>
      <c r="D438" s="557"/>
      <c r="E438" s="557"/>
      <c r="F438" s="557"/>
      <c r="G438" s="557"/>
      <c r="H438" s="557"/>
      <c r="I438" s="557"/>
      <c r="J438" s="557"/>
      <c r="K438" s="557"/>
      <c r="L438" s="557"/>
      <c r="M438" s="557"/>
      <c r="N438" s="557"/>
      <c r="O438" s="394" t="s">
        <v>73</v>
      </c>
      <c r="P438" s="547" t="s">
        <v>316</v>
      </c>
      <c r="Q438" s="549"/>
    </row>
    <row r="439" spans="1:17" x14ac:dyDescent="0.15">
      <c r="A439" s="550"/>
      <c r="B439" s="551"/>
      <c r="C439" s="551"/>
      <c r="D439" s="551"/>
      <c r="E439" s="551"/>
      <c r="F439" s="551"/>
      <c r="G439" s="551"/>
      <c r="H439" s="551"/>
      <c r="I439" s="551"/>
      <c r="J439" s="551"/>
      <c r="K439" s="551"/>
      <c r="L439" s="551"/>
      <c r="M439" s="551"/>
      <c r="N439" s="551"/>
      <c r="O439" s="551"/>
      <c r="P439" s="551"/>
      <c r="Q439" s="552"/>
    </row>
    <row r="440" spans="1:17" s="125" customFormat="1" ht="12.75" customHeight="1" x14ac:dyDescent="0.15">
      <c r="A440" s="553" t="s">
        <v>150</v>
      </c>
      <c r="B440" s="540" t="s">
        <v>151</v>
      </c>
      <c r="C440" s="540"/>
      <c r="D440" s="541"/>
      <c r="E440" s="540" t="s">
        <v>152</v>
      </c>
      <c r="F440" s="540"/>
      <c r="G440" s="540"/>
      <c r="H440" s="541" t="s">
        <v>153</v>
      </c>
      <c r="I440" s="541" t="s">
        <v>410</v>
      </c>
      <c r="J440" s="543" t="s">
        <v>73</v>
      </c>
      <c r="K440" s="394" t="s">
        <v>154</v>
      </c>
      <c r="L440" s="122"/>
      <c r="M440" s="123"/>
      <c r="N440" s="123"/>
      <c r="O440" s="123"/>
      <c r="P440" s="123"/>
      <c r="Q440" s="124"/>
    </row>
    <row r="441" spans="1:17" s="129" customFormat="1" x14ac:dyDescent="0.15">
      <c r="A441" s="553"/>
      <c r="B441" s="540"/>
      <c r="C441" s="540"/>
      <c r="D441" s="542"/>
      <c r="E441" s="393" t="s">
        <v>155</v>
      </c>
      <c r="F441" s="393" t="s">
        <v>156</v>
      </c>
      <c r="G441" s="393" t="s">
        <v>157</v>
      </c>
      <c r="H441" s="542"/>
      <c r="I441" s="542"/>
      <c r="J441" s="544"/>
      <c r="K441" s="394" t="s">
        <v>158</v>
      </c>
      <c r="L441" s="126"/>
      <c r="M441" s="127"/>
      <c r="N441" s="127"/>
      <c r="O441" s="127"/>
      <c r="P441" s="127"/>
      <c r="Q441" s="128"/>
    </row>
    <row r="442" spans="1:17" ht="28.5" customHeight="1" x14ac:dyDescent="0.15">
      <c r="A442" s="146"/>
      <c r="B442" s="545" t="s">
        <v>737</v>
      </c>
      <c r="C442" s="546"/>
      <c r="D442" s="141"/>
      <c r="E442" s="141">
        <v>0</v>
      </c>
      <c r="F442" s="141">
        <v>0</v>
      </c>
      <c r="G442" s="141">
        <v>0</v>
      </c>
      <c r="H442" s="141">
        <v>9</v>
      </c>
      <c r="I442" s="141">
        <v>1</v>
      </c>
      <c r="J442" s="131" t="s">
        <v>316</v>
      </c>
      <c r="K442" s="141">
        <f>I442*H442</f>
        <v>9</v>
      </c>
      <c r="L442" s="126"/>
      <c r="M442" s="127"/>
      <c r="N442" s="127"/>
      <c r="O442" s="127"/>
      <c r="P442" s="127"/>
      <c r="Q442" s="128"/>
    </row>
    <row r="443" spans="1:17" ht="14" x14ac:dyDescent="0.15">
      <c r="A443" s="547" t="s">
        <v>149</v>
      </c>
      <c r="B443" s="548"/>
      <c r="C443" s="548"/>
      <c r="D443" s="548"/>
      <c r="E443" s="548"/>
      <c r="F443" s="548"/>
      <c r="G443" s="548"/>
      <c r="H443" s="548"/>
      <c r="I443" s="548"/>
      <c r="J443" s="549"/>
      <c r="K443" s="313">
        <f>SUM(K442:K442)</f>
        <v>9</v>
      </c>
      <c r="L443" s="132"/>
      <c r="M443" s="133"/>
      <c r="N443" s="133"/>
      <c r="O443" s="133"/>
      <c r="P443" s="133"/>
      <c r="Q443" s="134"/>
    </row>
    <row r="444" spans="1:17" x14ac:dyDescent="0.15">
      <c r="A444" s="550"/>
      <c r="B444" s="551"/>
      <c r="C444" s="551"/>
      <c r="D444" s="551"/>
      <c r="E444" s="551"/>
      <c r="F444" s="551"/>
      <c r="G444" s="551"/>
      <c r="H444" s="551"/>
      <c r="I444" s="551"/>
      <c r="J444" s="551"/>
      <c r="K444" s="551"/>
      <c r="L444" s="551"/>
      <c r="M444" s="551"/>
      <c r="N444" s="551"/>
      <c r="O444" s="551"/>
      <c r="P444" s="551"/>
      <c r="Q444" s="552"/>
    </row>
    <row r="445" spans="1:17" s="120" customFormat="1" ht="18" customHeight="1" x14ac:dyDescent="0.15">
      <c r="A445" s="396" t="s">
        <v>0</v>
      </c>
      <c r="B445" s="556" t="s">
        <v>1017</v>
      </c>
      <c r="C445" s="557"/>
      <c r="D445" s="557"/>
      <c r="E445" s="557"/>
      <c r="F445" s="557"/>
      <c r="G445" s="557"/>
      <c r="H445" s="557"/>
      <c r="I445" s="557"/>
      <c r="J445" s="557"/>
      <c r="K445" s="557"/>
      <c r="L445" s="557"/>
      <c r="M445" s="557"/>
      <c r="N445" s="557"/>
      <c r="O445" s="394" t="s">
        <v>73</v>
      </c>
      <c r="P445" s="547" t="s">
        <v>316</v>
      </c>
      <c r="Q445" s="549"/>
    </row>
    <row r="446" spans="1:17" x14ac:dyDescent="0.15">
      <c r="A446" s="550"/>
      <c r="B446" s="551"/>
      <c r="C446" s="551"/>
      <c r="D446" s="551"/>
      <c r="E446" s="551"/>
      <c r="F446" s="551"/>
      <c r="G446" s="551"/>
      <c r="H446" s="551"/>
      <c r="I446" s="551"/>
      <c r="J446" s="551"/>
      <c r="K446" s="551"/>
      <c r="L446" s="551"/>
      <c r="M446" s="551"/>
      <c r="N446" s="551"/>
      <c r="O446" s="551"/>
      <c r="P446" s="551"/>
      <c r="Q446" s="552"/>
    </row>
    <row r="447" spans="1:17" s="125" customFormat="1" ht="12.75" customHeight="1" x14ac:dyDescent="0.15">
      <c r="A447" s="553" t="s">
        <v>150</v>
      </c>
      <c r="B447" s="540" t="s">
        <v>151</v>
      </c>
      <c r="C447" s="540"/>
      <c r="D447" s="541"/>
      <c r="E447" s="540" t="s">
        <v>152</v>
      </c>
      <c r="F447" s="540"/>
      <c r="G447" s="540"/>
      <c r="H447" s="541" t="s">
        <v>153</v>
      </c>
      <c r="I447" s="541" t="s">
        <v>410</v>
      </c>
      <c r="J447" s="543" t="s">
        <v>73</v>
      </c>
      <c r="K447" s="394" t="s">
        <v>154</v>
      </c>
      <c r="L447" s="122"/>
      <c r="M447" s="123"/>
      <c r="N447" s="123"/>
      <c r="O447" s="123"/>
      <c r="P447" s="123"/>
      <c r="Q447" s="124"/>
    </row>
    <row r="448" spans="1:17" s="129" customFormat="1" x14ac:dyDescent="0.15">
      <c r="A448" s="553"/>
      <c r="B448" s="540"/>
      <c r="C448" s="540"/>
      <c r="D448" s="542"/>
      <c r="E448" s="393" t="s">
        <v>155</v>
      </c>
      <c r="F448" s="393" t="s">
        <v>156</v>
      </c>
      <c r="G448" s="393" t="s">
        <v>157</v>
      </c>
      <c r="H448" s="542"/>
      <c r="I448" s="542"/>
      <c r="J448" s="544"/>
      <c r="K448" s="394" t="s">
        <v>158</v>
      </c>
      <c r="L448" s="126"/>
      <c r="M448" s="127"/>
      <c r="N448" s="127"/>
      <c r="O448" s="127"/>
      <c r="P448" s="127"/>
      <c r="Q448" s="128"/>
    </row>
    <row r="449" spans="1:17" ht="28.5" customHeight="1" x14ac:dyDescent="0.15">
      <c r="A449" s="146"/>
      <c r="B449" s="545" t="s">
        <v>1004</v>
      </c>
      <c r="C449" s="546"/>
      <c r="D449" s="141"/>
      <c r="E449" s="141">
        <v>0.6</v>
      </c>
      <c r="F449" s="141">
        <v>0.4</v>
      </c>
      <c r="G449" s="141">
        <v>0.15</v>
      </c>
      <c r="H449" s="141">
        <v>1</v>
      </c>
      <c r="I449" s="141">
        <v>1</v>
      </c>
      <c r="J449" s="131" t="s">
        <v>316</v>
      </c>
      <c r="K449" s="141">
        <f>I449*H449</f>
        <v>1</v>
      </c>
      <c r="L449" s="126"/>
      <c r="M449" s="127"/>
      <c r="N449" s="127"/>
      <c r="O449" s="127"/>
      <c r="P449" s="127"/>
      <c r="Q449" s="128"/>
    </row>
    <row r="450" spans="1:17" ht="14" x14ac:dyDescent="0.15">
      <c r="A450" s="547" t="s">
        <v>149</v>
      </c>
      <c r="B450" s="548"/>
      <c r="C450" s="548"/>
      <c r="D450" s="548"/>
      <c r="E450" s="548"/>
      <c r="F450" s="548"/>
      <c r="G450" s="548"/>
      <c r="H450" s="548"/>
      <c r="I450" s="548"/>
      <c r="J450" s="549"/>
      <c r="K450" s="313">
        <f>SUM(K449:K449)</f>
        <v>1</v>
      </c>
      <c r="L450" s="132"/>
      <c r="M450" s="133"/>
      <c r="N450" s="133"/>
      <c r="O450" s="133"/>
      <c r="P450" s="133"/>
      <c r="Q450" s="134"/>
    </row>
    <row r="451" spans="1:17" x14ac:dyDescent="0.15">
      <c r="A451" s="550"/>
      <c r="B451" s="551"/>
      <c r="C451" s="551"/>
      <c r="D451" s="551"/>
      <c r="E451" s="551"/>
      <c r="F451" s="551"/>
      <c r="G451" s="551"/>
      <c r="H451" s="551"/>
      <c r="I451" s="551"/>
      <c r="J451" s="551"/>
      <c r="K451" s="551"/>
      <c r="L451" s="551"/>
      <c r="M451" s="551"/>
      <c r="N451" s="551"/>
      <c r="O451" s="551"/>
      <c r="P451" s="551"/>
      <c r="Q451" s="552"/>
    </row>
    <row r="452" spans="1:17" s="120" customFormat="1" ht="18" customHeight="1" x14ac:dyDescent="0.15">
      <c r="A452" s="396" t="s">
        <v>0</v>
      </c>
      <c r="B452" s="556" t="s">
        <v>1018</v>
      </c>
      <c r="C452" s="557"/>
      <c r="D452" s="557"/>
      <c r="E452" s="557"/>
      <c r="F452" s="557"/>
      <c r="G452" s="557"/>
      <c r="H452" s="557"/>
      <c r="I452" s="557"/>
      <c r="J452" s="557"/>
      <c r="K452" s="557"/>
      <c r="L452" s="557"/>
      <c r="M452" s="557"/>
      <c r="N452" s="557"/>
      <c r="O452" s="394" t="s">
        <v>73</v>
      </c>
      <c r="P452" s="547" t="s">
        <v>316</v>
      </c>
      <c r="Q452" s="549"/>
    </row>
    <row r="453" spans="1:17" x14ac:dyDescent="0.15">
      <c r="A453" s="550"/>
      <c r="B453" s="551"/>
      <c r="C453" s="551"/>
      <c r="D453" s="551"/>
      <c r="E453" s="551"/>
      <c r="F453" s="551"/>
      <c r="G453" s="551"/>
      <c r="H453" s="551"/>
      <c r="I453" s="551"/>
      <c r="J453" s="551"/>
      <c r="K453" s="551"/>
      <c r="L453" s="551"/>
      <c r="M453" s="551"/>
      <c r="N453" s="551"/>
      <c r="O453" s="551"/>
      <c r="P453" s="551"/>
      <c r="Q453" s="552"/>
    </row>
    <row r="454" spans="1:17" s="125" customFormat="1" ht="12.75" customHeight="1" x14ac:dyDescent="0.15">
      <c r="A454" s="553" t="s">
        <v>150</v>
      </c>
      <c r="B454" s="540" t="s">
        <v>151</v>
      </c>
      <c r="C454" s="540"/>
      <c r="D454" s="541"/>
      <c r="E454" s="540" t="s">
        <v>152</v>
      </c>
      <c r="F454" s="540"/>
      <c r="G454" s="540"/>
      <c r="H454" s="541" t="s">
        <v>153</v>
      </c>
      <c r="I454" s="541" t="s">
        <v>410</v>
      </c>
      <c r="J454" s="543" t="s">
        <v>73</v>
      </c>
      <c r="K454" s="394" t="s">
        <v>154</v>
      </c>
      <c r="L454" s="122"/>
      <c r="M454" s="123"/>
      <c r="N454" s="123"/>
      <c r="O454" s="123"/>
      <c r="P454" s="123"/>
      <c r="Q454" s="124"/>
    </row>
    <row r="455" spans="1:17" s="129" customFormat="1" x14ac:dyDescent="0.15">
      <c r="A455" s="553"/>
      <c r="B455" s="540"/>
      <c r="C455" s="540"/>
      <c r="D455" s="542"/>
      <c r="E455" s="393" t="s">
        <v>155</v>
      </c>
      <c r="F455" s="393" t="s">
        <v>156</v>
      </c>
      <c r="G455" s="393" t="s">
        <v>157</v>
      </c>
      <c r="H455" s="542"/>
      <c r="I455" s="542"/>
      <c r="J455" s="544"/>
      <c r="K455" s="394" t="s">
        <v>158</v>
      </c>
      <c r="L455" s="126"/>
      <c r="M455" s="127"/>
      <c r="N455" s="127"/>
      <c r="O455" s="127"/>
      <c r="P455" s="127"/>
      <c r="Q455" s="128"/>
    </row>
    <row r="456" spans="1:17" ht="28.5" customHeight="1" x14ac:dyDescent="0.15">
      <c r="A456" s="146"/>
      <c r="B456" s="545" t="s">
        <v>1019</v>
      </c>
      <c r="C456" s="546"/>
      <c r="D456" s="141"/>
      <c r="E456" s="141">
        <v>2.2999999999999998</v>
      </c>
      <c r="F456" s="141">
        <v>1.25</v>
      </c>
      <c r="G456" s="141">
        <v>1.1499999999999999</v>
      </c>
      <c r="H456" s="141">
        <v>1</v>
      </c>
      <c r="I456" s="141">
        <v>1</v>
      </c>
      <c r="J456" s="131" t="s">
        <v>316</v>
      </c>
      <c r="K456" s="141">
        <f>I456*H456</f>
        <v>1</v>
      </c>
      <c r="L456" s="126"/>
      <c r="M456" s="127"/>
      <c r="N456" s="127"/>
      <c r="O456" s="127"/>
      <c r="P456" s="127"/>
      <c r="Q456" s="128"/>
    </row>
    <row r="457" spans="1:17" ht="14" x14ac:dyDescent="0.15">
      <c r="A457" s="547" t="s">
        <v>149</v>
      </c>
      <c r="B457" s="548"/>
      <c r="C457" s="548"/>
      <c r="D457" s="548"/>
      <c r="E457" s="548"/>
      <c r="F457" s="548"/>
      <c r="G457" s="548"/>
      <c r="H457" s="548"/>
      <c r="I457" s="548"/>
      <c r="J457" s="549"/>
      <c r="K457" s="313">
        <f>SUM(K456:K456)</f>
        <v>1</v>
      </c>
      <c r="L457" s="132"/>
      <c r="M457" s="133"/>
      <c r="N457" s="133"/>
      <c r="O457" s="133"/>
      <c r="P457" s="133"/>
      <c r="Q457" s="134"/>
    </row>
    <row r="458" spans="1:17" x14ac:dyDescent="0.15">
      <c r="A458" s="550"/>
      <c r="B458" s="551"/>
      <c r="C458" s="551"/>
      <c r="D458" s="551"/>
      <c r="E458" s="551"/>
      <c r="F458" s="551"/>
      <c r="G458" s="551"/>
      <c r="H458" s="551"/>
      <c r="I458" s="551"/>
      <c r="J458" s="551"/>
      <c r="K458" s="551"/>
      <c r="L458" s="551"/>
      <c r="M458" s="551"/>
      <c r="N458" s="551"/>
      <c r="O458" s="551"/>
      <c r="P458" s="551"/>
      <c r="Q458" s="552"/>
    </row>
    <row r="459" spans="1:17" s="120" customFormat="1" x14ac:dyDescent="0.15">
      <c r="A459" s="396" t="s">
        <v>0</v>
      </c>
      <c r="B459" s="556" t="s">
        <v>1020</v>
      </c>
      <c r="C459" s="557"/>
      <c r="D459" s="557"/>
      <c r="E459" s="557"/>
      <c r="F459" s="557"/>
      <c r="G459" s="557"/>
      <c r="H459" s="557"/>
      <c r="I459" s="557"/>
      <c r="J459" s="557"/>
      <c r="K459" s="557"/>
      <c r="L459" s="557"/>
      <c r="M459" s="557"/>
      <c r="N459" s="557"/>
      <c r="O459" s="394" t="s">
        <v>73</v>
      </c>
      <c r="P459" s="547" t="s">
        <v>316</v>
      </c>
      <c r="Q459" s="549"/>
    </row>
    <row r="460" spans="1:17" x14ac:dyDescent="0.15">
      <c r="A460" s="550"/>
      <c r="B460" s="551"/>
      <c r="C460" s="551"/>
      <c r="D460" s="551"/>
      <c r="E460" s="551"/>
      <c r="F460" s="551"/>
      <c r="G460" s="551"/>
      <c r="H460" s="551"/>
      <c r="I460" s="551"/>
      <c r="J460" s="551"/>
      <c r="K460" s="551"/>
      <c r="L460" s="551"/>
      <c r="M460" s="551"/>
      <c r="N460" s="551"/>
      <c r="O460" s="551"/>
      <c r="P460" s="551"/>
      <c r="Q460" s="552"/>
    </row>
    <row r="461" spans="1:17" s="125" customFormat="1" x14ac:dyDescent="0.15">
      <c r="A461" s="553" t="s">
        <v>150</v>
      </c>
      <c r="B461" s="540" t="s">
        <v>151</v>
      </c>
      <c r="C461" s="540"/>
      <c r="D461" s="541"/>
      <c r="E461" s="540" t="s">
        <v>152</v>
      </c>
      <c r="F461" s="540"/>
      <c r="G461" s="540"/>
      <c r="H461" s="541" t="s">
        <v>153</v>
      </c>
      <c r="I461" s="541" t="s">
        <v>410</v>
      </c>
      <c r="J461" s="543" t="s">
        <v>73</v>
      </c>
      <c r="K461" s="394" t="s">
        <v>154</v>
      </c>
      <c r="L461" s="122"/>
      <c r="M461" s="123"/>
      <c r="N461" s="123"/>
      <c r="O461" s="123"/>
      <c r="P461" s="123"/>
      <c r="Q461" s="124"/>
    </row>
    <row r="462" spans="1:17" s="129" customFormat="1" x14ac:dyDescent="0.15">
      <c r="A462" s="553"/>
      <c r="B462" s="540"/>
      <c r="C462" s="540"/>
      <c r="D462" s="542"/>
      <c r="E462" s="393" t="s">
        <v>155</v>
      </c>
      <c r="F462" s="393" t="s">
        <v>156</v>
      </c>
      <c r="G462" s="393" t="s">
        <v>157</v>
      </c>
      <c r="H462" s="542"/>
      <c r="I462" s="542"/>
      <c r="J462" s="544"/>
      <c r="K462" s="394" t="s">
        <v>158</v>
      </c>
      <c r="L462" s="126"/>
      <c r="M462" s="127"/>
      <c r="N462" s="127"/>
      <c r="O462" s="127"/>
      <c r="P462" s="127"/>
      <c r="Q462" s="128"/>
    </row>
    <row r="463" spans="1:17" ht="14" x14ac:dyDescent="0.15">
      <c r="A463" s="146"/>
      <c r="B463" s="545" t="s">
        <v>814</v>
      </c>
      <c r="C463" s="546"/>
      <c r="D463" s="141"/>
      <c r="E463" s="141">
        <v>0</v>
      </c>
      <c r="F463" s="141">
        <v>0</v>
      </c>
      <c r="G463" s="141">
        <v>0</v>
      </c>
      <c r="H463" s="141">
        <v>10</v>
      </c>
      <c r="I463" s="141">
        <v>1</v>
      </c>
      <c r="J463" s="131" t="s">
        <v>316</v>
      </c>
      <c r="K463" s="141">
        <f>I463*H463</f>
        <v>10</v>
      </c>
      <c r="L463" s="126"/>
      <c r="M463" s="127"/>
      <c r="N463" s="127"/>
      <c r="O463" s="127"/>
      <c r="P463" s="127"/>
      <c r="Q463" s="128"/>
    </row>
    <row r="464" spans="1:17" ht="14" x14ac:dyDescent="0.15">
      <c r="A464" s="547" t="s">
        <v>149</v>
      </c>
      <c r="B464" s="548"/>
      <c r="C464" s="548"/>
      <c r="D464" s="548"/>
      <c r="E464" s="548"/>
      <c r="F464" s="548"/>
      <c r="G464" s="548"/>
      <c r="H464" s="548"/>
      <c r="I464" s="548"/>
      <c r="J464" s="549"/>
      <c r="K464" s="313">
        <f>SUM(K463:K463)</f>
        <v>10</v>
      </c>
      <c r="L464" s="132"/>
      <c r="M464" s="133"/>
      <c r="N464" s="133"/>
      <c r="O464" s="133"/>
      <c r="P464" s="133"/>
      <c r="Q464" s="134"/>
    </row>
    <row r="465" spans="1:17" x14ac:dyDescent="0.15">
      <c r="A465" s="550"/>
      <c r="B465" s="551"/>
      <c r="C465" s="551"/>
      <c r="D465" s="551"/>
      <c r="E465" s="551"/>
      <c r="F465" s="551"/>
      <c r="G465" s="551"/>
      <c r="H465" s="551"/>
      <c r="I465" s="551"/>
      <c r="J465" s="551"/>
      <c r="K465" s="551"/>
      <c r="L465" s="551"/>
      <c r="M465" s="551"/>
      <c r="N465" s="551"/>
      <c r="O465" s="551"/>
      <c r="P465" s="551"/>
      <c r="Q465" s="552"/>
    </row>
    <row r="466" spans="1:17" s="120" customFormat="1" x14ac:dyDescent="0.15">
      <c r="A466" s="396" t="s">
        <v>0</v>
      </c>
      <c r="B466" s="556" t="s">
        <v>1021</v>
      </c>
      <c r="C466" s="557"/>
      <c r="D466" s="557"/>
      <c r="E466" s="557"/>
      <c r="F466" s="557"/>
      <c r="G466" s="557"/>
      <c r="H466" s="557"/>
      <c r="I466" s="557"/>
      <c r="J466" s="557"/>
      <c r="K466" s="557"/>
      <c r="L466" s="557"/>
      <c r="M466" s="557"/>
      <c r="N466" s="557"/>
      <c r="O466" s="394" t="s">
        <v>73</v>
      </c>
      <c r="P466" s="547" t="s">
        <v>316</v>
      </c>
      <c r="Q466" s="549"/>
    </row>
    <row r="467" spans="1:17" x14ac:dyDescent="0.15">
      <c r="A467" s="550"/>
      <c r="B467" s="551"/>
      <c r="C467" s="551"/>
      <c r="D467" s="551"/>
      <c r="E467" s="551"/>
      <c r="F467" s="551"/>
      <c r="G467" s="551"/>
      <c r="H467" s="551"/>
      <c r="I467" s="551"/>
      <c r="J467" s="551"/>
      <c r="K467" s="551"/>
      <c r="L467" s="551"/>
      <c r="M467" s="551"/>
      <c r="N467" s="551"/>
      <c r="O467" s="551"/>
      <c r="P467" s="551"/>
      <c r="Q467" s="552"/>
    </row>
    <row r="468" spans="1:17" s="125" customFormat="1" x14ac:dyDescent="0.15">
      <c r="A468" s="553" t="s">
        <v>150</v>
      </c>
      <c r="B468" s="540" t="s">
        <v>151</v>
      </c>
      <c r="C468" s="540"/>
      <c r="D468" s="541"/>
      <c r="E468" s="540" t="s">
        <v>152</v>
      </c>
      <c r="F468" s="540"/>
      <c r="G468" s="540"/>
      <c r="H468" s="541" t="s">
        <v>153</v>
      </c>
      <c r="I468" s="541" t="s">
        <v>410</v>
      </c>
      <c r="J468" s="543" t="s">
        <v>73</v>
      </c>
      <c r="K468" s="394" t="s">
        <v>154</v>
      </c>
      <c r="L468" s="122"/>
      <c r="M468" s="123"/>
      <c r="N468" s="123"/>
      <c r="O468" s="123"/>
      <c r="P468" s="123"/>
      <c r="Q468" s="124"/>
    </row>
    <row r="469" spans="1:17" s="129" customFormat="1" x14ac:dyDescent="0.15">
      <c r="A469" s="553"/>
      <c r="B469" s="540"/>
      <c r="C469" s="540"/>
      <c r="D469" s="542"/>
      <c r="E469" s="393" t="s">
        <v>155</v>
      </c>
      <c r="F469" s="393" t="s">
        <v>156</v>
      </c>
      <c r="G469" s="393" t="s">
        <v>157</v>
      </c>
      <c r="H469" s="542"/>
      <c r="I469" s="542"/>
      <c r="J469" s="544"/>
      <c r="K469" s="394" t="s">
        <v>158</v>
      </c>
      <c r="L469" s="126"/>
      <c r="M469" s="127"/>
      <c r="N469" s="127"/>
      <c r="O469" s="127"/>
      <c r="P469" s="127"/>
      <c r="Q469" s="128"/>
    </row>
    <row r="470" spans="1:17" ht="14" x14ac:dyDescent="0.15">
      <c r="A470" s="146"/>
      <c r="B470" s="545" t="s">
        <v>815</v>
      </c>
      <c r="C470" s="546"/>
      <c r="D470" s="141"/>
      <c r="E470" s="141">
        <v>0</v>
      </c>
      <c r="F470" s="141">
        <v>0</v>
      </c>
      <c r="G470" s="141">
        <v>0</v>
      </c>
      <c r="H470" s="141">
        <v>9</v>
      </c>
      <c r="I470" s="141">
        <v>1</v>
      </c>
      <c r="J470" s="131" t="s">
        <v>316</v>
      </c>
      <c r="K470" s="141">
        <f>I470*H470</f>
        <v>9</v>
      </c>
      <c r="L470" s="126"/>
      <c r="M470" s="127"/>
      <c r="N470" s="127"/>
      <c r="O470" s="127"/>
      <c r="P470" s="127"/>
      <c r="Q470" s="128"/>
    </row>
    <row r="471" spans="1:17" ht="14" x14ac:dyDescent="0.15">
      <c r="A471" s="547" t="s">
        <v>149</v>
      </c>
      <c r="B471" s="548"/>
      <c r="C471" s="548"/>
      <c r="D471" s="548"/>
      <c r="E471" s="548"/>
      <c r="F471" s="548"/>
      <c r="G471" s="548"/>
      <c r="H471" s="548"/>
      <c r="I471" s="548"/>
      <c r="J471" s="549"/>
      <c r="K471" s="313">
        <f>SUM(K470:K470)</f>
        <v>9</v>
      </c>
      <c r="L471" s="132"/>
      <c r="M471" s="133"/>
      <c r="N471" s="133"/>
      <c r="O471" s="133"/>
      <c r="P471" s="133"/>
      <c r="Q471" s="134"/>
    </row>
    <row r="472" spans="1:17" x14ac:dyDescent="0.15">
      <c r="A472" s="550"/>
      <c r="B472" s="551"/>
      <c r="C472" s="551"/>
      <c r="D472" s="551"/>
      <c r="E472" s="551"/>
      <c r="F472" s="551"/>
      <c r="G472" s="551"/>
      <c r="H472" s="551"/>
      <c r="I472" s="551"/>
      <c r="J472" s="551"/>
      <c r="K472" s="551"/>
      <c r="L472" s="551"/>
      <c r="M472" s="551"/>
      <c r="N472" s="551"/>
      <c r="O472" s="551"/>
      <c r="P472" s="551"/>
      <c r="Q472" s="552"/>
    </row>
    <row r="473" spans="1:17" s="120" customFormat="1" x14ac:dyDescent="0.15">
      <c r="A473" s="396" t="s">
        <v>0</v>
      </c>
      <c r="B473" s="556" t="s">
        <v>1022</v>
      </c>
      <c r="C473" s="557"/>
      <c r="D473" s="557"/>
      <c r="E473" s="557"/>
      <c r="F473" s="557"/>
      <c r="G473" s="557"/>
      <c r="H473" s="557"/>
      <c r="I473" s="557"/>
      <c r="J473" s="557"/>
      <c r="K473" s="557"/>
      <c r="L473" s="557"/>
      <c r="M473" s="557"/>
      <c r="N473" s="557"/>
      <c r="O473" s="394" t="s">
        <v>73</v>
      </c>
      <c r="P473" s="547" t="s">
        <v>316</v>
      </c>
      <c r="Q473" s="549"/>
    </row>
    <row r="474" spans="1:17" x14ac:dyDescent="0.15">
      <c r="A474" s="550"/>
      <c r="B474" s="551"/>
      <c r="C474" s="551"/>
      <c r="D474" s="551"/>
      <c r="E474" s="551"/>
      <c r="F474" s="551"/>
      <c r="G474" s="551"/>
      <c r="H474" s="551"/>
      <c r="I474" s="551"/>
      <c r="J474" s="551"/>
      <c r="K474" s="551"/>
      <c r="L474" s="551"/>
      <c r="M474" s="551"/>
      <c r="N474" s="551"/>
      <c r="O474" s="551"/>
      <c r="P474" s="551"/>
      <c r="Q474" s="552"/>
    </row>
    <row r="475" spans="1:17" s="125" customFormat="1" x14ac:dyDescent="0.15">
      <c r="A475" s="553" t="s">
        <v>150</v>
      </c>
      <c r="B475" s="540" t="s">
        <v>151</v>
      </c>
      <c r="C475" s="540"/>
      <c r="D475" s="541" t="s">
        <v>165</v>
      </c>
      <c r="E475" s="540" t="s">
        <v>152</v>
      </c>
      <c r="F475" s="540"/>
      <c r="G475" s="540"/>
      <c r="H475" s="541" t="s">
        <v>153</v>
      </c>
      <c r="I475" s="541" t="s">
        <v>410</v>
      </c>
      <c r="J475" s="543" t="s">
        <v>73</v>
      </c>
      <c r="K475" s="394" t="s">
        <v>154</v>
      </c>
      <c r="L475" s="122"/>
      <c r="M475" s="123"/>
      <c r="N475" s="123"/>
      <c r="O475" s="123"/>
      <c r="P475" s="123"/>
      <c r="Q475" s="124"/>
    </row>
    <row r="476" spans="1:17" s="129" customFormat="1" x14ac:dyDescent="0.15">
      <c r="A476" s="553"/>
      <c r="B476" s="540"/>
      <c r="C476" s="540"/>
      <c r="D476" s="542"/>
      <c r="E476" s="393" t="s">
        <v>155</v>
      </c>
      <c r="F476" s="393" t="s">
        <v>156</v>
      </c>
      <c r="G476" s="393" t="s">
        <v>157</v>
      </c>
      <c r="H476" s="542"/>
      <c r="I476" s="542"/>
      <c r="J476" s="544"/>
      <c r="K476" s="394" t="s">
        <v>158</v>
      </c>
      <c r="L476" s="126"/>
      <c r="M476" s="127"/>
      <c r="N476" s="127"/>
      <c r="O476" s="127"/>
      <c r="P476" s="127"/>
      <c r="Q476" s="128"/>
    </row>
    <row r="477" spans="1:17" ht="14" x14ac:dyDescent="0.15">
      <c r="A477" s="146"/>
      <c r="B477" s="545" t="s">
        <v>819</v>
      </c>
      <c r="C477" s="546"/>
      <c r="D477" s="141" t="s">
        <v>810</v>
      </c>
      <c r="E477" s="141">
        <v>0</v>
      </c>
      <c r="F477" s="141">
        <v>0</v>
      </c>
      <c r="G477" s="141">
        <v>0</v>
      </c>
      <c r="H477" s="141">
        <v>9</v>
      </c>
      <c r="I477" s="141">
        <v>1</v>
      </c>
      <c r="J477" s="131" t="s">
        <v>316</v>
      </c>
      <c r="K477" s="141">
        <f>I477*H477</f>
        <v>9</v>
      </c>
      <c r="L477" s="126"/>
      <c r="M477" s="127"/>
      <c r="N477" s="127"/>
      <c r="O477" s="127"/>
      <c r="P477" s="127"/>
      <c r="Q477" s="128"/>
    </row>
    <row r="478" spans="1:17" ht="14" x14ac:dyDescent="0.15">
      <c r="A478" s="547" t="s">
        <v>149</v>
      </c>
      <c r="B478" s="548"/>
      <c r="C478" s="548"/>
      <c r="D478" s="548"/>
      <c r="E478" s="548"/>
      <c r="F478" s="548"/>
      <c r="G478" s="548"/>
      <c r="H478" s="548"/>
      <c r="I478" s="548"/>
      <c r="J478" s="549"/>
      <c r="K478" s="313">
        <f>SUM(K477:K477)</f>
        <v>9</v>
      </c>
      <c r="L478" s="132"/>
      <c r="M478" s="133"/>
      <c r="N478" s="133"/>
      <c r="O478" s="133"/>
      <c r="P478" s="133"/>
      <c r="Q478" s="134"/>
    </row>
    <row r="479" spans="1:17" x14ac:dyDescent="0.15">
      <c r="A479" s="550"/>
      <c r="B479" s="551"/>
      <c r="C479" s="551"/>
      <c r="D479" s="551"/>
      <c r="E479" s="551"/>
      <c r="F479" s="551"/>
      <c r="G479" s="551"/>
      <c r="H479" s="551"/>
      <c r="I479" s="551"/>
      <c r="J479" s="551"/>
      <c r="K479" s="551"/>
      <c r="L479" s="551"/>
      <c r="M479" s="551"/>
      <c r="N479" s="551"/>
      <c r="O479" s="551"/>
      <c r="P479" s="551"/>
      <c r="Q479" s="552"/>
    </row>
    <row r="480" spans="1:17" s="120" customFormat="1" x14ac:dyDescent="0.15">
      <c r="A480" s="396" t="s">
        <v>0</v>
      </c>
      <c r="B480" s="556" t="s">
        <v>1023</v>
      </c>
      <c r="C480" s="557"/>
      <c r="D480" s="557"/>
      <c r="E480" s="557"/>
      <c r="F480" s="557"/>
      <c r="G480" s="557"/>
      <c r="H480" s="557"/>
      <c r="I480" s="557"/>
      <c r="J480" s="557"/>
      <c r="K480" s="557"/>
      <c r="L480" s="557"/>
      <c r="M480" s="557"/>
      <c r="N480" s="557"/>
      <c r="O480" s="394" t="s">
        <v>73</v>
      </c>
      <c r="P480" s="547" t="s">
        <v>316</v>
      </c>
      <c r="Q480" s="549"/>
    </row>
    <row r="481" spans="1:17" x14ac:dyDescent="0.15">
      <c r="A481" s="550"/>
      <c r="B481" s="551"/>
      <c r="C481" s="551"/>
      <c r="D481" s="551"/>
      <c r="E481" s="551"/>
      <c r="F481" s="551"/>
      <c r="G481" s="551"/>
      <c r="H481" s="551"/>
      <c r="I481" s="551"/>
      <c r="J481" s="551"/>
      <c r="K481" s="551"/>
      <c r="L481" s="551"/>
      <c r="M481" s="551"/>
      <c r="N481" s="551"/>
      <c r="O481" s="551"/>
      <c r="P481" s="551"/>
      <c r="Q481" s="552"/>
    </row>
    <row r="482" spans="1:17" s="125" customFormat="1" x14ac:dyDescent="0.15">
      <c r="A482" s="553" t="s">
        <v>150</v>
      </c>
      <c r="B482" s="540" t="s">
        <v>151</v>
      </c>
      <c r="C482" s="540"/>
      <c r="D482" s="541" t="s">
        <v>165</v>
      </c>
      <c r="E482" s="540" t="s">
        <v>152</v>
      </c>
      <c r="F482" s="540"/>
      <c r="G482" s="540"/>
      <c r="H482" s="541" t="s">
        <v>153</v>
      </c>
      <c r="I482" s="541" t="s">
        <v>410</v>
      </c>
      <c r="J482" s="543" t="s">
        <v>73</v>
      </c>
      <c r="K482" s="394" t="s">
        <v>154</v>
      </c>
      <c r="L482" s="122"/>
      <c r="M482" s="123"/>
      <c r="N482" s="123"/>
      <c r="O482" s="123"/>
      <c r="P482" s="123"/>
      <c r="Q482" s="124"/>
    </row>
    <row r="483" spans="1:17" s="129" customFormat="1" x14ac:dyDescent="0.15">
      <c r="A483" s="553"/>
      <c r="B483" s="540"/>
      <c r="C483" s="540"/>
      <c r="D483" s="542"/>
      <c r="E483" s="393" t="s">
        <v>155</v>
      </c>
      <c r="F483" s="393" t="s">
        <v>156</v>
      </c>
      <c r="G483" s="393" t="s">
        <v>157</v>
      </c>
      <c r="H483" s="542"/>
      <c r="I483" s="542"/>
      <c r="J483" s="544"/>
      <c r="K483" s="394" t="s">
        <v>158</v>
      </c>
      <c r="L483" s="126"/>
      <c r="M483" s="127"/>
      <c r="N483" s="127"/>
      <c r="O483" s="127"/>
      <c r="P483" s="127"/>
      <c r="Q483" s="128"/>
    </row>
    <row r="484" spans="1:17" ht="14" x14ac:dyDescent="0.15">
      <c r="A484" s="146"/>
      <c r="B484" s="545" t="s">
        <v>809</v>
      </c>
      <c r="C484" s="546"/>
      <c r="D484" s="141" t="s">
        <v>810</v>
      </c>
      <c r="E484" s="141">
        <v>0</v>
      </c>
      <c r="F484" s="141">
        <v>0</v>
      </c>
      <c r="G484" s="141">
        <v>0</v>
      </c>
      <c r="H484" s="141">
        <v>4</v>
      </c>
      <c r="I484" s="141">
        <v>1</v>
      </c>
      <c r="J484" s="131" t="s">
        <v>316</v>
      </c>
      <c r="K484" s="141">
        <f>I484*H484</f>
        <v>4</v>
      </c>
      <c r="L484" s="126"/>
      <c r="M484" s="127"/>
      <c r="N484" s="127"/>
      <c r="O484" s="127"/>
      <c r="P484" s="127"/>
      <c r="Q484" s="128"/>
    </row>
    <row r="485" spans="1:17" ht="14" x14ac:dyDescent="0.15">
      <c r="A485" s="547" t="s">
        <v>149</v>
      </c>
      <c r="B485" s="548"/>
      <c r="C485" s="548"/>
      <c r="D485" s="548"/>
      <c r="E485" s="548"/>
      <c r="F485" s="548"/>
      <c r="G485" s="548"/>
      <c r="H485" s="548"/>
      <c r="I485" s="548"/>
      <c r="J485" s="549"/>
      <c r="K485" s="313">
        <f>SUM(K484:K484)</f>
        <v>4</v>
      </c>
      <c r="L485" s="132"/>
      <c r="M485" s="133"/>
      <c r="N485" s="133"/>
      <c r="O485" s="133"/>
      <c r="P485" s="133"/>
      <c r="Q485" s="134"/>
    </row>
    <row r="486" spans="1:17" x14ac:dyDescent="0.15">
      <c r="A486" s="550"/>
      <c r="B486" s="551"/>
      <c r="C486" s="551"/>
      <c r="D486" s="551"/>
      <c r="E486" s="551"/>
      <c r="F486" s="551"/>
      <c r="G486" s="551"/>
      <c r="H486" s="551"/>
      <c r="I486" s="551"/>
      <c r="J486" s="551"/>
      <c r="K486" s="551"/>
      <c r="L486" s="551"/>
      <c r="M486" s="551"/>
      <c r="N486" s="551"/>
      <c r="O486" s="551"/>
      <c r="P486" s="551"/>
      <c r="Q486" s="552"/>
    </row>
    <row r="487" spans="1:17" s="120" customFormat="1" x14ac:dyDescent="0.15">
      <c r="A487" s="396" t="s">
        <v>0</v>
      </c>
      <c r="B487" s="556" t="s">
        <v>1024</v>
      </c>
      <c r="C487" s="557"/>
      <c r="D487" s="557"/>
      <c r="E487" s="557"/>
      <c r="F487" s="557"/>
      <c r="G487" s="557"/>
      <c r="H487" s="557"/>
      <c r="I487" s="557"/>
      <c r="J487" s="557"/>
      <c r="K487" s="557"/>
      <c r="L487" s="557"/>
      <c r="M487" s="557"/>
      <c r="N487" s="557"/>
      <c r="O487" s="394" t="s">
        <v>73</v>
      </c>
      <c r="P487" s="547" t="s">
        <v>193</v>
      </c>
      <c r="Q487" s="549"/>
    </row>
    <row r="488" spans="1:17" x14ac:dyDescent="0.15">
      <c r="A488" s="550"/>
      <c r="B488" s="551"/>
      <c r="C488" s="551"/>
      <c r="D488" s="551"/>
      <c r="E488" s="551"/>
      <c r="F488" s="551"/>
      <c r="G488" s="551"/>
      <c r="H488" s="551"/>
      <c r="I488" s="551"/>
      <c r="J488" s="551"/>
      <c r="K488" s="551"/>
      <c r="L488" s="551"/>
      <c r="M488" s="551"/>
      <c r="N488" s="551"/>
      <c r="O488" s="551"/>
      <c r="P488" s="551"/>
      <c r="Q488" s="552"/>
    </row>
    <row r="489" spans="1:17" s="125" customFormat="1" x14ac:dyDescent="0.15">
      <c r="A489" s="553" t="s">
        <v>150</v>
      </c>
      <c r="B489" s="540" t="s">
        <v>151</v>
      </c>
      <c r="C489" s="540"/>
      <c r="D489" s="541" t="s">
        <v>165</v>
      </c>
      <c r="E489" s="540" t="s">
        <v>152</v>
      </c>
      <c r="F489" s="540"/>
      <c r="G489" s="540"/>
      <c r="H489" s="541" t="s">
        <v>153</v>
      </c>
      <c r="I489" s="541" t="s">
        <v>241</v>
      </c>
      <c r="J489" s="543" t="s">
        <v>73</v>
      </c>
      <c r="K489" s="394" t="s">
        <v>154</v>
      </c>
      <c r="L489" s="122"/>
      <c r="M489" s="123"/>
      <c r="N489" s="123"/>
      <c r="O489" s="123"/>
      <c r="P489" s="123"/>
      <c r="Q489" s="124"/>
    </row>
    <row r="490" spans="1:17" s="129" customFormat="1" x14ac:dyDescent="0.15">
      <c r="A490" s="553"/>
      <c r="B490" s="540"/>
      <c r="C490" s="540"/>
      <c r="D490" s="542"/>
      <c r="E490" s="393" t="s">
        <v>155</v>
      </c>
      <c r="F490" s="393" t="s">
        <v>156</v>
      </c>
      <c r="G490" s="393" t="s">
        <v>157</v>
      </c>
      <c r="H490" s="542"/>
      <c r="I490" s="542"/>
      <c r="J490" s="544"/>
      <c r="K490" s="394" t="s">
        <v>158</v>
      </c>
      <c r="L490" s="126"/>
      <c r="M490" s="127"/>
      <c r="N490" s="127"/>
      <c r="O490" s="127"/>
      <c r="P490" s="127"/>
      <c r="Q490" s="128"/>
    </row>
    <row r="491" spans="1:17" ht="28.5" customHeight="1" x14ac:dyDescent="0.15">
      <c r="A491" s="146"/>
      <c r="B491" s="545" t="s">
        <v>816</v>
      </c>
      <c r="C491" s="546"/>
      <c r="D491" s="141" t="s">
        <v>811</v>
      </c>
      <c r="E491" s="141">
        <v>1.5</v>
      </c>
      <c r="F491" s="141">
        <v>0</v>
      </c>
      <c r="G491" s="141">
        <v>0</v>
      </c>
      <c r="H491" s="141">
        <v>10</v>
      </c>
      <c r="I491" s="141">
        <f>E491</f>
        <v>1.5</v>
      </c>
      <c r="J491" s="131" t="s">
        <v>193</v>
      </c>
      <c r="K491" s="141">
        <f>I491*H491</f>
        <v>15</v>
      </c>
      <c r="L491" s="126"/>
      <c r="M491" s="127"/>
      <c r="N491" s="127"/>
      <c r="O491" s="127"/>
      <c r="P491" s="127"/>
      <c r="Q491" s="128"/>
    </row>
    <row r="492" spans="1:17" ht="14" x14ac:dyDescent="0.15">
      <c r="A492" s="547" t="s">
        <v>149</v>
      </c>
      <c r="B492" s="548"/>
      <c r="C492" s="548"/>
      <c r="D492" s="548"/>
      <c r="E492" s="548"/>
      <c r="F492" s="548"/>
      <c r="G492" s="548"/>
      <c r="H492" s="548"/>
      <c r="I492" s="548"/>
      <c r="J492" s="549"/>
      <c r="K492" s="313">
        <f>SUM(K491:K491)</f>
        <v>15</v>
      </c>
      <c r="L492" s="132"/>
      <c r="M492" s="133"/>
      <c r="N492" s="133"/>
      <c r="O492" s="133"/>
      <c r="P492" s="133"/>
      <c r="Q492" s="134"/>
    </row>
    <row r="493" spans="1:17" x14ac:dyDescent="0.15">
      <c r="A493" s="550"/>
      <c r="B493" s="551"/>
      <c r="C493" s="551"/>
      <c r="D493" s="551"/>
      <c r="E493" s="551"/>
      <c r="F493" s="551"/>
      <c r="G493" s="551"/>
      <c r="H493" s="551"/>
      <c r="I493" s="551"/>
      <c r="J493" s="551"/>
      <c r="K493" s="551"/>
      <c r="L493" s="551"/>
      <c r="M493" s="551"/>
      <c r="N493" s="551"/>
      <c r="O493" s="551"/>
      <c r="P493" s="551"/>
      <c r="Q493" s="552"/>
    </row>
    <row r="494" spans="1:17" s="120" customFormat="1" ht="18" customHeight="1" x14ac:dyDescent="0.15">
      <c r="A494" s="396" t="s">
        <v>0</v>
      </c>
      <c r="B494" s="556" t="s">
        <v>1025</v>
      </c>
      <c r="C494" s="557"/>
      <c r="D494" s="557"/>
      <c r="E494" s="557"/>
      <c r="F494" s="557"/>
      <c r="G494" s="557"/>
      <c r="H494" s="557"/>
      <c r="I494" s="557"/>
      <c r="J494" s="557"/>
      <c r="K494" s="557"/>
      <c r="L494" s="557"/>
      <c r="M494" s="557"/>
      <c r="N494" s="557"/>
      <c r="O494" s="394" t="s">
        <v>73</v>
      </c>
      <c r="P494" s="547" t="s">
        <v>193</v>
      </c>
      <c r="Q494" s="549"/>
    </row>
    <row r="495" spans="1:17" x14ac:dyDescent="0.15">
      <c r="A495" s="550"/>
      <c r="B495" s="551"/>
      <c r="C495" s="551"/>
      <c r="D495" s="551"/>
      <c r="E495" s="551"/>
      <c r="F495" s="551"/>
      <c r="G495" s="551"/>
      <c r="H495" s="551"/>
      <c r="I495" s="551"/>
      <c r="J495" s="551"/>
      <c r="K495" s="551"/>
      <c r="L495" s="551"/>
      <c r="M495" s="551"/>
      <c r="N495" s="551"/>
      <c r="O495" s="551"/>
      <c r="P495" s="551"/>
      <c r="Q495" s="552"/>
    </row>
    <row r="496" spans="1:17" s="125" customFormat="1" x14ac:dyDescent="0.15">
      <c r="A496" s="553" t="s">
        <v>150</v>
      </c>
      <c r="B496" s="540" t="s">
        <v>151</v>
      </c>
      <c r="C496" s="540"/>
      <c r="D496" s="541" t="s">
        <v>165</v>
      </c>
      <c r="E496" s="540" t="s">
        <v>152</v>
      </c>
      <c r="F496" s="540"/>
      <c r="G496" s="540"/>
      <c r="H496" s="541" t="s">
        <v>153</v>
      </c>
      <c r="I496" s="541" t="s">
        <v>241</v>
      </c>
      <c r="J496" s="543" t="s">
        <v>73</v>
      </c>
      <c r="K496" s="394" t="s">
        <v>154</v>
      </c>
      <c r="L496" s="122"/>
      <c r="M496" s="123"/>
      <c r="N496" s="123"/>
      <c r="O496" s="123"/>
      <c r="P496" s="123"/>
      <c r="Q496" s="124"/>
    </row>
    <row r="497" spans="1:17" s="129" customFormat="1" x14ac:dyDescent="0.15">
      <c r="A497" s="553"/>
      <c r="B497" s="540"/>
      <c r="C497" s="540"/>
      <c r="D497" s="542"/>
      <c r="E497" s="393" t="s">
        <v>155</v>
      </c>
      <c r="F497" s="393" t="s">
        <v>156</v>
      </c>
      <c r="G497" s="393" t="s">
        <v>157</v>
      </c>
      <c r="H497" s="542"/>
      <c r="I497" s="542"/>
      <c r="J497" s="544"/>
      <c r="K497" s="394" t="s">
        <v>158</v>
      </c>
      <c r="L497" s="126"/>
      <c r="M497" s="127"/>
      <c r="N497" s="127"/>
      <c r="O497" s="127"/>
      <c r="P497" s="127"/>
      <c r="Q497" s="128"/>
    </row>
    <row r="498" spans="1:17" ht="28.5" customHeight="1" x14ac:dyDescent="0.15">
      <c r="A498" s="146"/>
      <c r="B498" s="545" t="s">
        <v>816</v>
      </c>
      <c r="C498" s="546"/>
      <c r="D498" s="141" t="s">
        <v>812</v>
      </c>
      <c r="E498" s="141">
        <v>1</v>
      </c>
      <c r="F498" s="141">
        <v>0</v>
      </c>
      <c r="G498" s="141">
        <v>0</v>
      </c>
      <c r="H498" s="141">
        <v>9</v>
      </c>
      <c r="I498" s="141">
        <f>E498</f>
        <v>1</v>
      </c>
      <c r="J498" s="131" t="s">
        <v>193</v>
      </c>
      <c r="K498" s="141">
        <f>I498*H498</f>
        <v>9</v>
      </c>
      <c r="L498" s="126"/>
      <c r="M498" s="127"/>
      <c r="N498" s="127"/>
      <c r="O498" s="127"/>
      <c r="P498" s="127"/>
      <c r="Q498" s="128"/>
    </row>
    <row r="499" spans="1:17" ht="14" x14ac:dyDescent="0.15">
      <c r="A499" s="547" t="s">
        <v>149</v>
      </c>
      <c r="B499" s="548"/>
      <c r="C499" s="548"/>
      <c r="D499" s="548"/>
      <c r="E499" s="548"/>
      <c r="F499" s="548"/>
      <c r="G499" s="548"/>
      <c r="H499" s="548"/>
      <c r="I499" s="548"/>
      <c r="J499" s="549"/>
      <c r="K499" s="313">
        <f>SUM(K498:K498)</f>
        <v>9</v>
      </c>
      <c r="L499" s="132"/>
      <c r="M499" s="133"/>
      <c r="N499" s="133"/>
      <c r="O499" s="133"/>
      <c r="P499" s="133"/>
      <c r="Q499" s="134"/>
    </row>
    <row r="500" spans="1:17" x14ac:dyDescent="0.15">
      <c r="A500" s="550"/>
      <c r="B500" s="551"/>
      <c r="C500" s="551"/>
      <c r="D500" s="551"/>
      <c r="E500" s="551"/>
      <c r="F500" s="551"/>
      <c r="G500" s="551"/>
      <c r="H500" s="551"/>
      <c r="I500" s="551"/>
      <c r="J500" s="551"/>
      <c r="K500" s="551"/>
      <c r="L500" s="551"/>
      <c r="M500" s="551"/>
      <c r="N500" s="551"/>
      <c r="O500" s="551"/>
      <c r="P500" s="551"/>
      <c r="Q500" s="552"/>
    </row>
    <row r="501" spans="1:17" s="120" customFormat="1" ht="18" customHeight="1" x14ac:dyDescent="0.15">
      <c r="A501" s="396" t="s">
        <v>0</v>
      </c>
      <c r="B501" s="556" t="s">
        <v>1026</v>
      </c>
      <c r="C501" s="557"/>
      <c r="D501" s="557"/>
      <c r="E501" s="557"/>
      <c r="F501" s="557"/>
      <c r="G501" s="557"/>
      <c r="H501" s="557"/>
      <c r="I501" s="557"/>
      <c r="J501" s="557"/>
      <c r="K501" s="557"/>
      <c r="L501" s="557"/>
      <c r="M501" s="557"/>
      <c r="N501" s="557"/>
      <c r="O501" s="394" t="s">
        <v>73</v>
      </c>
      <c r="P501" s="547" t="s">
        <v>193</v>
      </c>
      <c r="Q501" s="549"/>
    </row>
    <row r="502" spans="1:17" x14ac:dyDescent="0.15">
      <c r="A502" s="550"/>
      <c r="B502" s="551"/>
      <c r="C502" s="551"/>
      <c r="D502" s="551"/>
      <c r="E502" s="551"/>
      <c r="F502" s="551"/>
      <c r="G502" s="551"/>
      <c r="H502" s="551"/>
      <c r="I502" s="551"/>
      <c r="J502" s="551"/>
      <c r="K502" s="551"/>
      <c r="L502" s="551"/>
      <c r="M502" s="551"/>
      <c r="N502" s="551"/>
      <c r="O502" s="551"/>
      <c r="P502" s="551"/>
      <c r="Q502" s="552"/>
    </row>
    <row r="503" spans="1:17" s="125" customFormat="1" x14ac:dyDescent="0.15">
      <c r="A503" s="553" t="s">
        <v>150</v>
      </c>
      <c r="B503" s="540" t="s">
        <v>151</v>
      </c>
      <c r="C503" s="540"/>
      <c r="D503" s="541" t="s">
        <v>165</v>
      </c>
      <c r="E503" s="540" t="s">
        <v>152</v>
      </c>
      <c r="F503" s="540"/>
      <c r="G503" s="540"/>
      <c r="H503" s="541" t="s">
        <v>153</v>
      </c>
      <c r="I503" s="541" t="s">
        <v>241</v>
      </c>
      <c r="J503" s="543" t="s">
        <v>73</v>
      </c>
      <c r="K503" s="394" t="s">
        <v>154</v>
      </c>
      <c r="L503" s="122"/>
      <c r="M503" s="123"/>
      <c r="N503" s="123"/>
      <c r="O503" s="123"/>
      <c r="P503" s="123"/>
      <c r="Q503" s="124"/>
    </row>
    <row r="504" spans="1:17" s="129" customFormat="1" x14ac:dyDescent="0.15">
      <c r="A504" s="553"/>
      <c r="B504" s="540"/>
      <c r="C504" s="540"/>
      <c r="D504" s="542"/>
      <c r="E504" s="393" t="s">
        <v>155</v>
      </c>
      <c r="F504" s="393" t="s">
        <v>156</v>
      </c>
      <c r="G504" s="393" t="s">
        <v>157</v>
      </c>
      <c r="H504" s="542"/>
      <c r="I504" s="542"/>
      <c r="J504" s="544"/>
      <c r="K504" s="394" t="s">
        <v>158</v>
      </c>
      <c r="L504" s="126"/>
      <c r="M504" s="127"/>
      <c r="N504" s="127"/>
      <c r="O504" s="127"/>
      <c r="P504" s="127"/>
      <c r="Q504" s="128"/>
    </row>
    <row r="505" spans="1:17" ht="28.5" customHeight="1" x14ac:dyDescent="0.15">
      <c r="A505" s="146"/>
      <c r="B505" s="545" t="s">
        <v>816</v>
      </c>
      <c r="C505" s="546"/>
      <c r="D505" s="141" t="s">
        <v>811</v>
      </c>
      <c r="E505" s="141">
        <v>3</v>
      </c>
      <c r="F505" s="141">
        <v>0</v>
      </c>
      <c r="G505" s="141">
        <v>0</v>
      </c>
      <c r="H505" s="141">
        <v>9</v>
      </c>
      <c r="I505" s="141">
        <f>E505</f>
        <v>3</v>
      </c>
      <c r="J505" s="131" t="s">
        <v>193</v>
      </c>
      <c r="K505" s="141">
        <f>I505*H505</f>
        <v>27</v>
      </c>
      <c r="L505" s="126"/>
      <c r="M505" s="127"/>
      <c r="N505" s="127"/>
      <c r="O505" s="127"/>
      <c r="P505" s="127"/>
      <c r="Q505" s="128"/>
    </row>
    <row r="506" spans="1:17" ht="14" x14ac:dyDescent="0.15">
      <c r="A506" s="547" t="s">
        <v>149</v>
      </c>
      <c r="B506" s="548"/>
      <c r="C506" s="548"/>
      <c r="D506" s="548"/>
      <c r="E506" s="548"/>
      <c r="F506" s="548"/>
      <c r="G506" s="548"/>
      <c r="H506" s="548"/>
      <c r="I506" s="548"/>
      <c r="J506" s="549"/>
      <c r="K506" s="313">
        <f>SUM(K505:K505)</f>
        <v>27</v>
      </c>
      <c r="L506" s="132"/>
      <c r="M506" s="133"/>
      <c r="N506" s="133"/>
      <c r="O506" s="133"/>
      <c r="P506" s="133"/>
      <c r="Q506" s="134"/>
    </row>
    <row r="507" spans="1:17" x14ac:dyDescent="0.15">
      <c r="A507" s="550"/>
      <c r="B507" s="551"/>
      <c r="C507" s="551"/>
      <c r="D507" s="551"/>
      <c r="E507" s="551"/>
      <c r="F507" s="551"/>
      <c r="G507" s="551"/>
      <c r="H507" s="551"/>
      <c r="I507" s="551"/>
      <c r="J507" s="551"/>
      <c r="K507" s="551"/>
      <c r="L507" s="551"/>
      <c r="M507" s="551"/>
      <c r="N507" s="551"/>
      <c r="O507" s="551"/>
      <c r="P507" s="551"/>
      <c r="Q507" s="552"/>
    </row>
    <row r="508" spans="1:17" s="120" customFormat="1" ht="18" customHeight="1" x14ac:dyDescent="0.15">
      <c r="A508" s="396" t="s">
        <v>0</v>
      </c>
      <c r="B508" s="556" t="s">
        <v>1027</v>
      </c>
      <c r="C508" s="557"/>
      <c r="D508" s="557"/>
      <c r="E508" s="557"/>
      <c r="F508" s="557"/>
      <c r="G508" s="557"/>
      <c r="H508" s="557"/>
      <c r="I508" s="557"/>
      <c r="J508" s="557"/>
      <c r="K508" s="557"/>
      <c r="L508" s="557"/>
      <c r="M508" s="557"/>
      <c r="N508" s="557"/>
      <c r="O508" s="394" t="s">
        <v>73</v>
      </c>
      <c r="P508" s="547" t="s">
        <v>193</v>
      </c>
      <c r="Q508" s="549"/>
    </row>
    <row r="509" spans="1:17" x14ac:dyDescent="0.15">
      <c r="A509" s="550"/>
      <c r="B509" s="551"/>
      <c r="C509" s="551"/>
      <c r="D509" s="551"/>
      <c r="E509" s="551"/>
      <c r="F509" s="551"/>
      <c r="G509" s="551"/>
      <c r="H509" s="551"/>
      <c r="I509" s="551"/>
      <c r="J509" s="551"/>
      <c r="K509" s="551"/>
      <c r="L509" s="551"/>
      <c r="M509" s="551"/>
      <c r="N509" s="551"/>
      <c r="O509" s="551"/>
      <c r="P509" s="551"/>
      <c r="Q509" s="552"/>
    </row>
    <row r="510" spans="1:17" s="125" customFormat="1" x14ac:dyDescent="0.15">
      <c r="A510" s="553" t="s">
        <v>150</v>
      </c>
      <c r="B510" s="540" t="s">
        <v>151</v>
      </c>
      <c r="C510" s="540"/>
      <c r="D510" s="541" t="s">
        <v>165</v>
      </c>
      <c r="E510" s="540" t="s">
        <v>152</v>
      </c>
      <c r="F510" s="540"/>
      <c r="G510" s="540"/>
      <c r="H510" s="541" t="s">
        <v>153</v>
      </c>
      <c r="I510" s="541" t="s">
        <v>241</v>
      </c>
      <c r="J510" s="543" t="s">
        <v>73</v>
      </c>
      <c r="K510" s="394" t="s">
        <v>154</v>
      </c>
      <c r="L510" s="122"/>
      <c r="M510" s="123"/>
      <c r="N510" s="123"/>
      <c r="O510" s="123"/>
      <c r="P510" s="123"/>
      <c r="Q510" s="124"/>
    </row>
    <row r="511" spans="1:17" s="129" customFormat="1" x14ac:dyDescent="0.15">
      <c r="A511" s="553"/>
      <c r="B511" s="540"/>
      <c r="C511" s="540"/>
      <c r="D511" s="542"/>
      <c r="E511" s="393" t="s">
        <v>155</v>
      </c>
      <c r="F511" s="393" t="s">
        <v>156</v>
      </c>
      <c r="G511" s="393" t="s">
        <v>157</v>
      </c>
      <c r="H511" s="542"/>
      <c r="I511" s="542"/>
      <c r="J511" s="544"/>
      <c r="K511" s="394" t="s">
        <v>158</v>
      </c>
      <c r="L511" s="126"/>
      <c r="M511" s="127"/>
      <c r="N511" s="127"/>
      <c r="O511" s="127"/>
      <c r="P511" s="127"/>
      <c r="Q511" s="128"/>
    </row>
    <row r="512" spans="1:17" ht="28.5" customHeight="1" x14ac:dyDescent="0.15">
      <c r="A512" s="146"/>
      <c r="B512" s="545" t="s">
        <v>816</v>
      </c>
      <c r="C512" s="546"/>
      <c r="D512" s="141" t="s">
        <v>810</v>
      </c>
      <c r="E512" s="141">
        <v>4.5</v>
      </c>
      <c r="F512" s="141">
        <v>0</v>
      </c>
      <c r="G512" s="141">
        <v>0</v>
      </c>
      <c r="H512" s="141">
        <v>5</v>
      </c>
      <c r="I512" s="141">
        <f>E512</f>
        <v>4.5</v>
      </c>
      <c r="J512" s="131" t="s">
        <v>193</v>
      </c>
      <c r="K512" s="141">
        <f>I512*H512</f>
        <v>22.5</v>
      </c>
      <c r="L512" s="126"/>
      <c r="M512" s="127"/>
      <c r="N512" s="127"/>
      <c r="O512" s="127"/>
      <c r="P512" s="127"/>
      <c r="Q512" s="128"/>
    </row>
    <row r="513" spans="1:17" ht="28.5" customHeight="1" x14ac:dyDescent="0.15">
      <c r="A513" s="146"/>
      <c r="B513" s="545" t="s">
        <v>813</v>
      </c>
      <c r="C513" s="546"/>
      <c r="D513" s="141" t="s">
        <v>810</v>
      </c>
      <c r="E513" s="141">
        <v>6</v>
      </c>
      <c r="F513" s="141">
        <v>0</v>
      </c>
      <c r="G513" s="141">
        <v>0</v>
      </c>
      <c r="H513" s="141">
        <v>4</v>
      </c>
      <c r="I513" s="141">
        <f>E513</f>
        <v>6</v>
      </c>
      <c r="J513" s="131" t="s">
        <v>193</v>
      </c>
      <c r="K513" s="141">
        <f>I513*H513</f>
        <v>24</v>
      </c>
      <c r="L513" s="126"/>
      <c r="M513" s="127"/>
      <c r="N513" s="127"/>
      <c r="O513" s="127"/>
      <c r="P513" s="127"/>
      <c r="Q513" s="128"/>
    </row>
    <row r="514" spans="1:17" ht="28.5" customHeight="1" x14ac:dyDescent="0.15">
      <c r="A514" s="146"/>
      <c r="B514" s="545" t="s">
        <v>817</v>
      </c>
      <c r="C514" s="546"/>
      <c r="D514" s="141" t="s">
        <v>810</v>
      </c>
      <c r="E514" s="141">
        <v>24</v>
      </c>
      <c r="F514" s="141">
        <v>0</v>
      </c>
      <c r="G514" s="141">
        <v>0</v>
      </c>
      <c r="H514" s="141">
        <v>2</v>
      </c>
      <c r="I514" s="141">
        <f>E514</f>
        <v>24</v>
      </c>
      <c r="J514" s="131" t="s">
        <v>193</v>
      </c>
      <c r="K514" s="141">
        <f>I514*H514</f>
        <v>48</v>
      </c>
      <c r="L514" s="126"/>
      <c r="M514" s="127"/>
      <c r="N514" s="127"/>
      <c r="O514" s="127"/>
      <c r="P514" s="127"/>
      <c r="Q514" s="128"/>
    </row>
    <row r="515" spans="1:17" ht="28.5" customHeight="1" x14ac:dyDescent="0.15">
      <c r="A515" s="146"/>
      <c r="B515" s="545" t="s">
        <v>818</v>
      </c>
      <c r="C515" s="546"/>
      <c r="D515" s="141" t="s">
        <v>810</v>
      </c>
      <c r="E515" s="141">
        <v>18</v>
      </c>
      <c r="F515" s="141">
        <v>0</v>
      </c>
      <c r="G515" s="141">
        <v>0</v>
      </c>
      <c r="H515" s="141">
        <v>1</v>
      </c>
      <c r="I515" s="141">
        <f>E515</f>
        <v>18</v>
      </c>
      <c r="J515" s="131" t="s">
        <v>193</v>
      </c>
      <c r="K515" s="141">
        <f>I515*H515</f>
        <v>18</v>
      </c>
      <c r="L515" s="126"/>
      <c r="M515" s="127"/>
      <c r="N515" s="127"/>
      <c r="O515" s="127"/>
      <c r="P515" s="127"/>
      <c r="Q515" s="128"/>
    </row>
    <row r="516" spans="1:17" ht="14" x14ac:dyDescent="0.15">
      <c r="A516" s="547" t="s">
        <v>149</v>
      </c>
      <c r="B516" s="548"/>
      <c r="C516" s="548"/>
      <c r="D516" s="548"/>
      <c r="E516" s="548"/>
      <c r="F516" s="548"/>
      <c r="G516" s="548"/>
      <c r="H516" s="548"/>
      <c r="I516" s="548"/>
      <c r="J516" s="549"/>
      <c r="K516" s="313">
        <f>SUM(K512:K515)</f>
        <v>112.5</v>
      </c>
      <c r="L516" s="132"/>
      <c r="M516" s="133"/>
      <c r="N516" s="133"/>
      <c r="O516" s="133"/>
      <c r="P516" s="133"/>
      <c r="Q516" s="134"/>
    </row>
    <row r="517" spans="1:17" x14ac:dyDescent="0.15">
      <c r="A517" s="550"/>
      <c r="B517" s="551"/>
      <c r="C517" s="551"/>
      <c r="D517" s="551"/>
      <c r="E517" s="551"/>
      <c r="F517" s="551"/>
      <c r="G517" s="551"/>
      <c r="H517" s="551"/>
      <c r="I517" s="551"/>
      <c r="J517" s="551"/>
      <c r="K517" s="551"/>
      <c r="L517" s="551"/>
      <c r="M517" s="551"/>
      <c r="N517" s="551"/>
      <c r="O517" s="551"/>
      <c r="P517" s="551"/>
      <c r="Q517" s="552"/>
    </row>
    <row r="518" spans="1:17" s="120" customFormat="1" ht="18" customHeight="1" x14ac:dyDescent="0.15">
      <c r="A518" s="396" t="s">
        <v>0</v>
      </c>
      <c r="B518" s="556" t="s">
        <v>1030</v>
      </c>
      <c r="C518" s="557"/>
      <c r="D518" s="557"/>
      <c r="E518" s="557"/>
      <c r="F518" s="557"/>
      <c r="G518" s="557"/>
      <c r="H518" s="557"/>
      <c r="I518" s="557"/>
      <c r="J518" s="557"/>
      <c r="K518" s="557"/>
      <c r="L518" s="557"/>
      <c r="M518" s="557"/>
      <c r="N518" s="557"/>
      <c r="O518" s="394" t="s">
        <v>73</v>
      </c>
      <c r="P518" s="547" t="s">
        <v>316</v>
      </c>
      <c r="Q518" s="549"/>
    </row>
    <row r="519" spans="1:17" x14ac:dyDescent="0.15">
      <c r="A519" s="550"/>
      <c r="B519" s="551"/>
      <c r="C519" s="551"/>
      <c r="D519" s="551"/>
      <c r="E519" s="551"/>
      <c r="F519" s="551"/>
      <c r="G519" s="551"/>
      <c r="H519" s="551"/>
      <c r="I519" s="551"/>
      <c r="J519" s="551"/>
      <c r="K519" s="551"/>
      <c r="L519" s="551"/>
      <c r="M519" s="551"/>
      <c r="N519" s="551"/>
      <c r="O519" s="551"/>
      <c r="P519" s="551"/>
      <c r="Q519" s="552"/>
    </row>
    <row r="520" spans="1:17" s="125" customFormat="1" ht="12.75" customHeight="1" x14ac:dyDescent="0.15">
      <c r="A520" s="553" t="s">
        <v>150</v>
      </c>
      <c r="B520" s="540" t="s">
        <v>151</v>
      </c>
      <c r="C520" s="540"/>
      <c r="D520" s="541"/>
      <c r="E520" s="540" t="s">
        <v>152</v>
      </c>
      <c r="F520" s="540"/>
      <c r="G520" s="540"/>
      <c r="H520" s="541" t="s">
        <v>153</v>
      </c>
      <c r="I520" s="541" t="s">
        <v>410</v>
      </c>
      <c r="J520" s="543" t="s">
        <v>73</v>
      </c>
      <c r="K520" s="394" t="s">
        <v>154</v>
      </c>
      <c r="L520" s="122"/>
      <c r="M520" s="123"/>
      <c r="N520" s="123"/>
      <c r="O520" s="123"/>
      <c r="P520" s="123"/>
      <c r="Q520" s="124"/>
    </row>
    <row r="521" spans="1:17" s="129" customFormat="1" x14ac:dyDescent="0.15">
      <c r="A521" s="553"/>
      <c r="B521" s="540"/>
      <c r="C521" s="540"/>
      <c r="D521" s="542"/>
      <c r="E521" s="393" t="s">
        <v>155</v>
      </c>
      <c r="F521" s="393" t="s">
        <v>156</v>
      </c>
      <c r="G521" s="393" t="s">
        <v>157</v>
      </c>
      <c r="H521" s="542"/>
      <c r="I521" s="542"/>
      <c r="J521" s="544"/>
      <c r="K521" s="394" t="s">
        <v>158</v>
      </c>
      <c r="L521" s="126"/>
      <c r="M521" s="127"/>
      <c r="N521" s="127"/>
      <c r="O521" s="127"/>
      <c r="P521" s="127"/>
      <c r="Q521" s="128"/>
    </row>
    <row r="522" spans="1:17" ht="28.5" customHeight="1" x14ac:dyDescent="0.15">
      <c r="A522" s="146"/>
      <c r="B522" s="545" t="s">
        <v>1028</v>
      </c>
      <c r="C522" s="546"/>
      <c r="D522" s="141"/>
      <c r="E522" s="141">
        <v>80</v>
      </c>
      <c r="F522" s="141">
        <v>60</v>
      </c>
      <c r="G522" s="141">
        <v>20</v>
      </c>
      <c r="H522" s="141">
        <v>1</v>
      </c>
      <c r="I522" s="141">
        <v>1</v>
      </c>
      <c r="J522" s="131" t="s">
        <v>316</v>
      </c>
      <c r="K522" s="141">
        <f>I522*H522</f>
        <v>1</v>
      </c>
      <c r="L522" s="126"/>
      <c r="M522" s="127"/>
      <c r="N522" s="127"/>
      <c r="O522" s="127"/>
      <c r="P522" s="127"/>
      <c r="Q522" s="128"/>
    </row>
    <row r="523" spans="1:17" ht="14" x14ac:dyDescent="0.15">
      <c r="A523" s="547" t="s">
        <v>149</v>
      </c>
      <c r="B523" s="548"/>
      <c r="C523" s="548"/>
      <c r="D523" s="548"/>
      <c r="E523" s="548"/>
      <c r="F523" s="548"/>
      <c r="G523" s="548"/>
      <c r="H523" s="548"/>
      <c r="I523" s="548"/>
      <c r="J523" s="549"/>
      <c r="K523" s="313">
        <f>SUM(K522:K522)</f>
        <v>1</v>
      </c>
      <c r="L523" s="132"/>
      <c r="M523" s="133"/>
      <c r="N523" s="133"/>
      <c r="O523" s="133"/>
      <c r="P523" s="133"/>
      <c r="Q523" s="134"/>
    </row>
    <row r="524" spans="1:17" x14ac:dyDescent="0.15">
      <c r="A524" s="550"/>
      <c r="B524" s="551"/>
      <c r="C524" s="551"/>
      <c r="D524" s="551"/>
      <c r="E524" s="551"/>
      <c r="F524" s="551"/>
      <c r="G524" s="551"/>
      <c r="H524" s="551"/>
      <c r="I524" s="551"/>
      <c r="J524" s="551"/>
      <c r="K524" s="551"/>
      <c r="L524" s="551"/>
      <c r="M524" s="551"/>
      <c r="N524" s="551"/>
      <c r="O524" s="551"/>
      <c r="P524" s="551"/>
      <c r="Q524" s="552"/>
    </row>
    <row r="525" spans="1:17" s="120" customFormat="1" ht="18" customHeight="1" x14ac:dyDescent="0.15">
      <c r="A525" s="396" t="s">
        <v>0</v>
      </c>
      <c r="B525" s="556" t="s">
        <v>1029</v>
      </c>
      <c r="C525" s="557"/>
      <c r="D525" s="557"/>
      <c r="E525" s="557"/>
      <c r="F525" s="557"/>
      <c r="G525" s="557"/>
      <c r="H525" s="557"/>
      <c r="I525" s="557"/>
      <c r="J525" s="557"/>
      <c r="K525" s="557"/>
      <c r="L525" s="557"/>
      <c r="M525" s="557"/>
      <c r="N525" s="557"/>
      <c r="O525" s="394" t="s">
        <v>73</v>
      </c>
      <c r="P525" s="547" t="s">
        <v>316</v>
      </c>
      <c r="Q525" s="549"/>
    </row>
    <row r="526" spans="1:17" x14ac:dyDescent="0.15">
      <c r="A526" s="550"/>
      <c r="B526" s="551"/>
      <c r="C526" s="551"/>
      <c r="D526" s="551"/>
      <c r="E526" s="551"/>
      <c r="F526" s="551"/>
      <c r="G526" s="551"/>
      <c r="H526" s="551"/>
      <c r="I526" s="551"/>
      <c r="J526" s="551"/>
      <c r="K526" s="551"/>
      <c r="L526" s="551"/>
      <c r="M526" s="551"/>
      <c r="N526" s="551"/>
      <c r="O526" s="551"/>
      <c r="P526" s="551"/>
      <c r="Q526" s="552"/>
    </row>
    <row r="527" spans="1:17" s="125" customFormat="1" x14ac:dyDescent="0.15">
      <c r="A527" s="553" t="s">
        <v>150</v>
      </c>
      <c r="B527" s="540" t="s">
        <v>151</v>
      </c>
      <c r="C527" s="540"/>
      <c r="D527" s="541"/>
      <c r="E527" s="540" t="s">
        <v>152</v>
      </c>
      <c r="F527" s="540"/>
      <c r="G527" s="540"/>
      <c r="H527" s="541" t="s">
        <v>153</v>
      </c>
      <c r="I527" s="541" t="s">
        <v>410</v>
      </c>
      <c r="J527" s="543" t="s">
        <v>73</v>
      </c>
      <c r="K527" s="394" t="s">
        <v>154</v>
      </c>
      <c r="L527" s="122"/>
      <c r="M527" s="123"/>
      <c r="N527" s="123"/>
      <c r="O527" s="123"/>
      <c r="P527" s="123"/>
      <c r="Q527" s="124"/>
    </row>
    <row r="528" spans="1:17" s="129" customFormat="1" x14ac:dyDescent="0.15">
      <c r="A528" s="553"/>
      <c r="B528" s="540"/>
      <c r="C528" s="540"/>
      <c r="D528" s="542"/>
      <c r="E528" s="393" t="s">
        <v>155</v>
      </c>
      <c r="F528" s="393" t="s">
        <v>156</v>
      </c>
      <c r="G528" s="393" t="s">
        <v>157</v>
      </c>
      <c r="H528" s="542"/>
      <c r="I528" s="542"/>
      <c r="J528" s="544"/>
      <c r="K528" s="394" t="s">
        <v>158</v>
      </c>
      <c r="L528" s="126"/>
      <c r="M528" s="127"/>
      <c r="N528" s="127"/>
      <c r="O528" s="127"/>
      <c r="P528" s="127"/>
      <c r="Q528" s="128"/>
    </row>
    <row r="529" spans="1:17" ht="30" customHeight="1" x14ac:dyDescent="0.15">
      <c r="A529" s="146"/>
      <c r="B529" s="545" t="s">
        <v>841</v>
      </c>
      <c r="C529" s="546"/>
      <c r="D529" s="147"/>
      <c r="E529" s="141">
        <v>0.6</v>
      </c>
      <c r="F529" s="141">
        <v>0.6</v>
      </c>
      <c r="G529" s="141">
        <v>0.3</v>
      </c>
      <c r="H529" s="141">
        <v>3</v>
      </c>
      <c r="I529" s="141">
        <v>1</v>
      </c>
      <c r="J529" s="131" t="s">
        <v>316</v>
      </c>
      <c r="K529" s="141">
        <f>I529*H529</f>
        <v>3</v>
      </c>
      <c r="L529" s="126"/>
      <c r="M529" s="127"/>
      <c r="N529" s="127"/>
      <c r="O529" s="127"/>
      <c r="P529" s="127"/>
      <c r="Q529" s="128"/>
    </row>
    <row r="530" spans="1:17" ht="30" customHeight="1" x14ac:dyDescent="0.15">
      <c r="A530" s="146"/>
      <c r="B530" s="545" t="s">
        <v>1031</v>
      </c>
      <c r="C530" s="546"/>
      <c r="D530" s="147"/>
      <c r="E530" s="141">
        <v>0.6</v>
      </c>
      <c r="F530" s="141">
        <v>0.6</v>
      </c>
      <c r="G530" s="141">
        <v>0.3</v>
      </c>
      <c r="H530" s="141">
        <v>3</v>
      </c>
      <c r="I530" s="141">
        <v>1</v>
      </c>
      <c r="J530" s="131" t="s">
        <v>316</v>
      </c>
      <c r="K530" s="141">
        <f>I530*H530</f>
        <v>3</v>
      </c>
      <c r="L530" s="126"/>
      <c r="M530" s="127"/>
      <c r="N530" s="127"/>
      <c r="O530" s="127"/>
      <c r="P530" s="127"/>
      <c r="Q530" s="128"/>
    </row>
    <row r="531" spans="1:17" ht="14" x14ac:dyDescent="0.15">
      <c r="A531" s="547" t="s">
        <v>149</v>
      </c>
      <c r="B531" s="548"/>
      <c r="C531" s="548"/>
      <c r="D531" s="548"/>
      <c r="E531" s="548"/>
      <c r="F531" s="548"/>
      <c r="G531" s="548"/>
      <c r="H531" s="548"/>
      <c r="I531" s="548"/>
      <c r="J531" s="549"/>
      <c r="K531" s="313">
        <f>SUM(K529:K530)</f>
        <v>6</v>
      </c>
      <c r="L531" s="132"/>
      <c r="M531" s="133"/>
      <c r="N531" s="133"/>
      <c r="O531" s="133"/>
      <c r="P531" s="133"/>
      <c r="Q531" s="134"/>
    </row>
    <row r="532" spans="1:17" x14ac:dyDescent="0.15">
      <c r="A532" s="550"/>
      <c r="B532" s="551"/>
      <c r="C532" s="551"/>
      <c r="D532" s="551"/>
      <c r="E532" s="551"/>
      <c r="F532" s="551"/>
      <c r="G532" s="551"/>
      <c r="H532" s="551"/>
      <c r="I532" s="551"/>
      <c r="J532" s="551"/>
      <c r="K532" s="551"/>
      <c r="L532" s="551"/>
      <c r="M532" s="551"/>
      <c r="N532" s="551"/>
      <c r="O532" s="551"/>
      <c r="P532" s="551"/>
      <c r="Q532" s="552"/>
    </row>
    <row r="533" spans="1:17" s="120" customFormat="1" ht="18" customHeight="1" x14ac:dyDescent="0.15">
      <c r="A533" s="396" t="s">
        <v>0</v>
      </c>
      <c r="B533" s="593" t="s">
        <v>1032</v>
      </c>
      <c r="C533" s="594"/>
      <c r="D533" s="594"/>
      <c r="E533" s="594"/>
      <c r="F533" s="594"/>
      <c r="G533" s="594"/>
      <c r="H533" s="594"/>
      <c r="I533" s="594"/>
      <c r="J533" s="594"/>
      <c r="K533" s="594"/>
      <c r="L533" s="594"/>
      <c r="M533" s="594"/>
      <c r="N533" s="594"/>
      <c r="O533" s="394" t="s">
        <v>73</v>
      </c>
      <c r="P533" s="547" t="s">
        <v>316</v>
      </c>
      <c r="Q533" s="549"/>
    </row>
    <row r="534" spans="1:17" x14ac:dyDescent="0.15">
      <c r="A534" s="550"/>
      <c r="B534" s="551"/>
      <c r="C534" s="551"/>
      <c r="D534" s="551"/>
      <c r="E534" s="551"/>
      <c r="F534" s="551"/>
      <c r="G534" s="551"/>
      <c r="H534" s="551"/>
      <c r="I534" s="551"/>
      <c r="J534" s="551"/>
      <c r="K534" s="551"/>
      <c r="L534" s="551"/>
      <c r="M534" s="551"/>
      <c r="N534" s="551"/>
      <c r="O534" s="551"/>
      <c r="P534" s="551"/>
      <c r="Q534" s="552"/>
    </row>
    <row r="535" spans="1:17" s="125" customFormat="1" x14ac:dyDescent="0.15">
      <c r="A535" s="553" t="s">
        <v>150</v>
      </c>
      <c r="B535" s="540" t="s">
        <v>151</v>
      </c>
      <c r="C535" s="540"/>
      <c r="D535" s="541"/>
      <c r="E535" s="540" t="s">
        <v>152</v>
      </c>
      <c r="F535" s="540"/>
      <c r="G535" s="540"/>
      <c r="H535" s="541" t="s">
        <v>153</v>
      </c>
      <c r="I535" s="541" t="s">
        <v>410</v>
      </c>
      <c r="J535" s="543" t="s">
        <v>73</v>
      </c>
      <c r="K535" s="394" t="s">
        <v>154</v>
      </c>
      <c r="L535" s="122"/>
      <c r="M535" s="123"/>
      <c r="N535" s="123"/>
      <c r="O535" s="123"/>
      <c r="P535" s="123"/>
      <c r="Q535" s="124"/>
    </row>
    <row r="536" spans="1:17" s="129" customFormat="1" x14ac:dyDescent="0.15">
      <c r="A536" s="553"/>
      <c r="B536" s="540"/>
      <c r="C536" s="540"/>
      <c r="D536" s="542"/>
      <c r="E536" s="393" t="s">
        <v>155</v>
      </c>
      <c r="F536" s="393" t="s">
        <v>156</v>
      </c>
      <c r="G536" s="393" t="s">
        <v>157</v>
      </c>
      <c r="H536" s="542"/>
      <c r="I536" s="542"/>
      <c r="J536" s="544"/>
      <c r="K536" s="394" t="s">
        <v>158</v>
      </c>
      <c r="L536" s="126"/>
      <c r="M536" s="127"/>
      <c r="N536" s="127"/>
      <c r="O536" s="127"/>
      <c r="P536" s="127"/>
      <c r="Q536" s="128"/>
    </row>
    <row r="537" spans="1:17" ht="30" customHeight="1" x14ac:dyDescent="0.15">
      <c r="A537" s="146"/>
      <c r="B537" s="545" t="s">
        <v>738</v>
      </c>
      <c r="C537" s="546"/>
      <c r="D537" s="147"/>
      <c r="E537" s="141">
        <v>0</v>
      </c>
      <c r="F537" s="141">
        <v>0</v>
      </c>
      <c r="G537" s="141">
        <v>0</v>
      </c>
      <c r="H537" s="141">
        <v>1</v>
      </c>
      <c r="I537" s="141">
        <v>1</v>
      </c>
      <c r="J537" s="131" t="s">
        <v>316</v>
      </c>
      <c r="K537" s="141">
        <f>I537*H537</f>
        <v>1</v>
      </c>
      <c r="L537" s="126"/>
      <c r="M537" s="127"/>
      <c r="N537" s="127"/>
      <c r="O537" s="127"/>
      <c r="P537" s="127"/>
      <c r="Q537" s="128"/>
    </row>
    <row r="538" spans="1:17" ht="14" x14ac:dyDescent="0.15">
      <c r="A538" s="547" t="s">
        <v>149</v>
      </c>
      <c r="B538" s="548"/>
      <c r="C538" s="548"/>
      <c r="D538" s="548"/>
      <c r="E538" s="548"/>
      <c r="F538" s="548"/>
      <c r="G538" s="548"/>
      <c r="H538" s="548"/>
      <c r="I538" s="548"/>
      <c r="J538" s="549"/>
      <c r="K538" s="313">
        <f>SUM(K537:K537)</f>
        <v>1</v>
      </c>
      <c r="L538" s="132"/>
      <c r="M538" s="133"/>
      <c r="N538" s="133"/>
      <c r="O538" s="133"/>
      <c r="P538" s="133"/>
      <c r="Q538" s="134"/>
    </row>
    <row r="539" spans="1:17" x14ac:dyDescent="0.15">
      <c r="A539" s="550"/>
      <c r="B539" s="551"/>
      <c r="C539" s="551"/>
      <c r="D539" s="551"/>
      <c r="E539" s="551"/>
      <c r="F539" s="551"/>
      <c r="G539" s="551"/>
      <c r="H539" s="551"/>
      <c r="I539" s="551"/>
      <c r="J539" s="551"/>
      <c r="K539" s="551"/>
      <c r="L539" s="551"/>
      <c r="M539" s="551"/>
      <c r="N539" s="551"/>
      <c r="O539" s="551"/>
      <c r="P539" s="551"/>
      <c r="Q539" s="552"/>
    </row>
    <row r="540" spans="1:17" s="120" customFormat="1" ht="18" customHeight="1" x14ac:dyDescent="0.15">
      <c r="A540" s="396" t="s">
        <v>0</v>
      </c>
      <c r="B540" s="590" t="s">
        <v>1033</v>
      </c>
      <c r="C540" s="591"/>
      <c r="D540" s="591"/>
      <c r="E540" s="591"/>
      <c r="F540" s="591"/>
      <c r="G540" s="591"/>
      <c r="H540" s="591"/>
      <c r="I540" s="591"/>
      <c r="J540" s="591"/>
      <c r="K540" s="591"/>
      <c r="L540" s="591"/>
      <c r="M540" s="591"/>
      <c r="N540" s="592"/>
      <c r="O540" s="394" t="s">
        <v>73</v>
      </c>
      <c r="P540" s="547" t="s">
        <v>316</v>
      </c>
      <c r="Q540" s="549"/>
    </row>
    <row r="541" spans="1:17" x14ac:dyDescent="0.15">
      <c r="A541" s="550"/>
      <c r="B541" s="551"/>
      <c r="C541" s="551"/>
      <c r="D541" s="551"/>
      <c r="E541" s="551"/>
      <c r="F541" s="551"/>
      <c r="G541" s="551"/>
      <c r="H541" s="551"/>
      <c r="I541" s="551"/>
      <c r="J541" s="551"/>
      <c r="K541" s="551"/>
      <c r="L541" s="551"/>
      <c r="M541" s="551"/>
      <c r="N541" s="551"/>
      <c r="O541" s="551"/>
      <c r="P541" s="551"/>
      <c r="Q541" s="552"/>
    </row>
    <row r="542" spans="1:17" s="125" customFormat="1" x14ac:dyDescent="0.15">
      <c r="A542" s="553" t="s">
        <v>150</v>
      </c>
      <c r="B542" s="540" t="s">
        <v>151</v>
      </c>
      <c r="C542" s="540"/>
      <c r="D542" s="541"/>
      <c r="E542" s="540" t="s">
        <v>152</v>
      </c>
      <c r="F542" s="540"/>
      <c r="G542" s="540"/>
      <c r="H542" s="541" t="s">
        <v>153</v>
      </c>
      <c r="I542" s="541" t="s">
        <v>410</v>
      </c>
      <c r="J542" s="543" t="s">
        <v>73</v>
      </c>
      <c r="K542" s="394" t="s">
        <v>154</v>
      </c>
      <c r="L542" s="122"/>
      <c r="M542" s="123"/>
      <c r="N542" s="123"/>
      <c r="O542" s="123"/>
      <c r="P542" s="123"/>
      <c r="Q542" s="124"/>
    </row>
    <row r="543" spans="1:17" s="129" customFormat="1" x14ac:dyDescent="0.15">
      <c r="A543" s="553"/>
      <c r="B543" s="540"/>
      <c r="C543" s="540"/>
      <c r="D543" s="542"/>
      <c r="E543" s="393" t="s">
        <v>155</v>
      </c>
      <c r="F543" s="393" t="s">
        <v>156</v>
      </c>
      <c r="G543" s="393" t="s">
        <v>157</v>
      </c>
      <c r="H543" s="542"/>
      <c r="I543" s="542"/>
      <c r="J543" s="544"/>
      <c r="K543" s="394" t="s">
        <v>158</v>
      </c>
      <c r="L543" s="126"/>
      <c r="M543" s="127"/>
      <c r="N543" s="127"/>
      <c r="O543" s="127"/>
      <c r="P543" s="127"/>
      <c r="Q543" s="128"/>
    </row>
    <row r="544" spans="1:17" ht="28.5" customHeight="1" x14ac:dyDescent="0.15">
      <c r="A544" s="146"/>
      <c r="B544" s="545" t="s">
        <v>739</v>
      </c>
      <c r="C544" s="546"/>
      <c r="D544" s="147"/>
      <c r="E544" s="141">
        <v>0</v>
      </c>
      <c r="F544" s="141">
        <v>0</v>
      </c>
      <c r="G544" s="141">
        <v>0</v>
      </c>
      <c r="H544" s="141">
        <v>26</v>
      </c>
      <c r="I544" s="141">
        <f t="shared" ref="I544" si="127">H544</f>
        <v>26</v>
      </c>
      <c r="J544" s="131" t="s">
        <v>316</v>
      </c>
      <c r="K544" s="141">
        <f t="shared" ref="K544" si="128">I544</f>
        <v>26</v>
      </c>
      <c r="L544" s="126"/>
      <c r="M544" s="127"/>
      <c r="N544" s="127"/>
      <c r="O544" s="127"/>
      <c r="P544" s="127"/>
      <c r="Q544" s="128"/>
    </row>
    <row r="545" spans="1:17" ht="14" x14ac:dyDescent="0.15">
      <c r="A545" s="547" t="s">
        <v>149</v>
      </c>
      <c r="B545" s="548"/>
      <c r="C545" s="548"/>
      <c r="D545" s="548"/>
      <c r="E545" s="548"/>
      <c r="F545" s="548"/>
      <c r="G545" s="548"/>
      <c r="H545" s="548"/>
      <c r="I545" s="548"/>
      <c r="J545" s="549"/>
      <c r="K545" s="313">
        <f>SUM(K544:K544)</f>
        <v>26</v>
      </c>
      <c r="L545" s="132"/>
      <c r="M545" s="133"/>
      <c r="N545" s="133"/>
      <c r="O545" s="133"/>
      <c r="P545" s="133"/>
      <c r="Q545" s="134"/>
    </row>
    <row r="546" spans="1:17" x14ac:dyDescent="0.15">
      <c r="A546" s="550"/>
      <c r="B546" s="551"/>
      <c r="C546" s="551"/>
      <c r="D546" s="551"/>
      <c r="E546" s="551"/>
      <c r="F546" s="551"/>
      <c r="G546" s="551"/>
      <c r="H546" s="551"/>
      <c r="I546" s="551"/>
      <c r="J546" s="551"/>
      <c r="K546" s="551"/>
      <c r="L546" s="551"/>
      <c r="M546" s="551"/>
      <c r="N546" s="551"/>
      <c r="O546" s="551"/>
      <c r="P546" s="551"/>
      <c r="Q546" s="552"/>
    </row>
    <row r="547" spans="1:17" s="120" customFormat="1" ht="18" customHeight="1" x14ac:dyDescent="0.15">
      <c r="A547" s="396" t="s">
        <v>0</v>
      </c>
      <c r="B547" s="590" t="s">
        <v>1034</v>
      </c>
      <c r="C547" s="591"/>
      <c r="D547" s="591"/>
      <c r="E547" s="591"/>
      <c r="F547" s="591"/>
      <c r="G547" s="591"/>
      <c r="H547" s="591"/>
      <c r="I547" s="591"/>
      <c r="J547" s="591"/>
      <c r="K547" s="591"/>
      <c r="L547" s="591"/>
      <c r="M547" s="591"/>
      <c r="N547" s="592"/>
      <c r="O547" s="394" t="s">
        <v>73</v>
      </c>
      <c r="P547" s="547" t="s">
        <v>316</v>
      </c>
      <c r="Q547" s="549"/>
    </row>
    <row r="548" spans="1:17" x14ac:dyDescent="0.15">
      <c r="A548" s="550"/>
      <c r="B548" s="551"/>
      <c r="C548" s="551"/>
      <c r="D548" s="551"/>
      <c r="E548" s="551"/>
      <c r="F548" s="551"/>
      <c r="G548" s="551"/>
      <c r="H548" s="551"/>
      <c r="I548" s="551"/>
      <c r="J548" s="551"/>
      <c r="K548" s="551"/>
      <c r="L548" s="551"/>
      <c r="M548" s="551"/>
      <c r="N548" s="551"/>
      <c r="O548" s="551"/>
      <c r="P548" s="551"/>
      <c r="Q548" s="552"/>
    </row>
    <row r="549" spans="1:17" s="125" customFormat="1" x14ac:dyDescent="0.15">
      <c r="A549" s="553" t="s">
        <v>150</v>
      </c>
      <c r="B549" s="540" t="s">
        <v>151</v>
      </c>
      <c r="C549" s="540"/>
      <c r="D549" s="541"/>
      <c r="E549" s="540" t="s">
        <v>152</v>
      </c>
      <c r="F549" s="540"/>
      <c r="G549" s="540"/>
      <c r="H549" s="541" t="s">
        <v>153</v>
      </c>
      <c r="I549" s="541" t="s">
        <v>410</v>
      </c>
      <c r="J549" s="543" t="s">
        <v>73</v>
      </c>
      <c r="K549" s="394" t="s">
        <v>154</v>
      </c>
      <c r="L549" s="122"/>
      <c r="M549" s="123"/>
      <c r="N549" s="123"/>
      <c r="O549" s="123"/>
      <c r="P549" s="123"/>
      <c r="Q549" s="124"/>
    </row>
    <row r="550" spans="1:17" s="129" customFormat="1" x14ac:dyDescent="0.15">
      <c r="A550" s="553"/>
      <c r="B550" s="540"/>
      <c r="C550" s="540"/>
      <c r="D550" s="542"/>
      <c r="E550" s="393" t="s">
        <v>155</v>
      </c>
      <c r="F550" s="393" t="s">
        <v>156</v>
      </c>
      <c r="G550" s="393" t="s">
        <v>157</v>
      </c>
      <c r="H550" s="542"/>
      <c r="I550" s="542"/>
      <c r="J550" s="544"/>
      <c r="K550" s="394" t="s">
        <v>158</v>
      </c>
      <c r="L550" s="126"/>
      <c r="M550" s="127"/>
      <c r="N550" s="127"/>
      <c r="O550" s="127"/>
      <c r="P550" s="127"/>
      <c r="Q550" s="128"/>
    </row>
    <row r="551" spans="1:17" ht="24" customHeight="1" x14ac:dyDescent="0.15">
      <c r="A551" s="146"/>
      <c r="B551" s="545" t="s">
        <v>703</v>
      </c>
      <c r="C551" s="546"/>
      <c r="D551" s="147"/>
      <c r="E551" s="141">
        <v>0</v>
      </c>
      <c r="F551" s="141">
        <v>0</v>
      </c>
      <c r="G551" s="141">
        <v>0</v>
      </c>
      <c r="H551" s="141">
        <v>14</v>
      </c>
      <c r="I551" s="141">
        <f>H551</f>
        <v>14</v>
      </c>
      <c r="J551" s="131" t="s">
        <v>316</v>
      </c>
      <c r="K551" s="141">
        <f>I551</f>
        <v>14</v>
      </c>
      <c r="L551" s="126"/>
      <c r="M551" s="127"/>
      <c r="N551" s="127"/>
      <c r="O551" s="127"/>
      <c r="P551" s="127"/>
      <c r="Q551" s="128"/>
    </row>
    <row r="552" spans="1:17" ht="14" x14ac:dyDescent="0.15">
      <c r="A552" s="547" t="s">
        <v>149</v>
      </c>
      <c r="B552" s="548"/>
      <c r="C552" s="548"/>
      <c r="D552" s="548"/>
      <c r="E552" s="548"/>
      <c r="F552" s="548"/>
      <c r="G552" s="548"/>
      <c r="H552" s="548"/>
      <c r="I552" s="548"/>
      <c r="J552" s="549"/>
      <c r="K552" s="313">
        <f>SUM(K551:K551)</f>
        <v>14</v>
      </c>
      <c r="L552" s="132"/>
      <c r="M552" s="133"/>
      <c r="N552" s="133"/>
      <c r="O552" s="133"/>
      <c r="P552" s="133"/>
      <c r="Q552" s="134"/>
    </row>
    <row r="553" spans="1:17" x14ac:dyDescent="0.15">
      <c r="A553" s="550"/>
      <c r="B553" s="551"/>
      <c r="C553" s="551"/>
      <c r="D553" s="551"/>
      <c r="E553" s="551"/>
      <c r="F553" s="551"/>
      <c r="G553" s="551"/>
      <c r="H553" s="551"/>
      <c r="I553" s="551"/>
      <c r="J553" s="551"/>
      <c r="K553" s="551"/>
      <c r="L553" s="551"/>
      <c r="M553" s="551"/>
      <c r="N553" s="551"/>
      <c r="O553" s="551"/>
      <c r="P553" s="551"/>
      <c r="Q553" s="552"/>
    </row>
    <row r="554" spans="1:17" s="120" customFormat="1" ht="18" customHeight="1" x14ac:dyDescent="0.15">
      <c r="A554" s="396" t="s">
        <v>0</v>
      </c>
      <c r="B554" s="590" t="s">
        <v>1035</v>
      </c>
      <c r="C554" s="591"/>
      <c r="D554" s="591"/>
      <c r="E554" s="591"/>
      <c r="F554" s="591"/>
      <c r="G554" s="591"/>
      <c r="H554" s="591"/>
      <c r="I554" s="591"/>
      <c r="J554" s="591"/>
      <c r="K554" s="591"/>
      <c r="L554" s="591"/>
      <c r="M554" s="591"/>
      <c r="N554" s="592"/>
      <c r="O554" s="394" t="s">
        <v>73</v>
      </c>
      <c r="P554" s="547" t="s">
        <v>316</v>
      </c>
      <c r="Q554" s="549"/>
    </row>
    <row r="555" spans="1:17" x14ac:dyDescent="0.15">
      <c r="A555" s="550"/>
      <c r="B555" s="551"/>
      <c r="C555" s="551"/>
      <c r="D555" s="551"/>
      <c r="E555" s="551"/>
      <c r="F555" s="551"/>
      <c r="G555" s="551"/>
      <c r="H555" s="551"/>
      <c r="I555" s="551"/>
      <c r="J555" s="551"/>
      <c r="K555" s="551"/>
      <c r="L555" s="551"/>
      <c r="M555" s="551"/>
      <c r="N555" s="551"/>
      <c r="O555" s="551"/>
      <c r="P555" s="551"/>
      <c r="Q555" s="552"/>
    </row>
    <row r="556" spans="1:17" s="125" customFormat="1" x14ac:dyDescent="0.15">
      <c r="A556" s="553" t="s">
        <v>150</v>
      </c>
      <c r="B556" s="540" t="s">
        <v>151</v>
      </c>
      <c r="C556" s="540"/>
      <c r="D556" s="541"/>
      <c r="E556" s="540" t="s">
        <v>152</v>
      </c>
      <c r="F556" s="540"/>
      <c r="G556" s="540"/>
      <c r="H556" s="541" t="s">
        <v>153</v>
      </c>
      <c r="I556" s="541" t="s">
        <v>410</v>
      </c>
      <c r="J556" s="543" t="s">
        <v>73</v>
      </c>
      <c r="K556" s="394" t="s">
        <v>154</v>
      </c>
      <c r="L556" s="122"/>
      <c r="M556" s="123"/>
      <c r="N556" s="123"/>
      <c r="O556" s="123"/>
      <c r="P556" s="123"/>
      <c r="Q556" s="124"/>
    </row>
    <row r="557" spans="1:17" s="129" customFormat="1" x14ac:dyDescent="0.15">
      <c r="A557" s="553"/>
      <c r="B557" s="540"/>
      <c r="C557" s="540"/>
      <c r="D557" s="542"/>
      <c r="E557" s="393" t="s">
        <v>155</v>
      </c>
      <c r="F557" s="393" t="s">
        <v>156</v>
      </c>
      <c r="G557" s="393" t="s">
        <v>157</v>
      </c>
      <c r="H557" s="542"/>
      <c r="I557" s="542"/>
      <c r="J557" s="544"/>
      <c r="K557" s="394" t="s">
        <v>158</v>
      </c>
      <c r="L557" s="126"/>
      <c r="M557" s="127"/>
      <c r="N557" s="127"/>
      <c r="O557" s="127"/>
      <c r="P557" s="127"/>
      <c r="Q557" s="128"/>
    </row>
    <row r="558" spans="1:17" ht="30" customHeight="1" x14ac:dyDescent="0.15">
      <c r="A558" s="146"/>
      <c r="B558" s="545" t="s">
        <v>741</v>
      </c>
      <c r="C558" s="546"/>
      <c r="D558" s="147"/>
      <c r="E558" s="141">
        <v>0</v>
      </c>
      <c r="F558" s="141">
        <v>0</v>
      </c>
      <c r="G558" s="141">
        <v>0</v>
      </c>
      <c r="H558" s="141">
        <v>30</v>
      </c>
      <c r="I558" s="141">
        <f t="shared" ref="I558" si="129">H558</f>
        <v>30</v>
      </c>
      <c r="J558" s="131" t="s">
        <v>316</v>
      </c>
      <c r="K558" s="141">
        <f t="shared" ref="K558" si="130">I558</f>
        <v>30</v>
      </c>
      <c r="L558" s="126"/>
      <c r="M558" s="127"/>
      <c r="N558" s="127"/>
      <c r="O558" s="127"/>
      <c r="P558" s="127"/>
      <c r="Q558" s="128"/>
    </row>
    <row r="559" spans="1:17" ht="14" x14ac:dyDescent="0.15">
      <c r="A559" s="547" t="s">
        <v>149</v>
      </c>
      <c r="B559" s="548"/>
      <c r="C559" s="548"/>
      <c r="D559" s="548"/>
      <c r="E559" s="548"/>
      <c r="F559" s="548"/>
      <c r="G559" s="548"/>
      <c r="H559" s="548"/>
      <c r="I559" s="548"/>
      <c r="J559" s="549"/>
      <c r="K559" s="313">
        <f>SUM(K558:K558)</f>
        <v>30</v>
      </c>
      <c r="L559" s="132"/>
      <c r="M559" s="133"/>
      <c r="N559" s="133"/>
      <c r="O559" s="133"/>
      <c r="P559" s="133"/>
      <c r="Q559" s="134"/>
    </row>
    <row r="560" spans="1:17" x14ac:dyDescent="0.15">
      <c r="A560" s="550"/>
      <c r="B560" s="551"/>
      <c r="C560" s="551"/>
      <c r="D560" s="551"/>
      <c r="E560" s="551"/>
      <c r="F560" s="551"/>
      <c r="G560" s="551"/>
      <c r="H560" s="551"/>
      <c r="I560" s="551"/>
      <c r="J560" s="551"/>
      <c r="K560" s="551"/>
      <c r="L560" s="551"/>
      <c r="M560" s="551"/>
      <c r="N560" s="551"/>
      <c r="O560" s="551"/>
      <c r="P560" s="551"/>
      <c r="Q560" s="552"/>
    </row>
    <row r="561" spans="1:17" s="120" customFormat="1" ht="18" customHeight="1" x14ac:dyDescent="0.15">
      <c r="A561" s="396" t="s">
        <v>0</v>
      </c>
      <c r="B561" s="590" t="s">
        <v>1036</v>
      </c>
      <c r="C561" s="591"/>
      <c r="D561" s="591"/>
      <c r="E561" s="591"/>
      <c r="F561" s="591"/>
      <c r="G561" s="591"/>
      <c r="H561" s="591"/>
      <c r="I561" s="591"/>
      <c r="J561" s="591"/>
      <c r="K561" s="591"/>
      <c r="L561" s="591"/>
      <c r="M561" s="591"/>
      <c r="N561" s="592"/>
      <c r="O561" s="394" t="s">
        <v>73</v>
      </c>
      <c r="P561" s="547" t="s">
        <v>316</v>
      </c>
      <c r="Q561" s="549"/>
    </row>
    <row r="562" spans="1:17" x14ac:dyDescent="0.15">
      <c r="A562" s="550"/>
      <c r="B562" s="551"/>
      <c r="C562" s="551"/>
      <c r="D562" s="551"/>
      <c r="E562" s="551"/>
      <c r="F562" s="551"/>
      <c r="G562" s="551"/>
      <c r="H562" s="551"/>
      <c r="I562" s="551"/>
      <c r="J562" s="551"/>
      <c r="K562" s="551"/>
      <c r="L562" s="551"/>
      <c r="M562" s="551"/>
      <c r="N562" s="551"/>
      <c r="O562" s="551"/>
      <c r="P562" s="551"/>
      <c r="Q562" s="552"/>
    </row>
    <row r="563" spans="1:17" s="125" customFormat="1" x14ac:dyDescent="0.15">
      <c r="A563" s="553" t="s">
        <v>150</v>
      </c>
      <c r="B563" s="540" t="s">
        <v>151</v>
      </c>
      <c r="C563" s="540"/>
      <c r="D563" s="541"/>
      <c r="E563" s="540" t="s">
        <v>152</v>
      </c>
      <c r="F563" s="540"/>
      <c r="G563" s="540"/>
      <c r="H563" s="541" t="s">
        <v>153</v>
      </c>
      <c r="I563" s="541" t="s">
        <v>410</v>
      </c>
      <c r="J563" s="543" t="s">
        <v>73</v>
      </c>
      <c r="K563" s="394" t="s">
        <v>154</v>
      </c>
      <c r="L563" s="122"/>
      <c r="M563" s="123"/>
      <c r="N563" s="123"/>
      <c r="O563" s="123"/>
      <c r="P563" s="123"/>
      <c r="Q563" s="124"/>
    </row>
    <row r="564" spans="1:17" s="129" customFormat="1" x14ac:dyDescent="0.15">
      <c r="A564" s="553"/>
      <c r="B564" s="540"/>
      <c r="C564" s="540"/>
      <c r="D564" s="542"/>
      <c r="E564" s="393" t="s">
        <v>155</v>
      </c>
      <c r="F564" s="393" t="s">
        <v>156</v>
      </c>
      <c r="G564" s="393" t="s">
        <v>157</v>
      </c>
      <c r="H564" s="542"/>
      <c r="I564" s="542"/>
      <c r="J564" s="544"/>
      <c r="K564" s="394" t="s">
        <v>158</v>
      </c>
      <c r="L564" s="126"/>
      <c r="M564" s="127"/>
      <c r="N564" s="127"/>
      <c r="O564" s="127"/>
      <c r="P564" s="127"/>
      <c r="Q564" s="128"/>
    </row>
    <row r="565" spans="1:17" ht="30" customHeight="1" x14ac:dyDescent="0.15">
      <c r="A565" s="146"/>
      <c r="B565" s="545" t="s">
        <v>707</v>
      </c>
      <c r="C565" s="546"/>
      <c r="D565" s="147"/>
      <c r="E565" s="141">
        <v>0</v>
      </c>
      <c r="F565" s="141">
        <v>0</v>
      </c>
      <c r="G565" s="141">
        <v>0</v>
      </c>
      <c r="H565" s="141">
        <v>5</v>
      </c>
      <c r="I565" s="141">
        <f t="shared" ref="I565" si="131">H565</f>
        <v>5</v>
      </c>
      <c r="J565" s="131" t="s">
        <v>316</v>
      </c>
      <c r="K565" s="141">
        <f t="shared" ref="K565" si="132">I565</f>
        <v>5</v>
      </c>
      <c r="L565" s="126"/>
      <c r="M565" s="127"/>
      <c r="N565" s="127"/>
      <c r="O565" s="127"/>
      <c r="P565" s="127"/>
      <c r="Q565" s="128"/>
    </row>
    <row r="566" spans="1:17" ht="14" x14ac:dyDescent="0.15">
      <c r="A566" s="547" t="s">
        <v>149</v>
      </c>
      <c r="B566" s="548"/>
      <c r="C566" s="548"/>
      <c r="D566" s="548"/>
      <c r="E566" s="548"/>
      <c r="F566" s="548"/>
      <c r="G566" s="548"/>
      <c r="H566" s="548"/>
      <c r="I566" s="548"/>
      <c r="J566" s="549"/>
      <c r="K566" s="313">
        <f>SUM(K565:K565)</f>
        <v>5</v>
      </c>
      <c r="L566" s="132"/>
      <c r="M566" s="133"/>
      <c r="N566" s="133"/>
      <c r="O566" s="133"/>
      <c r="P566" s="133"/>
      <c r="Q566" s="134"/>
    </row>
    <row r="567" spans="1:17" x14ac:dyDescent="0.15">
      <c r="A567" s="550"/>
      <c r="B567" s="551"/>
      <c r="C567" s="551"/>
      <c r="D567" s="551"/>
      <c r="E567" s="551"/>
      <c r="F567" s="551"/>
      <c r="G567" s="551"/>
      <c r="H567" s="551"/>
      <c r="I567" s="551"/>
      <c r="J567" s="551"/>
      <c r="K567" s="551"/>
      <c r="L567" s="551"/>
      <c r="M567" s="551"/>
      <c r="N567" s="551"/>
      <c r="O567" s="551"/>
      <c r="P567" s="551"/>
      <c r="Q567" s="552"/>
    </row>
    <row r="568" spans="1:17" s="120" customFormat="1" x14ac:dyDescent="0.15">
      <c r="A568" s="396" t="s">
        <v>0</v>
      </c>
      <c r="B568" s="583" t="s">
        <v>1037</v>
      </c>
      <c r="C568" s="584"/>
      <c r="D568" s="584"/>
      <c r="E568" s="584"/>
      <c r="F568" s="584"/>
      <c r="G568" s="584"/>
      <c r="H568" s="584"/>
      <c r="I568" s="584"/>
      <c r="J568" s="584"/>
      <c r="K568" s="584"/>
      <c r="L568" s="584"/>
      <c r="M568" s="584"/>
      <c r="N568" s="585"/>
      <c r="O568" s="394" t="s">
        <v>73</v>
      </c>
      <c r="P568" s="547" t="s">
        <v>316</v>
      </c>
      <c r="Q568" s="549"/>
    </row>
    <row r="569" spans="1:17" x14ac:dyDescent="0.15">
      <c r="A569" s="550"/>
      <c r="B569" s="551"/>
      <c r="C569" s="551"/>
      <c r="D569" s="551"/>
      <c r="E569" s="551"/>
      <c r="F569" s="551"/>
      <c r="G569" s="551"/>
      <c r="H569" s="551"/>
      <c r="I569" s="551"/>
      <c r="J569" s="551"/>
      <c r="K569" s="551"/>
      <c r="L569" s="551"/>
      <c r="M569" s="551"/>
      <c r="N569" s="551"/>
      <c r="O569" s="551"/>
      <c r="P569" s="551"/>
      <c r="Q569" s="552"/>
    </row>
    <row r="570" spans="1:17" s="125" customFormat="1" x14ac:dyDescent="0.15">
      <c r="A570" s="553" t="s">
        <v>150</v>
      </c>
      <c r="B570" s="540" t="s">
        <v>151</v>
      </c>
      <c r="C570" s="540"/>
      <c r="D570" s="541"/>
      <c r="E570" s="540" t="s">
        <v>152</v>
      </c>
      <c r="F570" s="540"/>
      <c r="G570" s="540"/>
      <c r="H570" s="541" t="s">
        <v>153</v>
      </c>
      <c r="I570" s="541" t="s">
        <v>410</v>
      </c>
      <c r="J570" s="543" t="s">
        <v>73</v>
      </c>
      <c r="K570" s="394" t="s">
        <v>154</v>
      </c>
      <c r="L570" s="122"/>
      <c r="M570" s="123"/>
      <c r="N570" s="123"/>
      <c r="O570" s="123"/>
      <c r="P570" s="123"/>
      <c r="Q570" s="124"/>
    </row>
    <row r="571" spans="1:17" s="129" customFormat="1" x14ac:dyDescent="0.15">
      <c r="A571" s="553"/>
      <c r="B571" s="540"/>
      <c r="C571" s="540"/>
      <c r="D571" s="542"/>
      <c r="E571" s="393" t="s">
        <v>155</v>
      </c>
      <c r="F571" s="393" t="s">
        <v>156</v>
      </c>
      <c r="G571" s="393" t="s">
        <v>157</v>
      </c>
      <c r="H571" s="542"/>
      <c r="I571" s="542"/>
      <c r="J571" s="544"/>
      <c r="K571" s="394" t="s">
        <v>158</v>
      </c>
      <c r="L571" s="126"/>
      <c r="M571" s="127"/>
      <c r="N571" s="127"/>
      <c r="O571" s="127"/>
      <c r="P571" s="127"/>
      <c r="Q571" s="128"/>
    </row>
    <row r="572" spans="1:17" ht="14" x14ac:dyDescent="0.15">
      <c r="A572" s="146"/>
      <c r="B572" s="545" t="s">
        <v>860</v>
      </c>
      <c r="C572" s="546"/>
      <c r="D572" s="147"/>
      <c r="E572" s="141">
        <v>0</v>
      </c>
      <c r="F572" s="141">
        <v>0</v>
      </c>
      <c r="G572" s="141">
        <v>0</v>
      </c>
      <c r="H572" s="141">
        <f>H558</f>
        <v>30</v>
      </c>
      <c r="I572" s="141">
        <f t="shared" ref="I572:I575" si="133">H572</f>
        <v>30</v>
      </c>
      <c r="J572" s="131" t="s">
        <v>316</v>
      </c>
      <c r="K572" s="141">
        <f t="shared" ref="K572:K575" si="134">I572</f>
        <v>30</v>
      </c>
      <c r="L572" s="126"/>
      <c r="M572" s="127"/>
      <c r="N572" s="127"/>
      <c r="O572" s="127"/>
      <c r="P572" s="127"/>
      <c r="Q572" s="128"/>
    </row>
    <row r="573" spans="1:17" ht="14" x14ac:dyDescent="0.15">
      <c r="A573" s="146"/>
      <c r="B573" s="545" t="s">
        <v>739</v>
      </c>
      <c r="C573" s="546"/>
      <c r="D573" s="147"/>
      <c r="E573" s="141">
        <v>0</v>
      </c>
      <c r="F573" s="141">
        <v>0</v>
      </c>
      <c r="G573" s="141">
        <v>0</v>
      </c>
      <c r="H573" s="141">
        <f>I544</f>
        <v>26</v>
      </c>
      <c r="I573" s="141">
        <f t="shared" si="133"/>
        <v>26</v>
      </c>
      <c r="J573" s="131" t="s">
        <v>316</v>
      </c>
      <c r="K573" s="141">
        <f t="shared" si="134"/>
        <v>26</v>
      </c>
      <c r="L573" s="126"/>
      <c r="M573" s="127"/>
      <c r="N573" s="127"/>
      <c r="O573" s="127"/>
      <c r="P573" s="127"/>
      <c r="Q573" s="128"/>
    </row>
    <row r="574" spans="1:17" ht="14" x14ac:dyDescent="0.15">
      <c r="A574" s="146"/>
      <c r="B574" s="545" t="s">
        <v>861</v>
      </c>
      <c r="C574" s="546"/>
      <c r="D574" s="147"/>
      <c r="E574" s="141">
        <v>0</v>
      </c>
      <c r="F574" s="141">
        <v>0</v>
      </c>
      <c r="G574" s="141">
        <v>0</v>
      </c>
      <c r="H574" s="141">
        <f>H604</f>
        <v>8</v>
      </c>
      <c r="I574" s="141">
        <f t="shared" si="133"/>
        <v>8</v>
      </c>
      <c r="J574" s="131" t="s">
        <v>316</v>
      </c>
      <c r="K574" s="141">
        <f t="shared" si="134"/>
        <v>8</v>
      </c>
      <c r="L574" s="126"/>
      <c r="M574" s="127"/>
      <c r="N574" s="127"/>
      <c r="O574" s="127"/>
      <c r="P574" s="127"/>
      <c r="Q574" s="128"/>
    </row>
    <row r="575" spans="1:17" ht="14" x14ac:dyDescent="0.15">
      <c r="A575" s="146"/>
      <c r="B575" s="545" t="s">
        <v>862</v>
      </c>
      <c r="C575" s="546"/>
      <c r="D575" s="147"/>
      <c r="E575" s="141">
        <v>0</v>
      </c>
      <c r="F575" s="141">
        <v>0</v>
      </c>
      <c r="G575" s="141">
        <v>0</v>
      </c>
      <c r="H575" s="141">
        <f>H551</f>
        <v>14</v>
      </c>
      <c r="I575" s="141">
        <f t="shared" si="133"/>
        <v>14</v>
      </c>
      <c r="J575" s="131" t="s">
        <v>316</v>
      </c>
      <c r="K575" s="141">
        <f t="shared" si="134"/>
        <v>14</v>
      </c>
      <c r="L575" s="126"/>
      <c r="M575" s="127"/>
      <c r="N575" s="127"/>
      <c r="O575" s="127"/>
      <c r="P575" s="127"/>
      <c r="Q575" s="128"/>
    </row>
    <row r="576" spans="1:17" ht="14" x14ac:dyDescent="0.15">
      <c r="A576" s="547" t="s">
        <v>149</v>
      </c>
      <c r="B576" s="548"/>
      <c r="C576" s="548"/>
      <c r="D576" s="548"/>
      <c r="E576" s="548"/>
      <c r="F576" s="548"/>
      <c r="G576" s="548"/>
      <c r="H576" s="548"/>
      <c r="I576" s="548"/>
      <c r="J576" s="549"/>
      <c r="K576" s="313">
        <f>SUM(K572:K575)</f>
        <v>78</v>
      </c>
      <c r="L576" s="132"/>
      <c r="M576" s="133"/>
      <c r="N576" s="133"/>
      <c r="O576" s="133"/>
      <c r="P576" s="133"/>
      <c r="Q576" s="134"/>
    </row>
    <row r="577" spans="1:17" x14ac:dyDescent="0.15">
      <c r="A577" s="550"/>
      <c r="B577" s="551"/>
      <c r="C577" s="551"/>
      <c r="D577" s="551"/>
      <c r="E577" s="551"/>
      <c r="F577" s="551"/>
      <c r="G577" s="551"/>
      <c r="H577" s="551"/>
      <c r="I577" s="551"/>
      <c r="J577" s="551"/>
      <c r="K577" s="551"/>
      <c r="L577" s="551"/>
      <c r="M577" s="551"/>
      <c r="N577" s="551"/>
      <c r="O577" s="551"/>
      <c r="P577" s="551"/>
      <c r="Q577" s="552"/>
    </row>
    <row r="578" spans="1:17" s="120" customFormat="1" x14ac:dyDescent="0.15">
      <c r="A578" s="396" t="s">
        <v>0</v>
      </c>
      <c r="B578" s="583" t="s">
        <v>1038</v>
      </c>
      <c r="C578" s="584"/>
      <c r="D578" s="584"/>
      <c r="E578" s="584"/>
      <c r="F578" s="584"/>
      <c r="G578" s="584"/>
      <c r="H578" s="584"/>
      <c r="I578" s="584"/>
      <c r="J578" s="584"/>
      <c r="K578" s="584"/>
      <c r="L578" s="584"/>
      <c r="M578" s="584"/>
      <c r="N578" s="585"/>
      <c r="O578" s="394" t="s">
        <v>73</v>
      </c>
      <c r="P578" s="547" t="s">
        <v>316</v>
      </c>
      <c r="Q578" s="549"/>
    </row>
    <row r="579" spans="1:17" x14ac:dyDescent="0.15">
      <c r="A579" s="550"/>
      <c r="B579" s="551"/>
      <c r="C579" s="551"/>
      <c r="D579" s="551"/>
      <c r="E579" s="551"/>
      <c r="F579" s="551"/>
      <c r="G579" s="551"/>
      <c r="H579" s="551"/>
      <c r="I579" s="551"/>
      <c r="J579" s="551"/>
      <c r="K579" s="551"/>
      <c r="L579" s="551"/>
      <c r="M579" s="551"/>
      <c r="N579" s="551"/>
      <c r="O579" s="551"/>
      <c r="P579" s="551"/>
      <c r="Q579" s="552"/>
    </row>
    <row r="580" spans="1:17" s="125" customFormat="1" x14ac:dyDescent="0.15">
      <c r="A580" s="553" t="s">
        <v>150</v>
      </c>
      <c r="B580" s="540" t="s">
        <v>151</v>
      </c>
      <c r="C580" s="540"/>
      <c r="D580" s="541"/>
      <c r="E580" s="540" t="s">
        <v>152</v>
      </c>
      <c r="F580" s="540"/>
      <c r="G580" s="540"/>
      <c r="H580" s="541" t="s">
        <v>153</v>
      </c>
      <c r="I580" s="541" t="s">
        <v>410</v>
      </c>
      <c r="J580" s="543" t="s">
        <v>73</v>
      </c>
      <c r="K580" s="394" t="s">
        <v>154</v>
      </c>
      <c r="L580" s="122"/>
      <c r="M580" s="123"/>
      <c r="N580" s="123"/>
      <c r="O580" s="123"/>
      <c r="P580" s="123"/>
      <c r="Q580" s="124"/>
    </row>
    <row r="581" spans="1:17" s="129" customFormat="1" x14ac:dyDescent="0.15">
      <c r="A581" s="553"/>
      <c r="B581" s="540"/>
      <c r="C581" s="540"/>
      <c r="D581" s="542"/>
      <c r="E581" s="393" t="s">
        <v>155</v>
      </c>
      <c r="F581" s="393" t="s">
        <v>156</v>
      </c>
      <c r="G581" s="393" t="s">
        <v>157</v>
      </c>
      <c r="H581" s="542"/>
      <c r="I581" s="542"/>
      <c r="J581" s="544"/>
      <c r="K581" s="394" t="s">
        <v>158</v>
      </c>
      <c r="L581" s="126"/>
      <c r="M581" s="127"/>
      <c r="N581" s="127"/>
      <c r="O581" s="127"/>
      <c r="P581" s="127"/>
      <c r="Q581" s="128"/>
    </row>
    <row r="582" spans="1:17" ht="16.5" customHeight="1" x14ac:dyDescent="0.15">
      <c r="A582" s="146"/>
      <c r="B582" s="545" t="s">
        <v>848</v>
      </c>
      <c r="C582" s="546"/>
      <c r="D582" s="147"/>
      <c r="E582" s="141">
        <v>0</v>
      </c>
      <c r="F582" s="141">
        <v>0</v>
      </c>
      <c r="G582" s="141">
        <v>0</v>
      </c>
      <c r="H582" s="141">
        <f>H597</f>
        <v>8</v>
      </c>
      <c r="I582" s="141">
        <f t="shared" ref="I582:I583" si="135">H582</f>
        <v>8</v>
      </c>
      <c r="J582" s="131" t="s">
        <v>316</v>
      </c>
      <c r="K582" s="141">
        <f t="shared" ref="K582:K583" si="136">I582</f>
        <v>8</v>
      </c>
      <c r="L582" s="126"/>
      <c r="M582" s="127"/>
      <c r="N582" s="127"/>
      <c r="O582" s="127"/>
      <c r="P582" s="127"/>
      <c r="Q582" s="128"/>
    </row>
    <row r="583" spans="1:17" ht="16.5" customHeight="1" x14ac:dyDescent="0.15">
      <c r="A583" s="146"/>
      <c r="B583" s="545" t="s">
        <v>849</v>
      </c>
      <c r="C583" s="546"/>
      <c r="D583" s="147"/>
      <c r="E583" s="141">
        <v>0</v>
      </c>
      <c r="F583" s="141">
        <v>0</v>
      </c>
      <c r="G583" s="141">
        <v>0</v>
      </c>
      <c r="H583" s="141">
        <f>H590</f>
        <v>11</v>
      </c>
      <c r="I583" s="141">
        <f t="shared" si="135"/>
        <v>11</v>
      </c>
      <c r="J583" s="131" t="s">
        <v>316</v>
      </c>
      <c r="K583" s="141">
        <f t="shared" si="136"/>
        <v>11</v>
      </c>
      <c r="L583" s="126"/>
      <c r="M583" s="127"/>
      <c r="N583" s="127"/>
      <c r="O583" s="127"/>
      <c r="P583" s="127"/>
      <c r="Q583" s="128"/>
    </row>
    <row r="584" spans="1:17" ht="14" x14ac:dyDescent="0.15">
      <c r="A584" s="547" t="s">
        <v>149</v>
      </c>
      <c r="B584" s="548"/>
      <c r="C584" s="548"/>
      <c r="D584" s="548"/>
      <c r="E584" s="548"/>
      <c r="F584" s="548"/>
      <c r="G584" s="548"/>
      <c r="H584" s="548"/>
      <c r="I584" s="548"/>
      <c r="J584" s="549"/>
      <c r="K584" s="313">
        <f>SUM(K582:K583)</f>
        <v>19</v>
      </c>
      <c r="L584" s="132"/>
      <c r="M584" s="133"/>
      <c r="N584" s="133"/>
      <c r="O584" s="133"/>
      <c r="P584" s="133"/>
      <c r="Q584" s="134"/>
    </row>
    <row r="585" spans="1:17" x14ac:dyDescent="0.15">
      <c r="A585" s="550"/>
      <c r="B585" s="551"/>
      <c r="C585" s="551"/>
      <c r="D585" s="551"/>
      <c r="E585" s="551"/>
      <c r="F585" s="551"/>
      <c r="G585" s="551"/>
      <c r="H585" s="551"/>
      <c r="I585" s="551"/>
      <c r="J585" s="551"/>
      <c r="K585" s="551"/>
      <c r="L585" s="551"/>
      <c r="M585" s="551"/>
      <c r="N585" s="551"/>
      <c r="O585" s="551"/>
      <c r="P585" s="551"/>
      <c r="Q585" s="552"/>
    </row>
    <row r="586" spans="1:17" s="120" customFormat="1" x14ac:dyDescent="0.15">
      <c r="A586" s="396" t="s">
        <v>0</v>
      </c>
      <c r="B586" s="583" t="s">
        <v>1039</v>
      </c>
      <c r="C586" s="584"/>
      <c r="D586" s="584"/>
      <c r="E586" s="584"/>
      <c r="F586" s="584"/>
      <c r="G586" s="584"/>
      <c r="H586" s="584"/>
      <c r="I586" s="584"/>
      <c r="J586" s="584"/>
      <c r="K586" s="584"/>
      <c r="L586" s="584"/>
      <c r="M586" s="584"/>
      <c r="N586" s="585"/>
      <c r="O586" s="394" t="s">
        <v>73</v>
      </c>
      <c r="P586" s="547" t="s">
        <v>316</v>
      </c>
      <c r="Q586" s="549"/>
    </row>
    <row r="587" spans="1:17" x14ac:dyDescent="0.15">
      <c r="A587" s="550"/>
      <c r="B587" s="551"/>
      <c r="C587" s="551"/>
      <c r="D587" s="551"/>
      <c r="E587" s="551"/>
      <c r="F587" s="551"/>
      <c r="G587" s="551"/>
      <c r="H587" s="551"/>
      <c r="I587" s="551"/>
      <c r="J587" s="551"/>
      <c r="K587" s="551"/>
      <c r="L587" s="551"/>
      <c r="M587" s="551"/>
      <c r="N587" s="551"/>
      <c r="O587" s="551"/>
      <c r="P587" s="551"/>
      <c r="Q587" s="552"/>
    </row>
    <row r="588" spans="1:17" s="125" customFormat="1" x14ac:dyDescent="0.15">
      <c r="A588" s="553" t="s">
        <v>150</v>
      </c>
      <c r="B588" s="540" t="s">
        <v>151</v>
      </c>
      <c r="C588" s="540"/>
      <c r="D588" s="541"/>
      <c r="E588" s="540" t="s">
        <v>152</v>
      </c>
      <c r="F588" s="540"/>
      <c r="G588" s="540"/>
      <c r="H588" s="541" t="s">
        <v>153</v>
      </c>
      <c r="I588" s="541" t="s">
        <v>410</v>
      </c>
      <c r="J588" s="543" t="s">
        <v>73</v>
      </c>
      <c r="K588" s="394" t="s">
        <v>154</v>
      </c>
      <c r="L588" s="122"/>
      <c r="M588" s="123"/>
      <c r="N588" s="123"/>
      <c r="O588" s="123"/>
      <c r="P588" s="123"/>
      <c r="Q588" s="124"/>
    </row>
    <row r="589" spans="1:17" s="129" customFormat="1" x14ac:dyDescent="0.15">
      <c r="A589" s="553"/>
      <c r="B589" s="540"/>
      <c r="C589" s="540"/>
      <c r="D589" s="542"/>
      <c r="E589" s="393" t="s">
        <v>155</v>
      </c>
      <c r="F589" s="393" t="s">
        <v>156</v>
      </c>
      <c r="G589" s="393" t="s">
        <v>157</v>
      </c>
      <c r="H589" s="542"/>
      <c r="I589" s="542"/>
      <c r="J589" s="544"/>
      <c r="K589" s="394" t="s">
        <v>158</v>
      </c>
      <c r="L589" s="126"/>
      <c r="M589" s="127"/>
      <c r="N589" s="127"/>
      <c r="O589" s="127"/>
      <c r="P589" s="127"/>
      <c r="Q589" s="128"/>
    </row>
    <row r="590" spans="1:17" ht="16.5" customHeight="1" x14ac:dyDescent="0.15">
      <c r="A590" s="146"/>
      <c r="B590" s="545" t="s">
        <v>849</v>
      </c>
      <c r="C590" s="546"/>
      <c r="D590" s="147"/>
      <c r="E590" s="141">
        <v>0</v>
      </c>
      <c r="F590" s="141">
        <v>0</v>
      </c>
      <c r="G590" s="141">
        <v>0</v>
      </c>
      <c r="H590" s="141">
        <v>11</v>
      </c>
      <c r="I590" s="141">
        <f>H590</f>
        <v>11</v>
      </c>
      <c r="J590" s="131" t="s">
        <v>316</v>
      </c>
      <c r="K590" s="141">
        <f>I590</f>
        <v>11</v>
      </c>
      <c r="L590" s="126"/>
      <c r="M590" s="127"/>
      <c r="N590" s="127"/>
      <c r="O590" s="127"/>
      <c r="P590" s="127"/>
      <c r="Q590" s="128"/>
    </row>
    <row r="591" spans="1:17" ht="14" x14ac:dyDescent="0.15">
      <c r="A591" s="547" t="s">
        <v>149</v>
      </c>
      <c r="B591" s="548"/>
      <c r="C591" s="548"/>
      <c r="D591" s="548"/>
      <c r="E591" s="548"/>
      <c r="F591" s="548"/>
      <c r="G591" s="548"/>
      <c r="H591" s="548"/>
      <c r="I591" s="548"/>
      <c r="J591" s="549"/>
      <c r="K591" s="313">
        <f>SUM(K590:K590)</f>
        <v>11</v>
      </c>
      <c r="L591" s="132"/>
      <c r="M591" s="133"/>
      <c r="N591" s="133"/>
      <c r="O591" s="133"/>
      <c r="P591" s="133"/>
      <c r="Q591" s="134"/>
    </row>
    <row r="592" spans="1:17" x14ac:dyDescent="0.15">
      <c r="A592" s="550"/>
      <c r="B592" s="551"/>
      <c r="C592" s="551"/>
      <c r="D592" s="551"/>
      <c r="E592" s="551"/>
      <c r="F592" s="551"/>
      <c r="G592" s="551"/>
      <c r="H592" s="551"/>
      <c r="I592" s="551"/>
      <c r="J592" s="551"/>
      <c r="K592" s="551"/>
      <c r="L592" s="551"/>
      <c r="M592" s="551"/>
      <c r="N592" s="551"/>
      <c r="O592" s="551"/>
      <c r="P592" s="551"/>
      <c r="Q592" s="552"/>
    </row>
    <row r="593" spans="1:17" s="120" customFormat="1" x14ac:dyDescent="0.15">
      <c r="A593" s="396" t="s">
        <v>0</v>
      </c>
      <c r="B593" s="583" t="s">
        <v>1040</v>
      </c>
      <c r="C593" s="584"/>
      <c r="D593" s="584"/>
      <c r="E593" s="584"/>
      <c r="F593" s="584"/>
      <c r="G593" s="584"/>
      <c r="H593" s="584"/>
      <c r="I593" s="584"/>
      <c r="J593" s="584"/>
      <c r="K593" s="584"/>
      <c r="L593" s="584"/>
      <c r="M593" s="584"/>
      <c r="N593" s="585"/>
      <c r="O593" s="394" t="s">
        <v>73</v>
      </c>
      <c r="P593" s="547" t="s">
        <v>316</v>
      </c>
      <c r="Q593" s="549"/>
    </row>
    <row r="594" spans="1:17" x14ac:dyDescent="0.15">
      <c r="A594" s="550"/>
      <c r="B594" s="551"/>
      <c r="C594" s="551"/>
      <c r="D594" s="551"/>
      <c r="E594" s="551"/>
      <c r="F594" s="551"/>
      <c r="G594" s="551"/>
      <c r="H594" s="551"/>
      <c r="I594" s="551"/>
      <c r="J594" s="551"/>
      <c r="K594" s="551"/>
      <c r="L594" s="551"/>
      <c r="M594" s="551"/>
      <c r="N594" s="551"/>
      <c r="O594" s="551"/>
      <c r="P594" s="551"/>
      <c r="Q594" s="552"/>
    </row>
    <row r="595" spans="1:17" s="125" customFormat="1" x14ac:dyDescent="0.15">
      <c r="A595" s="553" t="s">
        <v>150</v>
      </c>
      <c r="B595" s="540" t="s">
        <v>151</v>
      </c>
      <c r="C595" s="540"/>
      <c r="D595" s="541"/>
      <c r="E595" s="540" t="s">
        <v>152</v>
      </c>
      <c r="F595" s="540"/>
      <c r="G595" s="540"/>
      <c r="H595" s="541" t="s">
        <v>153</v>
      </c>
      <c r="I595" s="541" t="s">
        <v>410</v>
      </c>
      <c r="J595" s="543" t="s">
        <v>73</v>
      </c>
      <c r="K595" s="394" t="s">
        <v>154</v>
      </c>
      <c r="L595" s="122"/>
      <c r="M595" s="123"/>
      <c r="N595" s="123"/>
      <c r="O595" s="123"/>
      <c r="P595" s="123"/>
      <c r="Q595" s="124"/>
    </row>
    <row r="596" spans="1:17" s="129" customFormat="1" x14ac:dyDescent="0.15">
      <c r="A596" s="553"/>
      <c r="B596" s="540"/>
      <c r="C596" s="540"/>
      <c r="D596" s="542"/>
      <c r="E596" s="393" t="s">
        <v>155</v>
      </c>
      <c r="F596" s="393" t="s">
        <v>156</v>
      </c>
      <c r="G596" s="393" t="s">
        <v>157</v>
      </c>
      <c r="H596" s="542"/>
      <c r="I596" s="542"/>
      <c r="J596" s="544"/>
      <c r="K596" s="394" t="s">
        <v>158</v>
      </c>
      <c r="L596" s="126"/>
      <c r="M596" s="127"/>
      <c r="N596" s="127"/>
      <c r="O596" s="127"/>
      <c r="P596" s="127"/>
      <c r="Q596" s="128"/>
    </row>
    <row r="597" spans="1:17" ht="25.5" customHeight="1" x14ac:dyDescent="0.15">
      <c r="A597" s="146"/>
      <c r="B597" s="545" t="s">
        <v>873</v>
      </c>
      <c r="C597" s="546"/>
      <c r="D597" s="147"/>
      <c r="E597" s="141">
        <v>0</v>
      </c>
      <c r="F597" s="141">
        <v>0</v>
      </c>
      <c r="G597" s="141">
        <v>0</v>
      </c>
      <c r="H597" s="141">
        <v>8</v>
      </c>
      <c r="I597" s="141">
        <f t="shared" ref="I597" si="137">H597</f>
        <v>8</v>
      </c>
      <c r="J597" s="131" t="s">
        <v>316</v>
      </c>
      <c r="K597" s="141">
        <f t="shared" ref="K597" si="138">I597</f>
        <v>8</v>
      </c>
      <c r="L597" s="126"/>
      <c r="M597" s="127"/>
      <c r="N597" s="127"/>
      <c r="O597" s="127"/>
      <c r="P597" s="127"/>
      <c r="Q597" s="128"/>
    </row>
    <row r="598" spans="1:17" ht="14" x14ac:dyDescent="0.15">
      <c r="A598" s="547" t="s">
        <v>149</v>
      </c>
      <c r="B598" s="548"/>
      <c r="C598" s="548"/>
      <c r="D598" s="548"/>
      <c r="E598" s="548"/>
      <c r="F598" s="548"/>
      <c r="G598" s="548"/>
      <c r="H598" s="548"/>
      <c r="I598" s="548"/>
      <c r="J598" s="549"/>
      <c r="K598" s="313">
        <f>SUM(K597:K597)</f>
        <v>8</v>
      </c>
      <c r="L598" s="132"/>
      <c r="M598" s="133"/>
      <c r="N598" s="133"/>
      <c r="O598" s="133"/>
      <c r="P598" s="133"/>
      <c r="Q598" s="134"/>
    </row>
    <row r="599" spans="1:17" x14ac:dyDescent="0.15">
      <c r="A599" s="550"/>
      <c r="B599" s="551"/>
      <c r="C599" s="551"/>
      <c r="D599" s="551"/>
      <c r="E599" s="551"/>
      <c r="F599" s="551"/>
      <c r="G599" s="551"/>
      <c r="H599" s="551"/>
      <c r="I599" s="551"/>
      <c r="J599" s="551"/>
      <c r="K599" s="551"/>
      <c r="L599" s="551"/>
      <c r="M599" s="551"/>
      <c r="N599" s="551"/>
      <c r="O599" s="551"/>
      <c r="P599" s="551"/>
      <c r="Q599" s="552"/>
    </row>
    <row r="600" spans="1:17" s="120" customFormat="1" x14ac:dyDescent="0.15">
      <c r="A600" s="396" t="s">
        <v>0</v>
      </c>
      <c r="B600" s="583" t="s">
        <v>1041</v>
      </c>
      <c r="C600" s="584"/>
      <c r="D600" s="584"/>
      <c r="E600" s="584"/>
      <c r="F600" s="584"/>
      <c r="G600" s="584"/>
      <c r="H600" s="584"/>
      <c r="I600" s="584"/>
      <c r="J600" s="584"/>
      <c r="K600" s="584"/>
      <c r="L600" s="584"/>
      <c r="M600" s="584"/>
      <c r="N600" s="585"/>
      <c r="O600" s="394" t="s">
        <v>73</v>
      </c>
      <c r="P600" s="547" t="s">
        <v>316</v>
      </c>
      <c r="Q600" s="549"/>
    </row>
    <row r="601" spans="1:17" x14ac:dyDescent="0.15">
      <c r="A601" s="550"/>
      <c r="B601" s="551"/>
      <c r="C601" s="551"/>
      <c r="D601" s="551"/>
      <c r="E601" s="551"/>
      <c r="F601" s="551"/>
      <c r="G601" s="551"/>
      <c r="H601" s="551"/>
      <c r="I601" s="551"/>
      <c r="J601" s="551"/>
      <c r="K601" s="551"/>
      <c r="L601" s="551"/>
      <c r="M601" s="551"/>
      <c r="N601" s="551"/>
      <c r="O601" s="551"/>
      <c r="P601" s="551"/>
      <c r="Q601" s="552"/>
    </row>
    <row r="602" spans="1:17" s="125" customFormat="1" x14ac:dyDescent="0.15">
      <c r="A602" s="553" t="s">
        <v>150</v>
      </c>
      <c r="B602" s="540" t="s">
        <v>151</v>
      </c>
      <c r="C602" s="540"/>
      <c r="D602" s="541"/>
      <c r="E602" s="540" t="s">
        <v>152</v>
      </c>
      <c r="F602" s="540"/>
      <c r="G602" s="540"/>
      <c r="H602" s="541" t="s">
        <v>153</v>
      </c>
      <c r="I602" s="541" t="s">
        <v>410</v>
      </c>
      <c r="J602" s="543" t="s">
        <v>73</v>
      </c>
      <c r="K602" s="394" t="s">
        <v>154</v>
      </c>
      <c r="L602" s="122"/>
      <c r="M602" s="123"/>
      <c r="N602" s="123"/>
      <c r="O602" s="123"/>
      <c r="P602" s="123"/>
      <c r="Q602" s="124"/>
    </row>
    <row r="603" spans="1:17" s="129" customFormat="1" x14ac:dyDescent="0.15">
      <c r="A603" s="553"/>
      <c r="B603" s="540"/>
      <c r="C603" s="540"/>
      <c r="D603" s="542"/>
      <c r="E603" s="393" t="s">
        <v>155</v>
      </c>
      <c r="F603" s="393" t="s">
        <v>156</v>
      </c>
      <c r="G603" s="393" t="s">
        <v>157</v>
      </c>
      <c r="H603" s="542"/>
      <c r="I603" s="542"/>
      <c r="J603" s="544"/>
      <c r="K603" s="394" t="s">
        <v>158</v>
      </c>
      <c r="L603" s="126"/>
      <c r="M603" s="127"/>
      <c r="N603" s="127"/>
      <c r="O603" s="127"/>
      <c r="P603" s="127"/>
      <c r="Q603" s="128"/>
    </row>
    <row r="604" spans="1:17" ht="14" x14ac:dyDescent="0.15">
      <c r="A604" s="146"/>
      <c r="B604" s="545" t="s">
        <v>740</v>
      </c>
      <c r="C604" s="546"/>
      <c r="D604" s="147"/>
      <c r="E604" s="141">
        <v>0</v>
      </c>
      <c r="F604" s="141">
        <v>0</v>
      </c>
      <c r="G604" s="141">
        <v>0</v>
      </c>
      <c r="H604" s="141">
        <v>8</v>
      </c>
      <c r="I604" s="141">
        <f t="shared" ref="I604" si="139">H604</f>
        <v>8</v>
      </c>
      <c r="J604" s="131" t="s">
        <v>316</v>
      </c>
      <c r="K604" s="141">
        <f t="shared" ref="K604" si="140">I604</f>
        <v>8</v>
      </c>
      <c r="L604" s="126"/>
      <c r="M604" s="127"/>
      <c r="N604" s="127"/>
      <c r="O604" s="127"/>
      <c r="P604" s="127"/>
      <c r="Q604" s="128"/>
    </row>
    <row r="605" spans="1:17" ht="14" x14ac:dyDescent="0.15">
      <c r="A605" s="547" t="s">
        <v>149</v>
      </c>
      <c r="B605" s="548"/>
      <c r="C605" s="548"/>
      <c r="D605" s="548"/>
      <c r="E605" s="548"/>
      <c r="F605" s="548"/>
      <c r="G605" s="548"/>
      <c r="H605" s="548"/>
      <c r="I605" s="548"/>
      <c r="J605" s="549"/>
      <c r="K605" s="313">
        <f>SUM(K604:K604)</f>
        <v>8</v>
      </c>
      <c r="L605" s="132"/>
      <c r="M605" s="133"/>
      <c r="N605" s="133"/>
      <c r="O605" s="133"/>
      <c r="P605" s="133"/>
      <c r="Q605" s="134"/>
    </row>
    <row r="606" spans="1:17" x14ac:dyDescent="0.15">
      <c r="A606" s="550"/>
      <c r="B606" s="551"/>
      <c r="C606" s="551"/>
      <c r="D606" s="551"/>
      <c r="E606" s="551"/>
      <c r="F606" s="551"/>
      <c r="G606" s="551"/>
      <c r="H606" s="551"/>
      <c r="I606" s="551"/>
      <c r="J606" s="551"/>
      <c r="K606" s="551"/>
      <c r="L606" s="551"/>
      <c r="M606" s="551"/>
      <c r="N606" s="551"/>
      <c r="O606" s="551"/>
      <c r="P606" s="551"/>
      <c r="Q606" s="552"/>
    </row>
    <row r="607" spans="1:17" s="120" customFormat="1" x14ac:dyDescent="0.15">
      <c r="A607" s="396" t="s">
        <v>0</v>
      </c>
      <c r="B607" s="583" t="s">
        <v>1042</v>
      </c>
      <c r="C607" s="584"/>
      <c r="D607" s="584"/>
      <c r="E607" s="584"/>
      <c r="F607" s="584"/>
      <c r="G607" s="584"/>
      <c r="H607" s="584"/>
      <c r="I607" s="584"/>
      <c r="J607" s="584"/>
      <c r="K607" s="584"/>
      <c r="L607" s="584"/>
      <c r="M607" s="584"/>
      <c r="N607" s="585"/>
      <c r="O607" s="394" t="s">
        <v>73</v>
      </c>
      <c r="P607" s="547" t="s">
        <v>316</v>
      </c>
      <c r="Q607" s="549"/>
    </row>
    <row r="608" spans="1:17" x14ac:dyDescent="0.15">
      <c r="A608" s="550"/>
      <c r="B608" s="551"/>
      <c r="C608" s="551"/>
      <c r="D608" s="551"/>
      <c r="E608" s="551"/>
      <c r="F608" s="551"/>
      <c r="G608" s="551"/>
      <c r="H608" s="551"/>
      <c r="I608" s="551"/>
      <c r="J608" s="551"/>
      <c r="K608" s="551"/>
      <c r="L608" s="551"/>
      <c r="M608" s="551"/>
      <c r="N608" s="551"/>
      <c r="O608" s="551"/>
      <c r="P608" s="551"/>
      <c r="Q608" s="552"/>
    </row>
    <row r="609" spans="1:17" s="125" customFormat="1" x14ac:dyDescent="0.15">
      <c r="A609" s="553" t="s">
        <v>150</v>
      </c>
      <c r="B609" s="540" t="s">
        <v>151</v>
      </c>
      <c r="C609" s="540"/>
      <c r="D609" s="541"/>
      <c r="E609" s="540" t="s">
        <v>152</v>
      </c>
      <c r="F609" s="540"/>
      <c r="G609" s="540"/>
      <c r="H609" s="541" t="s">
        <v>153</v>
      </c>
      <c r="I609" s="541" t="s">
        <v>410</v>
      </c>
      <c r="J609" s="543" t="s">
        <v>73</v>
      </c>
      <c r="K609" s="394" t="s">
        <v>154</v>
      </c>
      <c r="L609" s="122"/>
      <c r="M609" s="123"/>
      <c r="N609" s="123"/>
      <c r="O609" s="123"/>
      <c r="P609" s="123"/>
      <c r="Q609" s="124"/>
    </row>
    <row r="610" spans="1:17" s="129" customFormat="1" x14ac:dyDescent="0.15">
      <c r="A610" s="553"/>
      <c r="B610" s="540"/>
      <c r="C610" s="540"/>
      <c r="D610" s="542"/>
      <c r="E610" s="393" t="s">
        <v>155</v>
      </c>
      <c r="F610" s="393" t="s">
        <v>156</v>
      </c>
      <c r="G610" s="393" t="s">
        <v>157</v>
      </c>
      <c r="H610" s="542"/>
      <c r="I610" s="542"/>
      <c r="J610" s="544"/>
      <c r="K610" s="394" t="s">
        <v>158</v>
      </c>
      <c r="L610" s="126"/>
      <c r="M610" s="127"/>
      <c r="N610" s="127"/>
      <c r="O610" s="127"/>
      <c r="P610" s="127"/>
      <c r="Q610" s="128"/>
    </row>
    <row r="611" spans="1:17" ht="14" x14ac:dyDescent="0.15">
      <c r="A611" s="146"/>
      <c r="B611" s="545" t="s">
        <v>863</v>
      </c>
      <c r="C611" s="546"/>
      <c r="D611" s="147"/>
      <c r="E611" s="141">
        <v>0</v>
      </c>
      <c r="F611" s="141">
        <v>0</v>
      </c>
      <c r="G611" s="141">
        <v>0</v>
      </c>
      <c r="H611" s="141">
        <v>7</v>
      </c>
      <c r="I611" s="141">
        <f t="shared" ref="I611" si="141">H611</f>
        <v>7</v>
      </c>
      <c r="J611" s="131" t="s">
        <v>316</v>
      </c>
      <c r="K611" s="141">
        <f t="shared" ref="K611" si="142">I611</f>
        <v>7</v>
      </c>
      <c r="L611" s="126"/>
      <c r="M611" s="127"/>
      <c r="N611" s="127"/>
      <c r="O611" s="127"/>
      <c r="P611" s="127"/>
      <c r="Q611" s="128"/>
    </row>
    <row r="612" spans="1:17" ht="14" x14ac:dyDescent="0.15">
      <c r="A612" s="547" t="s">
        <v>149</v>
      </c>
      <c r="B612" s="548"/>
      <c r="C612" s="548"/>
      <c r="D612" s="548"/>
      <c r="E612" s="548"/>
      <c r="F612" s="548"/>
      <c r="G612" s="548"/>
      <c r="H612" s="548"/>
      <c r="I612" s="548"/>
      <c r="J612" s="549"/>
      <c r="K612" s="313">
        <f>SUM(K611:K611)</f>
        <v>7</v>
      </c>
      <c r="L612" s="132"/>
      <c r="M612" s="133"/>
      <c r="N612" s="133"/>
      <c r="O612" s="133"/>
      <c r="P612" s="133"/>
      <c r="Q612" s="134"/>
    </row>
    <row r="613" spans="1:17" x14ac:dyDescent="0.15">
      <c r="A613" s="550"/>
      <c r="B613" s="551"/>
      <c r="C613" s="551"/>
      <c r="D613" s="551"/>
      <c r="E613" s="551"/>
      <c r="F613" s="551"/>
      <c r="G613" s="551"/>
      <c r="H613" s="551"/>
      <c r="I613" s="551"/>
      <c r="J613" s="551"/>
      <c r="K613" s="551"/>
      <c r="L613" s="551"/>
      <c r="M613" s="551"/>
      <c r="N613" s="551"/>
      <c r="O613" s="551"/>
      <c r="P613" s="551"/>
      <c r="Q613" s="552"/>
    </row>
    <row r="614" spans="1:17" s="120" customFormat="1" x14ac:dyDescent="0.15">
      <c r="A614" s="396" t="s">
        <v>0</v>
      </c>
      <c r="B614" s="583" t="s">
        <v>1043</v>
      </c>
      <c r="C614" s="584"/>
      <c r="D614" s="584"/>
      <c r="E614" s="584"/>
      <c r="F614" s="584"/>
      <c r="G614" s="584"/>
      <c r="H614" s="584"/>
      <c r="I614" s="584"/>
      <c r="J614" s="584"/>
      <c r="K614" s="584"/>
      <c r="L614" s="584"/>
      <c r="M614" s="584"/>
      <c r="N614" s="585"/>
      <c r="O614" s="394" t="s">
        <v>73</v>
      </c>
      <c r="P614" s="547" t="s">
        <v>316</v>
      </c>
      <c r="Q614" s="549"/>
    </row>
    <row r="615" spans="1:17" x14ac:dyDescent="0.15">
      <c r="A615" s="550"/>
      <c r="B615" s="551"/>
      <c r="C615" s="551"/>
      <c r="D615" s="551"/>
      <c r="E615" s="551"/>
      <c r="F615" s="551"/>
      <c r="G615" s="551"/>
      <c r="H615" s="551"/>
      <c r="I615" s="551"/>
      <c r="J615" s="551"/>
      <c r="K615" s="551"/>
      <c r="L615" s="551"/>
      <c r="M615" s="551"/>
      <c r="N615" s="551"/>
      <c r="O615" s="551"/>
      <c r="P615" s="551"/>
      <c r="Q615" s="552"/>
    </row>
    <row r="616" spans="1:17" s="125" customFormat="1" x14ac:dyDescent="0.15">
      <c r="A616" s="553" t="s">
        <v>150</v>
      </c>
      <c r="B616" s="540" t="s">
        <v>151</v>
      </c>
      <c r="C616" s="540"/>
      <c r="D616" s="541"/>
      <c r="E616" s="540" t="s">
        <v>152</v>
      </c>
      <c r="F616" s="540"/>
      <c r="G616" s="540"/>
      <c r="H616" s="541" t="s">
        <v>153</v>
      </c>
      <c r="I616" s="541" t="s">
        <v>410</v>
      </c>
      <c r="J616" s="543" t="s">
        <v>73</v>
      </c>
      <c r="K616" s="394" t="s">
        <v>154</v>
      </c>
      <c r="L616" s="122"/>
      <c r="M616" s="123"/>
      <c r="N616" s="123"/>
      <c r="O616" s="123"/>
      <c r="P616" s="123"/>
      <c r="Q616" s="124"/>
    </row>
    <row r="617" spans="1:17" s="129" customFormat="1" x14ac:dyDescent="0.15">
      <c r="A617" s="553"/>
      <c r="B617" s="540"/>
      <c r="C617" s="540"/>
      <c r="D617" s="542"/>
      <c r="E617" s="393" t="s">
        <v>155</v>
      </c>
      <c r="F617" s="393" t="s">
        <v>156</v>
      </c>
      <c r="G617" s="393" t="s">
        <v>157</v>
      </c>
      <c r="H617" s="542"/>
      <c r="I617" s="542"/>
      <c r="J617" s="544"/>
      <c r="K617" s="394" t="s">
        <v>158</v>
      </c>
      <c r="L617" s="126"/>
      <c r="M617" s="127"/>
      <c r="N617" s="127"/>
      <c r="O617" s="127"/>
      <c r="P617" s="127"/>
      <c r="Q617" s="128"/>
    </row>
    <row r="618" spans="1:17" ht="14" x14ac:dyDescent="0.15">
      <c r="A618" s="146"/>
      <c r="B618" s="545" t="s">
        <v>864</v>
      </c>
      <c r="C618" s="546"/>
      <c r="D618" s="147"/>
      <c r="E618" s="141">
        <v>0.6</v>
      </c>
      <c r="F618" s="141">
        <v>0.6</v>
      </c>
      <c r="G618" s="141">
        <v>0.4</v>
      </c>
      <c r="H618" s="141">
        <v>1</v>
      </c>
      <c r="I618" s="141">
        <v>2</v>
      </c>
      <c r="J618" s="131" t="s">
        <v>316</v>
      </c>
      <c r="K618" s="141">
        <f>I618</f>
        <v>2</v>
      </c>
      <c r="L618" s="126"/>
      <c r="M618" s="127"/>
      <c r="N618" s="127"/>
      <c r="O618" s="127"/>
      <c r="P618" s="127"/>
      <c r="Q618" s="128"/>
    </row>
    <row r="619" spans="1:17" ht="14" x14ac:dyDescent="0.15">
      <c r="A619" s="547" t="s">
        <v>149</v>
      </c>
      <c r="B619" s="548"/>
      <c r="C619" s="548"/>
      <c r="D619" s="548"/>
      <c r="E619" s="548"/>
      <c r="F619" s="548"/>
      <c r="G619" s="548"/>
      <c r="H619" s="548"/>
      <c r="I619" s="548"/>
      <c r="J619" s="549"/>
      <c r="K619" s="313">
        <f>SUM(K618:K618)</f>
        <v>2</v>
      </c>
      <c r="L619" s="132"/>
      <c r="M619" s="133"/>
      <c r="N619" s="133"/>
      <c r="O619" s="133"/>
      <c r="P619" s="133"/>
      <c r="Q619" s="134"/>
    </row>
    <row r="620" spans="1:17" x14ac:dyDescent="0.15">
      <c r="A620" s="550"/>
      <c r="B620" s="551"/>
      <c r="C620" s="551"/>
      <c r="D620" s="551"/>
      <c r="E620" s="551"/>
      <c r="F620" s="551"/>
      <c r="G620" s="551"/>
      <c r="H620" s="551"/>
      <c r="I620" s="551"/>
      <c r="J620" s="551"/>
      <c r="K620" s="551"/>
      <c r="L620" s="551"/>
      <c r="M620" s="551"/>
      <c r="N620" s="551"/>
      <c r="O620" s="551"/>
      <c r="P620" s="551"/>
      <c r="Q620" s="552"/>
    </row>
    <row r="621" spans="1:17" s="120" customFormat="1" ht="18" customHeight="1" x14ac:dyDescent="0.15">
      <c r="A621" s="396" t="s">
        <v>0</v>
      </c>
      <c r="B621" s="562" t="s">
        <v>1044</v>
      </c>
      <c r="C621" s="563"/>
      <c r="D621" s="563"/>
      <c r="E621" s="563"/>
      <c r="F621" s="563"/>
      <c r="G621" s="563"/>
      <c r="H621" s="563"/>
      <c r="I621" s="563"/>
      <c r="J621" s="563"/>
      <c r="K621" s="563"/>
      <c r="L621" s="563"/>
      <c r="M621" s="563"/>
      <c r="N621" s="564"/>
      <c r="O621" s="394" t="s">
        <v>73</v>
      </c>
      <c r="P621" s="547" t="s">
        <v>5</v>
      </c>
      <c r="Q621" s="549"/>
    </row>
    <row r="622" spans="1:17" x14ac:dyDescent="0.15">
      <c r="A622" s="550"/>
      <c r="B622" s="551"/>
      <c r="C622" s="551"/>
      <c r="D622" s="551"/>
      <c r="E622" s="551"/>
      <c r="F622" s="551"/>
      <c r="G622" s="551"/>
      <c r="H622" s="551"/>
      <c r="I622" s="551"/>
      <c r="J622" s="551"/>
      <c r="K622" s="551"/>
      <c r="L622" s="551"/>
      <c r="M622" s="551"/>
      <c r="N622" s="551"/>
      <c r="O622" s="551"/>
      <c r="P622" s="551"/>
      <c r="Q622" s="121"/>
    </row>
    <row r="623" spans="1:17" s="125" customFormat="1" ht="12.75" customHeight="1" x14ac:dyDescent="0.15">
      <c r="A623" s="553" t="s">
        <v>150</v>
      </c>
      <c r="B623" s="540" t="s">
        <v>151</v>
      </c>
      <c r="C623" s="540"/>
      <c r="D623" s="541"/>
      <c r="E623" s="540" t="s">
        <v>152</v>
      </c>
      <c r="F623" s="540"/>
      <c r="G623" s="540"/>
      <c r="H623" s="541" t="s">
        <v>153</v>
      </c>
      <c r="I623" s="541" t="s">
        <v>159</v>
      </c>
      <c r="J623" s="543" t="s">
        <v>73</v>
      </c>
      <c r="K623" s="394" t="s">
        <v>154</v>
      </c>
      <c r="L623" s="122"/>
      <c r="M623" s="123"/>
      <c r="N623" s="123"/>
      <c r="O623" s="123"/>
      <c r="P623" s="123"/>
      <c r="Q623" s="124"/>
    </row>
    <row r="624" spans="1:17" s="129" customFormat="1" ht="14" x14ac:dyDescent="0.15">
      <c r="A624" s="553"/>
      <c r="B624" s="540"/>
      <c r="C624" s="540"/>
      <c r="D624" s="542"/>
      <c r="E624" s="393" t="s">
        <v>155</v>
      </c>
      <c r="F624" s="395" t="s">
        <v>484</v>
      </c>
      <c r="G624" s="393" t="s">
        <v>157</v>
      </c>
      <c r="H624" s="542"/>
      <c r="I624" s="542"/>
      <c r="J624" s="544"/>
      <c r="K624" s="394" t="s">
        <v>158</v>
      </c>
      <c r="L624" s="126"/>
      <c r="M624" s="127"/>
      <c r="N624" s="127"/>
      <c r="O624" s="127"/>
      <c r="P624" s="127"/>
      <c r="Q624" s="128"/>
    </row>
    <row r="625" spans="1:17" ht="18" customHeight="1" x14ac:dyDescent="0.15">
      <c r="A625" s="146"/>
      <c r="B625" s="560" t="s">
        <v>742</v>
      </c>
      <c r="C625" s="561"/>
      <c r="D625" s="211">
        <v>0</v>
      </c>
      <c r="E625" s="397">
        <v>19.5</v>
      </c>
      <c r="F625" s="142">
        <v>8.6</v>
      </c>
      <c r="G625" s="142">
        <v>0</v>
      </c>
      <c r="H625" s="397">
        <v>1</v>
      </c>
      <c r="I625" s="397">
        <f>E625*F625</f>
        <v>167.7</v>
      </c>
      <c r="J625" s="131" t="s">
        <v>5</v>
      </c>
      <c r="K625" s="141">
        <f>I625*H625</f>
        <v>167.7</v>
      </c>
      <c r="L625" s="126"/>
      <c r="M625" s="127"/>
      <c r="N625" s="127"/>
      <c r="O625" s="127"/>
      <c r="P625" s="127"/>
      <c r="Q625" s="128"/>
    </row>
    <row r="626" spans="1:17" ht="14" x14ac:dyDescent="0.15">
      <c r="A626" s="547" t="s">
        <v>149</v>
      </c>
      <c r="B626" s="548"/>
      <c r="C626" s="548"/>
      <c r="D626" s="548"/>
      <c r="E626" s="548"/>
      <c r="F626" s="548"/>
      <c r="G626" s="548"/>
      <c r="H626" s="548"/>
      <c r="I626" s="548"/>
      <c r="J626" s="549"/>
      <c r="K626" s="313">
        <f>SUM(K625:K625)</f>
        <v>167.7</v>
      </c>
      <c r="L626" s="132"/>
      <c r="M626" s="133"/>
      <c r="N626" s="133"/>
      <c r="O626" s="133"/>
      <c r="P626" s="133"/>
      <c r="Q626" s="134"/>
    </row>
    <row r="627" spans="1:17" x14ac:dyDescent="0.15">
      <c r="A627" s="550"/>
      <c r="B627" s="551"/>
      <c r="C627" s="551"/>
      <c r="D627" s="551"/>
      <c r="E627" s="551"/>
      <c r="F627" s="551"/>
      <c r="G627" s="551"/>
      <c r="H627" s="551"/>
      <c r="I627" s="551"/>
      <c r="J627" s="551"/>
      <c r="K627" s="551"/>
      <c r="L627" s="551"/>
      <c r="M627" s="551"/>
      <c r="N627" s="551"/>
      <c r="O627" s="551"/>
      <c r="P627" s="551"/>
      <c r="Q627" s="552"/>
    </row>
    <row r="628" spans="1:17" s="120" customFormat="1" ht="18" customHeight="1" x14ac:dyDescent="0.15">
      <c r="A628" s="396" t="s">
        <v>0</v>
      </c>
      <c r="B628" s="562" t="s">
        <v>1045</v>
      </c>
      <c r="C628" s="563"/>
      <c r="D628" s="563"/>
      <c r="E628" s="563"/>
      <c r="F628" s="563"/>
      <c r="G628" s="563"/>
      <c r="H628" s="563"/>
      <c r="I628" s="563"/>
      <c r="J628" s="563"/>
      <c r="K628" s="563"/>
      <c r="L628" s="563"/>
      <c r="M628" s="563"/>
      <c r="N628" s="564"/>
      <c r="O628" s="394" t="s">
        <v>73</v>
      </c>
      <c r="P628" s="547" t="s">
        <v>5</v>
      </c>
      <c r="Q628" s="549"/>
    </row>
    <row r="629" spans="1:17" x14ac:dyDescent="0.15">
      <c r="A629" s="550"/>
      <c r="B629" s="551"/>
      <c r="C629" s="551"/>
      <c r="D629" s="551"/>
      <c r="E629" s="551"/>
      <c r="F629" s="551"/>
      <c r="G629" s="551"/>
      <c r="H629" s="551"/>
      <c r="I629" s="551"/>
      <c r="J629" s="551"/>
      <c r="K629" s="551"/>
      <c r="L629" s="551"/>
      <c r="M629" s="551"/>
      <c r="N629" s="551"/>
      <c r="O629" s="551"/>
      <c r="P629" s="551"/>
      <c r="Q629" s="121"/>
    </row>
    <row r="630" spans="1:17" s="125" customFormat="1" ht="12.75" customHeight="1" x14ac:dyDescent="0.15">
      <c r="A630" s="553" t="s">
        <v>150</v>
      </c>
      <c r="B630" s="540" t="s">
        <v>151</v>
      </c>
      <c r="C630" s="540"/>
      <c r="D630" s="558" t="s">
        <v>240</v>
      </c>
      <c r="E630" s="540" t="s">
        <v>152</v>
      </c>
      <c r="F630" s="540"/>
      <c r="G630" s="540"/>
      <c r="H630" s="541" t="s">
        <v>153</v>
      </c>
      <c r="I630" s="541" t="s">
        <v>159</v>
      </c>
      <c r="J630" s="543" t="s">
        <v>73</v>
      </c>
      <c r="K630" s="394" t="s">
        <v>154</v>
      </c>
      <c r="L630" s="122"/>
      <c r="M630" s="123"/>
      <c r="N630" s="123"/>
      <c r="O630" s="123"/>
      <c r="P630" s="123"/>
      <c r="Q630" s="124"/>
    </row>
    <row r="631" spans="1:17" s="129" customFormat="1" ht="14" x14ac:dyDescent="0.15">
      <c r="A631" s="553"/>
      <c r="B631" s="540"/>
      <c r="C631" s="540"/>
      <c r="D631" s="559"/>
      <c r="E631" s="393" t="s">
        <v>155</v>
      </c>
      <c r="F631" s="395" t="s">
        <v>484</v>
      </c>
      <c r="G631" s="393" t="s">
        <v>157</v>
      </c>
      <c r="H631" s="542"/>
      <c r="I631" s="542"/>
      <c r="J631" s="544"/>
      <c r="K631" s="394" t="s">
        <v>158</v>
      </c>
      <c r="L631" s="126"/>
      <c r="M631" s="127"/>
      <c r="N631" s="127"/>
      <c r="O631" s="127"/>
      <c r="P631" s="127"/>
      <c r="Q631" s="128"/>
    </row>
    <row r="632" spans="1:17" ht="24" customHeight="1" x14ac:dyDescent="0.15">
      <c r="A632" s="146"/>
      <c r="B632" s="545" t="s">
        <v>785</v>
      </c>
      <c r="C632" s="546"/>
      <c r="D632" s="147"/>
      <c r="E632" s="141">
        <v>19.45</v>
      </c>
      <c r="F632" s="141">
        <v>0.8</v>
      </c>
      <c r="G632" s="141">
        <v>0.1</v>
      </c>
      <c r="H632" s="141">
        <v>2</v>
      </c>
      <c r="I632" s="141">
        <f>F632*E632</f>
        <v>15.56</v>
      </c>
      <c r="J632" s="131" t="s">
        <v>5</v>
      </c>
      <c r="K632" s="141">
        <f t="shared" ref="K632:K633" si="143">I632*H632</f>
        <v>31.12</v>
      </c>
      <c r="L632" s="126"/>
      <c r="M632" s="127"/>
      <c r="N632" s="127"/>
      <c r="O632" s="127"/>
      <c r="P632" s="127"/>
      <c r="Q632" s="128"/>
    </row>
    <row r="633" spans="1:17" ht="24" customHeight="1" x14ac:dyDescent="0.15">
      <c r="A633" s="146"/>
      <c r="B633" s="545" t="s">
        <v>786</v>
      </c>
      <c r="C633" s="546"/>
      <c r="D633" s="147"/>
      <c r="E633" s="141">
        <v>9.3000000000000007</v>
      </c>
      <c r="F633" s="141">
        <v>1.25</v>
      </c>
      <c r="G633" s="141">
        <v>0.1</v>
      </c>
      <c r="H633" s="141">
        <v>1</v>
      </c>
      <c r="I633" s="141">
        <f>F633*E633</f>
        <v>11.625</v>
      </c>
      <c r="J633" s="131" t="s">
        <v>5</v>
      </c>
      <c r="K633" s="141">
        <f t="shared" si="143"/>
        <v>11.625</v>
      </c>
      <c r="L633" s="126"/>
      <c r="M633" s="127"/>
      <c r="N633" s="127"/>
      <c r="O633" s="127"/>
      <c r="P633" s="127"/>
      <c r="Q633" s="128"/>
    </row>
    <row r="634" spans="1:17" ht="14" x14ac:dyDescent="0.15">
      <c r="A634" s="547" t="s">
        <v>149</v>
      </c>
      <c r="B634" s="548"/>
      <c r="C634" s="548"/>
      <c r="D634" s="548"/>
      <c r="E634" s="548"/>
      <c r="F634" s="548"/>
      <c r="G634" s="548"/>
      <c r="H634" s="548"/>
      <c r="I634" s="548"/>
      <c r="J634" s="549"/>
      <c r="K634" s="313">
        <f>SUM(K632:K633)</f>
        <v>42.745000000000005</v>
      </c>
      <c r="L634" s="132"/>
      <c r="M634" s="133"/>
      <c r="N634" s="133"/>
      <c r="O634" s="133"/>
      <c r="P634" s="133"/>
      <c r="Q634" s="134"/>
    </row>
    <row r="635" spans="1:17" x14ac:dyDescent="0.15">
      <c r="A635" s="550"/>
      <c r="B635" s="551"/>
      <c r="C635" s="551"/>
      <c r="D635" s="551"/>
      <c r="E635" s="551"/>
      <c r="F635" s="551"/>
      <c r="G635" s="551"/>
      <c r="H635" s="551"/>
      <c r="I635" s="551"/>
      <c r="J635" s="551"/>
      <c r="K635" s="551"/>
      <c r="L635" s="551"/>
      <c r="M635" s="551"/>
      <c r="N635" s="551"/>
      <c r="O635" s="551"/>
      <c r="P635" s="551"/>
      <c r="Q635" s="552"/>
    </row>
    <row r="636" spans="1:17" s="120" customFormat="1" ht="19.5" customHeight="1" x14ac:dyDescent="0.15">
      <c r="A636" s="396" t="s">
        <v>0</v>
      </c>
      <c r="B636" s="562" t="s">
        <v>1046</v>
      </c>
      <c r="C636" s="563"/>
      <c r="D636" s="563"/>
      <c r="E636" s="563"/>
      <c r="F636" s="563"/>
      <c r="G636" s="563"/>
      <c r="H636" s="563"/>
      <c r="I636" s="563"/>
      <c r="J636" s="563"/>
      <c r="K636" s="563"/>
      <c r="L636" s="563"/>
      <c r="M636" s="563"/>
      <c r="N636" s="564"/>
      <c r="O636" s="394" t="s">
        <v>73</v>
      </c>
      <c r="P636" s="547" t="s">
        <v>193</v>
      </c>
      <c r="Q636" s="549"/>
    </row>
    <row r="637" spans="1:17" x14ac:dyDescent="0.15">
      <c r="A637" s="550"/>
      <c r="B637" s="551"/>
      <c r="C637" s="551"/>
      <c r="D637" s="551"/>
      <c r="E637" s="551"/>
      <c r="F637" s="551"/>
      <c r="G637" s="551"/>
      <c r="H637" s="551"/>
      <c r="I637" s="551"/>
      <c r="J637" s="551"/>
      <c r="K637" s="551"/>
      <c r="L637" s="551"/>
      <c r="M637" s="551"/>
      <c r="N637" s="551"/>
      <c r="O637" s="551"/>
      <c r="P637" s="551"/>
      <c r="Q637" s="552"/>
    </row>
    <row r="638" spans="1:17" s="125" customFormat="1" ht="12.75" customHeight="1" x14ac:dyDescent="0.15">
      <c r="A638" s="553" t="s">
        <v>150</v>
      </c>
      <c r="B638" s="540" t="s">
        <v>151</v>
      </c>
      <c r="C638" s="540"/>
      <c r="D638" s="565" t="s">
        <v>152</v>
      </c>
      <c r="E638" s="566"/>
      <c r="F638" s="566"/>
      <c r="G638" s="567"/>
      <c r="H638" s="541" t="s">
        <v>153</v>
      </c>
      <c r="I638" s="541" t="s">
        <v>241</v>
      </c>
      <c r="J638" s="543" t="s">
        <v>73</v>
      </c>
      <c r="K638" s="394" t="s">
        <v>154</v>
      </c>
      <c r="L638" s="122"/>
      <c r="M638" s="123"/>
      <c r="N638" s="123"/>
      <c r="O638" s="123"/>
      <c r="P638" s="123"/>
      <c r="Q638" s="124"/>
    </row>
    <row r="639" spans="1:17" s="129" customFormat="1" x14ac:dyDescent="0.15">
      <c r="A639" s="553"/>
      <c r="B639" s="540"/>
      <c r="C639" s="540"/>
      <c r="D639" s="395"/>
      <c r="E639" s="393" t="s">
        <v>155</v>
      </c>
      <c r="F639" s="393" t="s">
        <v>156</v>
      </c>
      <c r="G639" s="393" t="s">
        <v>266</v>
      </c>
      <c r="H639" s="542"/>
      <c r="I639" s="542"/>
      <c r="J639" s="544"/>
      <c r="K639" s="394" t="s">
        <v>158</v>
      </c>
      <c r="L639" s="126"/>
      <c r="M639" s="127"/>
      <c r="N639" s="127"/>
      <c r="O639" s="127"/>
      <c r="P639" s="127"/>
      <c r="Q639" s="128"/>
    </row>
    <row r="640" spans="1:17" ht="21" customHeight="1" x14ac:dyDescent="0.15">
      <c r="A640" s="146"/>
      <c r="B640" s="560" t="s">
        <v>874</v>
      </c>
      <c r="C640" s="561"/>
      <c r="D640" s="211">
        <v>0</v>
      </c>
      <c r="E640" s="397">
        <v>19.5</v>
      </c>
      <c r="F640" s="142">
        <v>0</v>
      </c>
      <c r="G640" s="142">
        <v>0</v>
      </c>
      <c r="H640" s="397">
        <v>6</v>
      </c>
      <c r="I640" s="141">
        <f>E640</f>
        <v>19.5</v>
      </c>
      <c r="J640" s="131" t="s">
        <v>193</v>
      </c>
      <c r="K640" s="141">
        <f>I640*H640</f>
        <v>117</v>
      </c>
      <c r="L640" s="126"/>
      <c r="M640" s="127"/>
      <c r="N640" s="127"/>
      <c r="O640" s="127"/>
      <c r="P640" s="127"/>
      <c r="Q640" s="128"/>
    </row>
    <row r="641" spans="1:17" ht="14" x14ac:dyDescent="0.15">
      <c r="A641" s="547" t="s">
        <v>149</v>
      </c>
      <c r="B641" s="548"/>
      <c r="C641" s="548"/>
      <c r="D641" s="548"/>
      <c r="E641" s="548"/>
      <c r="F641" s="548"/>
      <c r="G641" s="548"/>
      <c r="H641" s="548"/>
      <c r="I641" s="548"/>
      <c r="J641" s="549"/>
      <c r="K641" s="313">
        <f>SUM(K640:K640)</f>
        <v>117</v>
      </c>
      <c r="L641" s="132"/>
      <c r="M641" s="133"/>
      <c r="N641" s="133"/>
      <c r="O641" s="133"/>
      <c r="P641" s="133"/>
      <c r="Q641" s="134"/>
    </row>
    <row r="642" spans="1:17" x14ac:dyDescent="0.15">
      <c r="A642" s="550"/>
      <c r="B642" s="551"/>
      <c r="C642" s="551"/>
      <c r="D642" s="551"/>
      <c r="E642" s="551"/>
      <c r="F642" s="551"/>
      <c r="G642" s="551"/>
      <c r="H642" s="551"/>
      <c r="I642" s="551"/>
      <c r="J642" s="551"/>
      <c r="K642" s="551"/>
      <c r="L642" s="551"/>
      <c r="M642" s="551"/>
      <c r="N642" s="551"/>
      <c r="O642" s="551"/>
      <c r="P642" s="551"/>
      <c r="Q642" s="552"/>
    </row>
    <row r="643" spans="1:17" s="120" customFormat="1" ht="18" customHeight="1" x14ac:dyDescent="0.15">
      <c r="A643" s="396" t="s">
        <v>0</v>
      </c>
      <c r="B643" s="554" t="s">
        <v>1052</v>
      </c>
      <c r="C643" s="555"/>
      <c r="D643" s="555"/>
      <c r="E643" s="555"/>
      <c r="F643" s="555"/>
      <c r="G643" s="555"/>
      <c r="H643" s="555"/>
      <c r="I643" s="555"/>
      <c r="J643" s="555"/>
      <c r="K643" s="555"/>
      <c r="L643" s="555"/>
      <c r="M643" s="555"/>
      <c r="N643" s="555"/>
      <c r="O643" s="394" t="s">
        <v>73</v>
      </c>
      <c r="P643" s="547" t="s">
        <v>316</v>
      </c>
      <c r="Q643" s="549"/>
    </row>
    <row r="644" spans="1:17" x14ac:dyDescent="0.15">
      <c r="A644" s="550"/>
      <c r="B644" s="551"/>
      <c r="C644" s="551"/>
      <c r="D644" s="551"/>
      <c r="E644" s="551"/>
      <c r="F644" s="551"/>
      <c r="G644" s="551"/>
      <c r="H644" s="551"/>
      <c r="I644" s="551"/>
      <c r="J644" s="551"/>
      <c r="K644" s="551"/>
      <c r="L644" s="551"/>
      <c r="M644" s="551"/>
      <c r="N644" s="551"/>
      <c r="O644" s="551"/>
      <c r="P644" s="551"/>
      <c r="Q644" s="552"/>
    </row>
    <row r="645" spans="1:17" s="125" customFormat="1" ht="12.75" customHeight="1" x14ac:dyDescent="0.15">
      <c r="A645" s="541" t="s">
        <v>150</v>
      </c>
      <c r="B645" s="579" t="s">
        <v>151</v>
      </c>
      <c r="C645" s="580"/>
      <c r="D645" s="541"/>
      <c r="E645" s="565" t="s">
        <v>152</v>
      </c>
      <c r="F645" s="566"/>
      <c r="G645" s="567"/>
      <c r="H645" s="541" t="s">
        <v>153</v>
      </c>
      <c r="I645" s="541" t="s">
        <v>410</v>
      </c>
      <c r="J645" s="543" t="s">
        <v>73</v>
      </c>
      <c r="K645" s="394" t="s">
        <v>154</v>
      </c>
      <c r="L645" s="122"/>
      <c r="M645" s="123"/>
      <c r="N645" s="123"/>
      <c r="O645" s="123"/>
      <c r="P645" s="123"/>
      <c r="Q645" s="124"/>
    </row>
    <row r="646" spans="1:17" s="129" customFormat="1" x14ac:dyDescent="0.15">
      <c r="A646" s="542"/>
      <c r="B646" s="581"/>
      <c r="C646" s="582"/>
      <c r="D646" s="542"/>
      <c r="E646" s="393" t="s">
        <v>155</v>
      </c>
      <c r="F646" s="393" t="s">
        <v>156</v>
      </c>
      <c r="G646" s="393" t="s">
        <v>157</v>
      </c>
      <c r="H646" s="542"/>
      <c r="I646" s="542"/>
      <c r="J646" s="544"/>
      <c r="K646" s="394" t="s">
        <v>158</v>
      </c>
      <c r="L646" s="126"/>
      <c r="M646" s="127"/>
      <c r="N646" s="127"/>
      <c r="O646" s="127"/>
      <c r="P646" s="127"/>
      <c r="Q646" s="128"/>
    </row>
    <row r="647" spans="1:17" ht="17.25" customHeight="1" x14ac:dyDescent="0.15">
      <c r="A647" s="146"/>
      <c r="B647" s="545" t="s">
        <v>775</v>
      </c>
      <c r="C647" s="546"/>
      <c r="D647" s="147"/>
      <c r="E647" s="141">
        <v>0</v>
      </c>
      <c r="F647" s="141">
        <v>0</v>
      </c>
      <c r="G647" s="141">
        <v>0</v>
      </c>
      <c r="H647" s="141">
        <v>3</v>
      </c>
      <c r="I647" s="141">
        <f>H647</f>
        <v>3</v>
      </c>
      <c r="J647" s="131" t="s">
        <v>316</v>
      </c>
      <c r="K647" s="141">
        <f>I647</f>
        <v>3</v>
      </c>
      <c r="L647" s="126"/>
      <c r="M647" s="127"/>
      <c r="N647" s="127"/>
      <c r="O647" s="127"/>
      <c r="P647" s="127"/>
      <c r="Q647" s="128"/>
    </row>
    <row r="648" spans="1:17" ht="14" x14ac:dyDescent="0.15">
      <c r="A648" s="547" t="s">
        <v>149</v>
      </c>
      <c r="B648" s="548"/>
      <c r="C648" s="548"/>
      <c r="D648" s="548"/>
      <c r="E648" s="548"/>
      <c r="F648" s="548"/>
      <c r="G648" s="548"/>
      <c r="H648" s="548"/>
      <c r="I648" s="548"/>
      <c r="J648" s="549"/>
      <c r="K648" s="313">
        <f>SUM(K647:K647)</f>
        <v>3</v>
      </c>
      <c r="L648" s="132"/>
      <c r="M648" s="133"/>
      <c r="N648" s="133"/>
      <c r="O648" s="133"/>
      <c r="P648" s="133"/>
      <c r="Q648" s="134"/>
    </row>
    <row r="649" spans="1:17" x14ac:dyDescent="0.15">
      <c r="A649" s="550"/>
      <c r="B649" s="551"/>
      <c r="C649" s="551"/>
      <c r="D649" s="551"/>
      <c r="E649" s="551"/>
      <c r="F649" s="551"/>
      <c r="G649" s="551"/>
      <c r="H649" s="551"/>
      <c r="I649" s="551"/>
      <c r="J649" s="551"/>
      <c r="K649" s="551"/>
      <c r="L649" s="551"/>
      <c r="M649" s="551"/>
      <c r="N649" s="551"/>
      <c r="O649" s="551"/>
      <c r="P649" s="551"/>
      <c r="Q649" s="552"/>
    </row>
    <row r="650" spans="1:17" s="120" customFormat="1" ht="18" customHeight="1" x14ac:dyDescent="0.15">
      <c r="A650" s="396" t="s">
        <v>0</v>
      </c>
      <c r="B650" s="554" t="s">
        <v>1053</v>
      </c>
      <c r="C650" s="555"/>
      <c r="D650" s="555"/>
      <c r="E650" s="555"/>
      <c r="F650" s="555"/>
      <c r="G650" s="555"/>
      <c r="H650" s="555"/>
      <c r="I650" s="555"/>
      <c r="J650" s="555"/>
      <c r="K650" s="555"/>
      <c r="L650" s="555"/>
      <c r="M650" s="555"/>
      <c r="N650" s="555"/>
      <c r="O650" s="394" t="s">
        <v>73</v>
      </c>
      <c r="P650" s="547" t="s">
        <v>5</v>
      </c>
      <c r="Q650" s="549"/>
    </row>
    <row r="651" spans="1:17" x14ac:dyDescent="0.15">
      <c r="A651" s="550"/>
      <c r="B651" s="551"/>
      <c r="C651" s="551"/>
      <c r="D651" s="551"/>
      <c r="E651" s="551"/>
      <c r="F651" s="551"/>
      <c r="G651" s="551"/>
      <c r="H651" s="551"/>
      <c r="I651" s="551"/>
      <c r="J651" s="551"/>
      <c r="K651" s="551"/>
      <c r="L651" s="551"/>
      <c r="M651" s="551"/>
      <c r="N651" s="551"/>
      <c r="O651" s="551"/>
      <c r="P651" s="551"/>
      <c r="Q651" s="552"/>
    </row>
    <row r="652" spans="1:17" s="125" customFormat="1" ht="12.75" customHeight="1" x14ac:dyDescent="0.15">
      <c r="A652" s="541" t="s">
        <v>150</v>
      </c>
      <c r="B652" s="579" t="s">
        <v>151</v>
      </c>
      <c r="C652" s="580"/>
      <c r="D652" s="541"/>
      <c r="E652" s="565" t="s">
        <v>152</v>
      </c>
      <c r="F652" s="566"/>
      <c r="G652" s="567"/>
      <c r="H652" s="541" t="s">
        <v>153</v>
      </c>
      <c r="I652" s="541" t="s">
        <v>159</v>
      </c>
      <c r="J652" s="543" t="s">
        <v>73</v>
      </c>
      <c r="K652" s="394" t="s">
        <v>154</v>
      </c>
      <c r="L652" s="122"/>
      <c r="M652" s="123"/>
      <c r="N652" s="123"/>
      <c r="O652" s="123"/>
      <c r="P652" s="123"/>
      <c r="Q652" s="124"/>
    </row>
    <row r="653" spans="1:17" s="129" customFormat="1" x14ac:dyDescent="0.15">
      <c r="A653" s="542"/>
      <c r="B653" s="581"/>
      <c r="C653" s="582"/>
      <c r="D653" s="542"/>
      <c r="E653" s="393" t="s">
        <v>155</v>
      </c>
      <c r="F653" s="393" t="s">
        <v>156</v>
      </c>
      <c r="G653" s="393" t="s">
        <v>157</v>
      </c>
      <c r="H653" s="542"/>
      <c r="I653" s="542"/>
      <c r="J653" s="544"/>
      <c r="K653" s="394" t="s">
        <v>158</v>
      </c>
      <c r="L653" s="126"/>
      <c r="M653" s="127"/>
      <c r="N653" s="127"/>
      <c r="O653" s="127"/>
      <c r="P653" s="127"/>
      <c r="Q653" s="128"/>
    </row>
    <row r="654" spans="1:17" ht="17.25" customHeight="1" x14ac:dyDescent="0.15">
      <c r="A654" s="146"/>
      <c r="B654" s="545" t="s">
        <v>760</v>
      </c>
      <c r="C654" s="546"/>
      <c r="D654" s="147"/>
      <c r="E654" s="141">
        <v>0.9</v>
      </c>
      <c r="F654" s="141">
        <v>0</v>
      </c>
      <c r="G654" s="141">
        <v>2.2000000000000002</v>
      </c>
      <c r="H654" s="141">
        <v>8</v>
      </c>
      <c r="I654" s="141">
        <f>E654*G654</f>
        <v>1.9800000000000002</v>
      </c>
      <c r="J654" s="131" t="s">
        <v>5</v>
      </c>
      <c r="K654" s="141">
        <f>H654*I654</f>
        <v>15.840000000000002</v>
      </c>
      <c r="L654" s="126"/>
      <c r="M654" s="127"/>
      <c r="N654" s="127"/>
      <c r="O654" s="127"/>
      <c r="P654" s="127"/>
      <c r="Q654" s="128"/>
    </row>
    <row r="655" spans="1:17" ht="17.25" customHeight="1" x14ac:dyDescent="0.15">
      <c r="A655" s="146"/>
      <c r="B655" s="545" t="s">
        <v>760</v>
      </c>
      <c r="C655" s="546"/>
      <c r="D655" s="147"/>
      <c r="E655" s="141">
        <v>0.7</v>
      </c>
      <c r="F655" s="141">
        <v>0</v>
      </c>
      <c r="G655" s="141">
        <v>2.2000000000000002</v>
      </c>
      <c r="H655" s="141">
        <v>9</v>
      </c>
      <c r="I655" s="141">
        <f>E655*G655</f>
        <v>1.54</v>
      </c>
      <c r="J655" s="131" t="s">
        <v>5</v>
      </c>
      <c r="K655" s="141">
        <f>H655*I655</f>
        <v>13.86</v>
      </c>
      <c r="L655" s="126"/>
      <c r="M655" s="127"/>
      <c r="N655" s="127"/>
      <c r="O655" s="127"/>
      <c r="P655" s="127"/>
      <c r="Q655" s="128"/>
    </row>
    <row r="656" spans="1:17" ht="14" x14ac:dyDescent="0.15">
      <c r="A656" s="547" t="s">
        <v>149</v>
      </c>
      <c r="B656" s="548"/>
      <c r="C656" s="548"/>
      <c r="D656" s="548"/>
      <c r="E656" s="548"/>
      <c r="F656" s="548"/>
      <c r="G656" s="548"/>
      <c r="H656" s="548"/>
      <c r="I656" s="548"/>
      <c r="J656" s="549"/>
      <c r="K656" s="313">
        <f>SUM(K654:K655)</f>
        <v>29.700000000000003</v>
      </c>
      <c r="L656" s="132"/>
      <c r="M656" s="133"/>
      <c r="N656" s="133"/>
      <c r="O656" s="133"/>
      <c r="P656" s="133"/>
      <c r="Q656" s="134"/>
    </row>
    <row r="657" spans="1:17" x14ac:dyDescent="0.15">
      <c r="A657" s="550"/>
      <c r="B657" s="551"/>
      <c r="C657" s="551"/>
      <c r="D657" s="551"/>
      <c r="E657" s="551"/>
      <c r="F657" s="551"/>
      <c r="G657" s="551"/>
      <c r="H657" s="551"/>
      <c r="I657" s="551"/>
      <c r="J657" s="551"/>
      <c r="K657" s="551"/>
      <c r="L657" s="551"/>
      <c r="M657" s="551"/>
      <c r="N657" s="551"/>
      <c r="O657" s="551"/>
      <c r="P657" s="551"/>
      <c r="Q657" s="552"/>
    </row>
    <row r="658" spans="1:17" s="120" customFormat="1" ht="18" customHeight="1" x14ac:dyDescent="0.15">
      <c r="A658" s="396" t="s">
        <v>0</v>
      </c>
      <c r="B658" s="554" t="s">
        <v>1059</v>
      </c>
      <c r="C658" s="555"/>
      <c r="D658" s="555"/>
      <c r="E658" s="555"/>
      <c r="F658" s="555"/>
      <c r="G658" s="555"/>
      <c r="H658" s="555"/>
      <c r="I658" s="555"/>
      <c r="J658" s="555"/>
      <c r="K658" s="555"/>
      <c r="L658" s="555"/>
      <c r="M658" s="555"/>
      <c r="N658" s="555"/>
      <c r="O658" s="394" t="s">
        <v>73</v>
      </c>
      <c r="P658" s="547" t="s">
        <v>5</v>
      </c>
      <c r="Q658" s="549"/>
    </row>
    <row r="659" spans="1:17" x14ac:dyDescent="0.15">
      <c r="A659" s="550"/>
      <c r="B659" s="551"/>
      <c r="C659" s="551"/>
      <c r="D659" s="551"/>
      <c r="E659" s="551"/>
      <c r="F659" s="551"/>
      <c r="G659" s="551"/>
      <c r="H659" s="551"/>
      <c r="I659" s="551"/>
      <c r="J659" s="551"/>
      <c r="K659" s="551"/>
      <c r="L659" s="551"/>
      <c r="M659" s="551"/>
      <c r="N659" s="551"/>
      <c r="O659" s="551"/>
      <c r="P659" s="551"/>
      <c r="Q659" s="552"/>
    </row>
    <row r="660" spans="1:17" s="125" customFormat="1" x14ac:dyDescent="0.15">
      <c r="A660" s="553" t="s">
        <v>150</v>
      </c>
      <c r="B660" s="540" t="s">
        <v>151</v>
      </c>
      <c r="C660" s="540"/>
      <c r="D660" s="558" t="s">
        <v>245</v>
      </c>
      <c r="E660" s="540" t="s">
        <v>152</v>
      </c>
      <c r="F660" s="540"/>
      <c r="G660" s="540"/>
      <c r="H660" s="541" t="s">
        <v>153</v>
      </c>
      <c r="I660" s="541" t="s">
        <v>159</v>
      </c>
      <c r="J660" s="543" t="s">
        <v>73</v>
      </c>
      <c r="K660" s="394" t="s">
        <v>154</v>
      </c>
      <c r="L660" s="122"/>
      <c r="M660" s="123"/>
      <c r="N660" s="123"/>
      <c r="O660" s="123"/>
      <c r="P660" s="123"/>
      <c r="Q660" s="124"/>
    </row>
    <row r="661" spans="1:17" s="129" customFormat="1" x14ac:dyDescent="0.15">
      <c r="A661" s="553"/>
      <c r="B661" s="540"/>
      <c r="C661" s="540"/>
      <c r="D661" s="559"/>
      <c r="E661" s="393" t="s">
        <v>155</v>
      </c>
      <c r="F661" s="393" t="s">
        <v>156</v>
      </c>
      <c r="G661" s="393" t="s">
        <v>157</v>
      </c>
      <c r="H661" s="542"/>
      <c r="I661" s="542"/>
      <c r="J661" s="544"/>
      <c r="K661" s="394" t="s">
        <v>158</v>
      </c>
      <c r="L661" s="126"/>
      <c r="M661" s="127"/>
      <c r="N661" s="127"/>
      <c r="O661" s="127"/>
      <c r="P661" s="127"/>
      <c r="Q661" s="128"/>
    </row>
    <row r="662" spans="1:17" ht="21.75" customHeight="1" x14ac:dyDescent="0.15">
      <c r="A662" s="146"/>
      <c r="B662" s="545" t="s">
        <v>767</v>
      </c>
      <c r="C662" s="546"/>
      <c r="D662" s="147"/>
      <c r="E662" s="141">
        <v>2</v>
      </c>
      <c r="F662" s="141">
        <v>0</v>
      </c>
      <c r="G662" s="141">
        <v>1.5</v>
      </c>
      <c r="H662" s="141">
        <v>5</v>
      </c>
      <c r="I662" s="141">
        <f>E662*G662</f>
        <v>3</v>
      </c>
      <c r="J662" s="131" t="s">
        <v>5</v>
      </c>
      <c r="K662" s="141">
        <f>I662*H662</f>
        <v>15</v>
      </c>
      <c r="L662" s="126"/>
      <c r="M662" s="127"/>
      <c r="N662" s="127"/>
      <c r="O662" s="127"/>
      <c r="P662" s="127"/>
      <c r="Q662" s="128"/>
    </row>
    <row r="663" spans="1:17" ht="21.75" customHeight="1" x14ac:dyDescent="0.15">
      <c r="A663" s="146"/>
      <c r="B663" s="545" t="s">
        <v>773</v>
      </c>
      <c r="C663" s="546"/>
      <c r="D663" s="147"/>
      <c r="E663" s="141">
        <v>1.5</v>
      </c>
      <c r="F663" s="141">
        <v>0</v>
      </c>
      <c r="G663" s="141">
        <v>1.5</v>
      </c>
      <c r="H663" s="141">
        <v>4</v>
      </c>
      <c r="I663" s="141">
        <f t="shared" ref="I663:I664" si="144">E663*G663</f>
        <v>2.25</v>
      </c>
      <c r="J663" s="131" t="s">
        <v>5</v>
      </c>
      <c r="K663" s="141">
        <f>I663*H663</f>
        <v>9</v>
      </c>
      <c r="L663" s="126"/>
      <c r="M663" s="127"/>
      <c r="N663" s="127"/>
      <c r="O663" s="127"/>
      <c r="P663" s="127"/>
      <c r="Q663" s="128"/>
    </row>
    <row r="664" spans="1:17" ht="21.75" customHeight="1" x14ac:dyDescent="0.15">
      <c r="A664" s="146"/>
      <c r="B664" s="545" t="s">
        <v>774</v>
      </c>
      <c r="C664" s="546"/>
      <c r="D664" s="147"/>
      <c r="E664" s="141">
        <v>0.7</v>
      </c>
      <c r="F664" s="141">
        <v>0</v>
      </c>
      <c r="G664" s="141">
        <v>0.6</v>
      </c>
      <c r="H664" s="141">
        <v>8</v>
      </c>
      <c r="I664" s="141">
        <f t="shared" si="144"/>
        <v>0.42</v>
      </c>
      <c r="J664" s="131" t="s">
        <v>5</v>
      </c>
      <c r="K664" s="141">
        <f>I664*H664</f>
        <v>3.36</v>
      </c>
      <c r="L664" s="126"/>
      <c r="M664" s="127"/>
      <c r="N664" s="127"/>
      <c r="O664" s="127"/>
      <c r="P664" s="127"/>
      <c r="Q664" s="128"/>
    </row>
    <row r="665" spans="1:17" ht="21.75" customHeight="1" x14ac:dyDescent="0.15">
      <c r="A665" s="146"/>
      <c r="B665" s="545" t="s">
        <v>774</v>
      </c>
      <c r="C665" s="546"/>
      <c r="D665" s="147"/>
      <c r="E665" s="141">
        <v>1</v>
      </c>
      <c r="F665" s="141">
        <v>0</v>
      </c>
      <c r="G665" s="141">
        <v>0.6</v>
      </c>
      <c r="H665" s="141">
        <v>1</v>
      </c>
      <c r="I665" s="141">
        <f t="shared" ref="I665" si="145">E665*G665</f>
        <v>0.6</v>
      </c>
      <c r="J665" s="131" t="s">
        <v>5</v>
      </c>
      <c r="K665" s="141">
        <f>I665*H665</f>
        <v>0.6</v>
      </c>
      <c r="L665" s="126"/>
      <c r="M665" s="127"/>
      <c r="N665" s="127"/>
      <c r="O665" s="127"/>
      <c r="P665" s="127"/>
      <c r="Q665" s="128"/>
    </row>
    <row r="666" spans="1:17" ht="14" x14ac:dyDescent="0.15">
      <c r="A666" s="547" t="s">
        <v>149</v>
      </c>
      <c r="B666" s="548"/>
      <c r="C666" s="548"/>
      <c r="D666" s="548"/>
      <c r="E666" s="548"/>
      <c r="F666" s="548"/>
      <c r="G666" s="548"/>
      <c r="H666" s="548"/>
      <c r="I666" s="548"/>
      <c r="J666" s="549"/>
      <c r="K666" s="313">
        <f>SUM(K662:K665)</f>
        <v>27.96</v>
      </c>
      <c r="L666" s="132"/>
      <c r="M666" s="133"/>
      <c r="N666" s="133"/>
      <c r="O666" s="133"/>
      <c r="P666" s="133"/>
      <c r="Q666" s="134"/>
    </row>
    <row r="667" spans="1:17" x14ac:dyDescent="0.15">
      <c r="A667" s="550"/>
      <c r="B667" s="551"/>
      <c r="C667" s="551"/>
      <c r="D667" s="551"/>
      <c r="E667" s="551"/>
      <c r="F667" s="551"/>
      <c r="G667" s="551"/>
      <c r="H667" s="551"/>
      <c r="I667" s="551"/>
      <c r="J667" s="551"/>
      <c r="K667" s="551"/>
      <c r="L667" s="551"/>
      <c r="M667" s="551"/>
      <c r="N667" s="551"/>
      <c r="O667" s="551"/>
      <c r="P667" s="551"/>
      <c r="Q667" s="552"/>
    </row>
    <row r="668" spans="1:17" s="120" customFormat="1" ht="18" customHeight="1" x14ac:dyDescent="0.15">
      <c r="A668" s="396" t="s">
        <v>0</v>
      </c>
      <c r="B668" s="554" t="s">
        <v>1062</v>
      </c>
      <c r="C668" s="555"/>
      <c r="D668" s="555"/>
      <c r="E668" s="555"/>
      <c r="F668" s="555"/>
      <c r="G668" s="555"/>
      <c r="H668" s="555"/>
      <c r="I668" s="555"/>
      <c r="J668" s="555"/>
      <c r="K668" s="555"/>
      <c r="L668" s="555"/>
      <c r="M668" s="555"/>
      <c r="N668" s="555"/>
      <c r="O668" s="394" t="s">
        <v>73</v>
      </c>
      <c r="P668" s="547" t="s">
        <v>5</v>
      </c>
      <c r="Q668" s="549"/>
    </row>
    <row r="669" spans="1:17" x14ac:dyDescent="0.15">
      <c r="A669" s="550"/>
      <c r="B669" s="551"/>
      <c r="C669" s="551"/>
      <c r="D669" s="551"/>
      <c r="E669" s="551"/>
      <c r="F669" s="551"/>
      <c r="G669" s="551"/>
      <c r="H669" s="551"/>
      <c r="I669" s="551"/>
      <c r="J669" s="551"/>
      <c r="K669" s="551"/>
      <c r="L669" s="551"/>
      <c r="M669" s="551"/>
      <c r="N669" s="551"/>
      <c r="O669" s="551"/>
      <c r="P669" s="551"/>
      <c r="Q669" s="552"/>
    </row>
    <row r="670" spans="1:17" s="125" customFormat="1" ht="12.75" customHeight="1" x14ac:dyDescent="0.15">
      <c r="A670" s="541" t="s">
        <v>150</v>
      </c>
      <c r="B670" s="579" t="s">
        <v>151</v>
      </c>
      <c r="C670" s="580"/>
      <c r="D670" s="541"/>
      <c r="E670" s="565" t="s">
        <v>152</v>
      </c>
      <c r="F670" s="566"/>
      <c r="G670" s="567"/>
      <c r="H670" s="541" t="s">
        <v>153</v>
      </c>
      <c r="I670" s="541" t="s">
        <v>159</v>
      </c>
      <c r="J670" s="543" t="s">
        <v>73</v>
      </c>
      <c r="K670" s="394" t="s">
        <v>154</v>
      </c>
      <c r="L670" s="122"/>
      <c r="M670" s="123"/>
      <c r="N670" s="123"/>
      <c r="O670" s="123"/>
      <c r="P670" s="123"/>
      <c r="Q670" s="124"/>
    </row>
    <row r="671" spans="1:17" s="129" customFormat="1" x14ac:dyDescent="0.15">
      <c r="A671" s="542"/>
      <c r="B671" s="581"/>
      <c r="C671" s="582"/>
      <c r="D671" s="542"/>
      <c r="E671" s="393" t="s">
        <v>155</v>
      </c>
      <c r="F671" s="393" t="s">
        <v>156</v>
      </c>
      <c r="G671" s="393" t="s">
        <v>157</v>
      </c>
      <c r="H671" s="542"/>
      <c r="I671" s="542"/>
      <c r="J671" s="544"/>
      <c r="K671" s="394" t="s">
        <v>158</v>
      </c>
      <c r="L671" s="126"/>
      <c r="M671" s="127"/>
      <c r="N671" s="127"/>
      <c r="O671" s="127"/>
      <c r="P671" s="127"/>
      <c r="Q671" s="128"/>
    </row>
    <row r="672" spans="1:17" ht="27.75" customHeight="1" x14ac:dyDescent="0.15">
      <c r="A672" s="146"/>
      <c r="B672" s="560" t="s">
        <v>1063</v>
      </c>
      <c r="C672" s="561"/>
      <c r="D672" s="211">
        <v>0</v>
      </c>
      <c r="E672" s="397">
        <v>1.6</v>
      </c>
      <c r="F672" s="142">
        <v>1.2</v>
      </c>
      <c r="G672" s="142">
        <v>0</v>
      </c>
      <c r="H672" s="397">
        <v>1</v>
      </c>
      <c r="I672" s="141">
        <f>F672*E672</f>
        <v>1.92</v>
      </c>
      <c r="J672" s="131" t="s">
        <v>5</v>
      </c>
      <c r="K672" s="141">
        <f t="shared" ref="K672" si="146">(I672*H672)-D672</f>
        <v>1.92</v>
      </c>
      <c r="L672" s="126"/>
      <c r="M672" s="127"/>
      <c r="N672" s="127"/>
      <c r="O672" s="127"/>
      <c r="P672" s="127"/>
      <c r="Q672" s="128"/>
    </row>
    <row r="673" spans="1:17" ht="14" x14ac:dyDescent="0.15">
      <c r="A673" s="547" t="s">
        <v>149</v>
      </c>
      <c r="B673" s="548"/>
      <c r="C673" s="548"/>
      <c r="D673" s="548"/>
      <c r="E673" s="548"/>
      <c r="F673" s="548"/>
      <c r="G673" s="548"/>
      <c r="H673" s="548"/>
      <c r="I673" s="548"/>
      <c r="J673" s="549"/>
      <c r="K673" s="313">
        <f>SUM(K672:K672)</f>
        <v>1.92</v>
      </c>
      <c r="L673" s="132"/>
      <c r="M673" s="133"/>
      <c r="N673" s="133"/>
      <c r="O673" s="133"/>
      <c r="P673" s="133"/>
      <c r="Q673" s="134"/>
    </row>
    <row r="674" spans="1:17" x14ac:dyDescent="0.15">
      <c r="A674" s="550"/>
      <c r="B674" s="551"/>
      <c r="C674" s="551"/>
      <c r="D674" s="551"/>
      <c r="E674" s="551"/>
      <c r="F674" s="551"/>
      <c r="G674" s="551"/>
      <c r="H674" s="551"/>
      <c r="I674" s="551"/>
      <c r="J674" s="551"/>
      <c r="K674" s="551"/>
      <c r="L674" s="551"/>
      <c r="M674" s="551"/>
      <c r="N674" s="551"/>
      <c r="O674" s="551"/>
      <c r="P674" s="551"/>
      <c r="Q674" s="552"/>
    </row>
    <row r="675" spans="1:17" s="120" customFormat="1" ht="18" customHeight="1" x14ac:dyDescent="0.15">
      <c r="A675" s="396" t="s">
        <v>0</v>
      </c>
      <c r="B675" s="554" t="s">
        <v>1060</v>
      </c>
      <c r="C675" s="555"/>
      <c r="D675" s="555"/>
      <c r="E675" s="555"/>
      <c r="F675" s="555"/>
      <c r="G675" s="555"/>
      <c r="H675" s="555"/>
      <c r="I675" s="555"/>
      <c r="J675" s="555"/>
      <c r="K675" s="555"/>
      <c r="L675" s="555"/>
      <c r="M675" s="555"/>
      <c r="N675" s="555"/>
      <c r="O675" s="394" t="s">
        <v>73</v>
      </c>
      <c r="P675" s="547" t="s">
        <v>316</v>
      </c>
      <c r="Q675" s="549"/>
    </row>
    <row r="676" spans="1:17" x14ac:dyDescent="0.15">
      <c r="A676" s="550"/>
      <c r="B676" s="551"/>
      <c r="C676" s="551"/>
      <c r="D676" s="551"/>
      <c r="E676" s="551"/>
      <c r="F676" s="551"/>
      <c r="G676" s="551"/>
      <c r="H676" s="551"/>
      <c r="I676" s="551"/>
      <c r="J676" s="551"/>
      <c r="K676" s="551"/>
      <c r="L676" s="551"/>
      <c r="M676" s="551"/>
      <c r="N676" s="551"/>
      <c r="O676" s="551"/>
      <c r="P676" s="551"/>
      <c r="Q676" s="552"/>
    </row>
    <row r="677" spans="1:17" s="125" customFormat="1" x14ac:dyDescent="0.15">
      <c r="A677" s="553" t="s">
        <v>150</v>
      </c>
      <c r="B677" s="540" t="s">
        <v>151</v>
      </c>
      <c r="C677" s="540"/>
      <c r="D677" s="541"/>
      <c r="E677" s="540" t="s">
        <v>152</v>
      </c>
      <c r="F677" s="540"/>
      <c r="G677" s="540"/>
      <c r="H677" s="541" t="s">
        <v>153</v>
      </c>
      <c r="I677" s="541" t="s">
        <v>410</v>
      </c>
      <c r="J677" s="543" t="s">
        <v>73</v>
      </c>
      <c r="K677" s="394" t="s">
        <v>154</v>
      </c>
      <c r="L677" s="122"/>
      <c r="M677" s="123"/>
      <c r="N677" s="123"/>
      <c r="O677" s="123"/>
      <c r="P677" s="123"/>
      <c r="Q677" s="124"/>
    </row>
    <row r="678" spans="1:17" s="129" customFormat="1" x14ac:dyDescent="0.15">
      <c r="A678" s="553"/>
      <c r="B678" s="540"/>
      <c r="C678" s="540"/>
      <c r="D678" s="542"/>
      <c r="E678" s="393" t="s">
        <v>155</v>
      </c>
      <c r="F678" s="393" t="s">
        <v>156</v>
      </c>
      <c r="G678" s="393" t="s">
        <v>157</v>
      </c>
      <c r="H678" s="542"/>
      <c r="I678" s="542"/>
      <c r="J678" s="544"/>
      <c r="K678" s="394" t="s">
        <v>158</v>
      </c>
      <c r="L678" s="126"/>
      <c r="M678" s="127"/>
      <c r="N678" s="127"/>
      <c r="O678" s="127"/>
      <c r="P678" s="127"/>
      <c r="Q678" s="128"/>
    </row>
    <row r="679" spans="1:17" ht="26.25" customHeight="1" x14ac:dyDescent="0.15">
      <c r="A679" s="146"/>
      <c r="B679" s="545" t="s">
        <v>1061</v>
      </c>
      <c r="C679" s="546"/>
      <c r="D679" s="141"/>
      <c r="E679" s="141">
        <v>2</v>
      </c>
      <c r="F679" s="141">
        <v>0.08</v>
      </c>
      <c r="G679" s="141">
        <v>2</v>
      </c>
      <c r="H679" s="141">
        <v>1</v>
      </c>
      <c r="I679" s="141">
        <v>1</v>
      </c>
      <c r="J679" s="131" t="s">
        <v>316</v>
      </c>
      <c r="K679" s="141">
        <f>I679</f>
        <v>1</v>
      </c>
      <c r="L679" s="126"/>
      <c r="M679" s="127"/>
      <c r="N679" s="127"/>
      <c r="O679" s="127"/>
      <c r="P679" s="127"/>
      <c r="Q679" s="128"/>
    </row>
    <row r="680" spans="1:17" ht="14" x14ac:dyDescent="0.15">
      <c r="A680" s="547" t="s">
        <v>149</v>
      </c>
      <c r="B680" s="548"/>
      <c r="C680" s="548"/>
      <c r="D680" s="548"/>
      <c r="E680" s="548"/>
      <c r="F680" s="548"/>
      <c r="G680" s="548"/>
      <c r="H680" s="548"/>
      <c r="I680" s="548"/>
      <c r="J680" s="549"/>
      <c r="K680" s="313">
        <f>SUM(K679:K679)</f>
        <v>1</v>
      </c>
      <c r="L680" s="132"/>
      <c r="M680" s="133"/>
      <c r="N680" s="133"/>
      <c r="O680" s="133"/>
      <c r="P680" s="133"/>
      <c r="Q680" s="134"/>
    </row>
    <row r="681" spans="1:17" x14ac:dyDescent="0.15">
      <c r="A681" s="550"/>
      <c r="B681" s="551"/>
      <c r="C681" s="551"/>
      <c r="D681" s="551"/>
      <c r="E681" s="551"/>
      <c r="F681" s="551"/>
      <c r="G681" s="551"/>
      <c r="H681" s="551"/>
      <c r="I681" s="551"/>
      <c r="J681" s="551"/>
      <c r="K681" s="551"/>
      <c r="L681" s="551"/>
      <c r="M681" s="551"/>
      <c r="N681" s="551"/>
      <c r="O681" s="551"/>
      <c r="P681" s="551"/>
      <c r="Q681" s="552"/>
    </row>
    <row r="682" spans="1:17" s="120" customFormat="1" ht="18" customHeight="1" x14ac:dyDescent="0.15">
      <c r="A682" s="396" t="s">
        <v>0</v>
      </c>
      <c r="B682" s="577" t="s">
        <v>743</v>
      </c>
      <c r="C682" s="578"/>
      <c r="D682" s="578"/>
      <c r="E682" s="578"/>
      <c r="F682" s="578"/>
      <c r="G682" s="578"/>
      <c r="H682" s="578"/>
      <c r="I682" s="578"/>
      <c r="J682" s="578"/>
      <c r="K682" s="578"/>
      <c r="L682" s="578"/>
      <c r="M682" s="578"/>
      <c r="N682" s="578"/>
      <c r="O682" s="394" t="s">
        <v>73</v>
      </c>
      <c r="P682" s="547" t="s">
        <v>316</v>
      </c>
      <c r="Q682" s="549"/>
    </row>
    <row r="683" spans="1:17" x14ac:dyDescent="0.15">
      <c r="A683" s="550"/>
      <c r="B683" s="551"/>
      <c r="C683" s="551"/>
      <c r="D683" s="551"/>
      <c r="E683" s="551"/>
      <c r="F683" s="551"/>
      <c r="G683" s="551"/>
      <c r="H683" s="551"/>
      <c r="I683" s="551"/>
      <c r="J683" s="551"/>
      <c r="K683" s="551"/>
      <c r="L683" s="551"/>
      <c r="M683" s="551"/>
      <c r="N683" s="551"/>
      <c r="O683" s="551"/>
      <c r="P683" s="551"/>
      <c r="Q683" s="552"/>
    </row>
    <row r="684" spans="1:17" s="125" customFormat="1" x14ac:dyDescent="0.15">
      <c r="A684" s="553" t="s">
        <v>150</v>
      </c>
      <c r="B684" s="540" t="s">
        <v>151</v>
      </c>
      <c r="C684" s="540"/>
      <c r="D684" s="541"/>
      <c r="E684" s="540" t="s">
        <v>152</v>
      </c>
      <c r="F684" s="540"/>
      <c r="G684" s="540"/>
      <c r="H684" s="541" t="s">
        <v>153</v>
      </c>
      <c r="I684" s="541" t="s">
        <v>410</v>
      </c>
      <c r="J684" s="543" t="s">
        <v>73</v>
      </c>
      <c r="K684" s="394" t="s">
        <v>154</v>
      </c>
      <c r="L684" s="122"/>
      <c r="M684" s="123"/>
      <c r="N684" s="123"/>
      <c r="O684" s="123"/>
      <c r="P684" s="123"/>
      <c r="Q684" s="124"/>
    </row>
    <row r="685" spans="1:17" s="129" customFormat="1" x14ac:dyDescent="0.15">
      <c r="A685" s="553"/>
      <c r="B685" s="540"/>
      <c r="C685" s="540"/>
      <c r="D685" s="542"/>
      <c r="E685" s="393" t="s">
        <v>155</v>
      </c>
      <c r="F685" s="393" t="s">
        <v>156</v>
      </c>
      <c r="G685" s="393" t="s">
        <v>157</v>
      </c>
      <c r="H685" s="542"/>
      <c r="I685" s="542"/>
      <c r="J685" s="544"/>
      <c r="K685" s="394" t="s">
        <v>158</v>
      </c>
      <c r="L685" s="126"/>
      <c r="M685" s="127"/>
      <c r="N685" s="127"/>
      <c r="O685" s="127"/>
      <c r="P685" s="127"/>
      <c r="Q685" s="128"/>
    </row>
    <row r="686" spans="1:17" ht="26.25" customHeight="1" x14ac:dyDescent="0.15">
      <c r="A686" s="146"/>
      <c r="B686" s="545" t="s">
        <v>744</v>
      </c>
      <c r="C686" s="546"/>
      <c r="D686" s="141"/>
      <c r="E686" s="141">
        <v>0</v>
      </c>
      <c r="F686" s="141">
        <v>0</v>
      </c>
      <c r="G686" s="141">
        <v>0</v>
      </c>
      <c r="H686" s="141">
        <v>3</v>
      </c>
      <c r="I686" s="141">
        <v>3</v>
      </c>
      <c r="J686" s="131" t="s">
        <v>316</v>
      </c>
      <c r="K686" s="141">
        <f>I686</f>
        <v>3</v>
      </c>
      <c r="L686" s="126"/>
      <c r="M686" s="127"/>
      <c r="N686" s="127"/>
      <c r="O686" s="127"/>
      <c r="P686" s="127"/>
      <c r="Q686" s="128"/>
    </row>
    <row r="687" spans="1:17" ht="14" x14ac:dyDescent="0.15">
      <c r="A687" s="547" t="s">
        <v>149</v>
      </c>
      <c r="B687" s="548"/>
      <c r="C687" s="548"/>
      <c r="D687" s="548"/>
      <c r="E687" s="548"/>
      <c r="F687" s="548"/>
      <c r="G687" s="548"/>
      <c r="H687" s="548"/>
      <c r="I687" s="548"/>
      <c r="J687" s="549"/>
      <c r="K687" s="313">
        <f>SUM(K686:K686)</f>
        <v>3</v>
      </c>
      <c r="L687" s="132"/>
      <c r="M687" s="133"/>
      <c r="N687" s="133"/>
      <c r="O687" s="133"/>
      <c r="P687" s="133"/>
      <c r="Q687" s="134"/>
    </row>
    <row r="688" spans="1:17" x14ac:dyDescent="0.15">
      <c r="A688" s="550"/>
      <c r="B688" s="551"/>
      <c r="C688" s="551"/>
      <c r="D688" s="551"/>
      <c r="E688" s="551"/>
      <c r="F688" s="551"/>
      <c r="G688" s="551"/>
      <c r="H688" s="551"/>
      <c r="I688" s="551"/>
      <c r="J688" s="551"/>
      <c r="K688" s="551"/>
      <c r="L688" s="551"/>
      <c r="M688" s="551"/>
      <c r="N688" s="551"/>
      <c r="O688" s="551"/>
      <c r="P688" s="551"/>
      <c r="Q688" s="552"/>
    </row>
    <row r="689" spans="1:18" s="120" customFormat="1" ht="18" customHeight="1" x14ac:dyDescent="0.15">
      <c r="A689" s="396" t="s">
        <v>0</v>
      </c>
      <c r="B689" s="577" t="s">
        <v>764</v>
      </c>
      <c r="C689" s="578"/>
      <c r="D689" s="578"/>
      <c r="E689" s="578"/>
      <c r="F689" s="578"/>
      <c r="G689" s="578"/>
      <c r="H689" s="578"/>
      <c r="I689" s="578"/>
      <c r="J689" s="578"/>
      <c r="K689" s="578"/>
      <c r="L689" s="578"/>
      <c r="M689" s="578"/>
      <c r="N689" s="578"/>
      <c r="O689" s="394" t="s">
        <v>73</v>
      </c>
      <c r="P689" s="547" t="s">
        <v>5</v>
      </c>
      <c r="Q689" s="549"/>
    </row>
    <row r="690" spans="1:18" x14ac:dyDescent="0.15">
      <c r="A690" s="550"/>
      <c r="B690" s="551"/>
      <c r="C690" s="551"/>
      <c r="D690" s="551"/>
      <c r="E690" s="551"/>
      <c r="F690" s="551"/>
      <c r="G690" s="551"/>
      <c r="H690" s="551"/>
      <c r="I690" s="551"/>
      <c r="J690" s="551"/>
      <c r="K690" s="551"/>
      <c r="L690" s="551"/>
      <c r="M690" s="551"/>
      <c r="N690" s="551"/>
      <c r="O690" s="551"/>
      <c r="P690" s="551"/>
      <c r="Q690" s="552"/>
    </row>
    <row r="691" spans="1:18" s="125" customFormat="1" x14ac:dyDescent="0.15">
      <c r="A691" s="553" t="s">
        <v>150</v>
      </c>
      <c r="B691" s="540" t="s">
        <v>151</v>
      </c>
      <c r="C691" s="540"/>
      <c r="D691" s="558" t="s">
        <v>245</v>
      </c>
      <c r="E691" s="540" t="s">
        <v>152</v>
      </c>
      <c r="F691" s="540"/>
      <c r="G691" s="540"/>
      <c r="H691" s="541" t="s">
        <v>153</v>
      </c>
      <c r="I691" s="541" t="s">
        <v>159</v>
      </c>
      <c r="J691" s="543" t="s">
        <v>73</v>
      </c>
      <c r="K691" s="394" t="s">
        <v>154</v>
      </c>
      <c r="L691" s="122"/>
      <c r="M691" s="123"/>
      <c r="N691" s="123"/>
      <c r="O691" s="123"/>
      <c r="P691" s="123"/>
      <c r="Q691" s="124"/>
    </row>
    <row r="692" spans="1:18" s="129" customFormat="1" x14ac:dyDescent="0.15">
      <c r="A692" s="553"/>
      <c r="B692" s="540"/>
      <c r="C692" s="540"/>
      <c r="D692" s="559"/>
      <c r="E692" s="393" t="s">
        <v>155</v>
      </c>
      <c r="F692" s="393" t="s">
        <v>156</v>
      </c>
      <c r="G692" s="393" t="s">
        <v>157</v>
      </c>
      <c r="H692" s="542"/>
      <c r="I692" s="542"/>
      <c r="J692" s="544"/>
      <c r="K692" s="394" t="s">
        <v>158</v>
      </c>
      <c r="L692" s="126"/>
      <c r="M692" s="127"/>
      <c r="N692" s="127"/>
      <c r="O692" s="127"/>
      <c r="P692" s="127"/>
      <c r="Q692" s="128"/>
    </row>
    <row r="693" spans="1:18" ht="21.75" customHeight="1" x14ac:dyDescent="0.15">
      <c r="A693" s="146"/>
      <c r="B693" s="545" t="s">
        <v>767</v>
      </c>
      <c r="C693" s="546"/>
      <c r="D693" s="147"/>
      <c r="E693" s="141">
        <v>2</v>
      </c>
      <c r="F693" s="141">
        <v>0</v>
      </c>
      <c r="G693" s="141">
        <v>1.8</v>
      </c>
      <c r="H693" s="141">
        <v>5</v>
      </c>
      <c r="I693" s="141">
        <f>E693*G693</f>
        <v>3.6</v>
      </c>
      <c r="J693" s="131" t="s">
        <v>5</v>
      </c>
      <c r="K693" s="141">
        <f>I693*H693</f>
        <v>18</v>
      </c>
      <c r="L693" s="126"/>
      <c r="M693" s="127"/>
      <c r="N693" s="127"/>
      <c r="O693" s="127"/>
      <c r="P693" s="127"/>
      <c r="Q693" s="128"/>
    </row>
    <row r="694" spans="1:18" ht="21.75" customHeight="1" x14ac:dyDescent="0.15">
      <c r="A694" s="146"/>
      <c r="B694" s="545" t="s">
        <v>773</v>
      </c>
      <c r="C694" s="546"/>
      <c r="D694" s="147"/>
      <c r="E694" s="141">
        <v>1.5</v>
      </c>
      <c r="F694" s="141">
        <v>0</v>
      </c>
      <c r="G694" s="141">
        <v>1.8</v>
      </c>
      <c r="H694" s="141">
        <v>4</v>
      </c>
      <c r="I694" s="141">
        <f t="shared" ref="I694" si="147">E694*G694</f>
        <v>2.7</v>
      </c>
      <c r="J694" s="131" t="s">
        <v>5</v>
      </c>
      <c r="K694" s="141">
        <f>I694*H694</f>
        <v>10.8</v>
      </c>
      <c r="L694" s="126"/>
      <c r="M694" s="127"/>
      <c r="N694" s="127"/>
      <c r="O694" s="127"/>
      <c r="P694" s="127"/>
      <c r="Q694" s="128"/>
    </row>
    <row r="695" spans="1:18" ht="14" x14ac:dyDescent="0.15">
      <c r="A695" s="547" t="s">
        <v>149</v>
      </c>
      <c r="B695" s="548"/>
      <c r="C695" s="548"/>
      <c r="D695" s="548"/>
      <c r="E695" s="548"/>
      <c r="F695" s="548"/>
      <c r="G695" s="548"/>
      <c r="H695" s="548"/>
      <c r="I695" s="548"/>
      <c r="J695" s="549"/>
      <c r="K695" s="313">
        <f>SUM(K693:K694)</f>
        <v>28.8</v>
      </c>
      <c r="L695" s="132"/>
      <c r="M695" s="133"/>
      <c r="N695" s="133"/>
      <c r="O695" s="133"/>
      <c r="P695" s="133"/>
      <c r="Q695" s="134"/>
    </row>
    <row r="696" spans="1:18" x14ac:dyDescent="0.15">
      <c r="A696" s="550"/>
      <c r="B696" s="551"/>
      <c r="C696" s="551"/>
      <c r="D696" s="551"/>
      <c r="E696" s="551"/>
      <c r="F696" s="551"/>
      <c r="G696" s="551"/>
      <c r="H696" s="551"/>
      <c r="I696" s="551"/>
      <c r="J696" s="551"/>
      <c r="K696" s="551"/>
      <c r="L696" s="551"/>
      <c r="M696" s="551"/>
      <c r="N696" s="551"/>
      <c r="O696" s="551"/>
      <c r="P696" s="551"/>
      <c r="Q696" s="552"/>
    </row>
    <row r="697" spans="1:18" s="120" customFormat="1" ht="18" customHeight="1" x14ac:dyDescent="0.15">
      <c r="A697" s="396" t="s">
        <v>0</v>
      </c>
      <c r="B697" s="556" t="s">
        <v>745</v>
      </c>
      <c r="C697" s="557"/>
      <c r="D697" s="557"/>
      <c r="E697" s="557"/>
      <c r="F697" s="557"/>
      <c r="G697" s="557"/>
      <c r="H697" s="557"/>
      <c r="I697" s="557"/>
      <c r="J697" s="557"/>
      <c r="K697" s="557"/>
      <c r="L697" s="557"/>
      <c r="M697" s="557"/>
      <c r="N697" s="557"/>
      <c r="O697" s="394" t="s">
        <v>73</v>
      </c>
      <c r="P697" s="547" t="s">
        <v>19</v>
      </c>
      <c r="Q697" s="549"/>
    </row>
    <row r="698" spans="1:18" x14ac:dyDescent="0.15">
      <c r="A698" s="550"/>
      <c r="B698" s="551"/>
      <c r="C698" s="551"/>
      <c r="D698" s="551"/>
      <c r="E698" s="551"/>
      <c r="F698" s="551"/>
      <c r="G698" s="551"/>
      <c r="H698" s="551"/>
      <c r="I698" s="551"/>
      <c r="J698" s="551"/>
      <c r="K698" s="551"/>
      <c r="L698" s="551"/>
      <c r="M698" s="551"/>
      <c r="N698" s="551"/>
      <c r="O698" s="551"/>
      <c r="P698" s="551"/>
      <c r="Q698" s="552"/>
    </row>
    <row r="699" spans="1:18" s="125" customFormat="1" x14ac:dyDescent="0.15">
      <c r="A699" s="553" t="s">
        <v>150</v>
      </c>
      <c r="B699" s="540" t="s">
        <v>151</v>
      </c>
      <c r="C699" s="540"/>
      <c r="D699" s="541" t="s">
        <v>165</v>
      </c>
      <c r="E699" s="540" t="s">
        <v>152</v>
      </c>
      <c r="F699" s="540"/>
      <c r="G699" s="540"/>
      <c r="H699" s="541" t="s">
        <v>153</v>
      </c>
      <c r="I699" s="541" t="s">
        <v>410</v>
      </c>
      <c r="J699" s="543" t="s">
        <v>73</v>
      </c>
      <c r="K699" s="394" t="s">
        <v>154</v>
      </c>
      <c r="L699" s="122"/>
      <c r="M699" s="123"/>
      <c r="N699" s="123"/>
      <c r="O699" s="123"/>
      <c r="P699" s="123"/>
      <c r="Q699" s="124"/>
    </row>
    <row r="700" spans="1:18" s="129" customFormat="1" x14ac:dyDescent="0.15">
      <c r="A700" s="553"/>
      <c r="B700" s="540"/>
      <c r="C700" s="540"/>
      <c r="D700" s="542"/>
      <c r="E700" s="393" t="s">
        <v>155</v>
      </c>
      <c r="F700" s="393" t="s">
        <v>156</v>
      </c>
      <c r="G700" s="393" t="s">
        <v>157</v>
      </c>
      <c r="H700" s="542"/>
      <c r="I700" s="542"/>
      <c r="J700" s="544"/>
      <c r="K700" s="394" t="s">
        <v>158</v>
      </c>
      <c r="L700" s="126"/>
      <c r="M700" s="127"/>
      <c r="N700" s="127"/>
      <c r="O700" s="127"/>
      <c r="P700" s="127"/>
      <c r="Q700" s="128"/>
    </row>
    <row r="701" spans="1:18" ht="27.75" customHeight="1" x14ac:dyDescent="0.15">
      <c r="A701" s="146"/>
      <c r="B701" s="545" t="s">
        <v>871</v>
      </c>
      <c r="C701" s="546"/>
      <c r="D701" s="141" t="s">
        <v>19</v>
      </c>
      <c r="E701" s="141">
        <v>0</v>
      </c>
      <c r="F701" s="141">
        <v>0</v>
      </c>
      <c r="G701" s="141">
        <v>0</v>
      </c>
      <c r="H701" s="141">
        <v>1</v>
      </c>
      <c r="I701" s="141">
        <v>1</v>
      </c>
      <c r="J701" s="131" t="s">
        <v>19</v>
      </c>
      <c r="K701" s="141">
        <f>I701*H701</f>
        <v>1</v>
      </c>
      <c r="L701" s="126"/>
      <c r="M701" s="127"/>
      <c r="N701" s="127"/>
      <c r="O701" s="127"/>
      <c r="P701" s="127"/>
      <c r="Q701" s="128"/>
    </row>
    <row r="702" spans="1:18" ht="14" x14ac:dyDescent="0.15">
      <c r="A702" s="547" t="s">
        <v>149</v>
      </c>
      <c r="B702" s="548"/>
      <c r="C702" s="548"/>
      <c r="D702" s="548"/>
      <c r="E702" s="548"/>
      <c r="F702" s="548"/>
      <c r="G702" s="548"/>
      <c r="H702" s="548"/>
      <c r="I702" s="548"/>
      <c r="J702" s="549"/>
      <c r="K702" s="313">
        <f>SUM(K701:K701)</f>
        <v>1</v>
      </c>
      <c r="L702" s="132"/>
      <c r="M702" s="133"/>
      <c r="N702" s="133"/>
      <c r="O702" s="133"/>
      <c r="P702" s="133"/>
      <c r="Q702" s="134"/>
    </row>
    <row r="703" spans="1:18" s="138" customFormat="1" x14ac:dyDescent="0.15">
      <c r="A703" s="586"/>
      <c r="B703" s="586"/>
      <c r="C703" s="586"/>
      <c r="D703" s="586"/>
      <c r="E703" s="586"/>
      <c r="F703" s="586"/>
      <c r="G703" s="586"/>
      <c r="H703" s="586"/>
      <c r="I703" s="586"/>
      <c r="J703" s="586"/>
      <c r="K703" s="586"/>
      <c r="L703" s="586"/>
      <c r="M703" s="586"/>
      <c r="N703" s="586"/>
      <c r="O703" s="586"/>
      <c r="P703" s="586"/>
      <c r="Q703" s="586"/>
      <c r="R703" s="119"/>
    </row>
    <row r="704" spans="1:18" s="138" customFormat="1" x14ac:dyDescent="0.15">
      <c r="A704" s="176"/>
      <c r="B704" s="176"/>
      <c r="C704" s="135"/>
      <c r="D704" s="135"/>
      <c r="E704" s="136"/>
      <c r="F704" s="137"/>
      <c r="J704" s="139"/>
      <c r="K704" s="136"/>
      <c r="L704" s="140"/>
      <c r="M704" s="140"/>
      <c r="N704" s="140"/>
      <c r="O704" s="140"/>
      <c r="P704" s="136"/>
      <c r="Q704" s="119"/>
      <c r="R704" s="119"/>
    </row>
    <row r="705" spans="2:10" x14ac:dyDescent="0.15">
      <c r="I705" s="119"/>
      <c r="J705" s="119"/>
    </row>
    <row r="706" spans="2:10" x14ac:dyDescent="0.15">
      <c r="I706" s="119"/>
      <c r="J706" s="119"/>
    </row>
    <row r="707" spans="2:10" ht="14" x14ac:dyDescent="0.15">
      <c r="B707" s="101"/>
      <c r="I707" s="119"/>
      <c r="J707" s="119"/>
    </row>
    <row r="708" spans="2:10" ht="14" x14ac:dyDescent="0.15">
      <c r="B708" s="101" t="s">
        <v>534</v>
      </c>
      <c r="I708" s="119"/>
      <c r="J708" s="119"/>
    </row>
    <row r="709" spans="2:10" ht="18" x14ac:dyDescent="0.2">
      <c r="B709" s="83" t="s">
        <v>448</v>
      </c>
      <c r="C709" s="148"/>
      <c r="D709" s="149"/>
      <c r="E709" s="148"/>
      <c r="I709" s="119"/>
      <c r="J709" s="119"/>
    </row>
    <row r="710" spans="2:10" ht="18" x14ac:dyDescent="0.2">
      <c r="C710" s="150"/>
      <c r="D710" s="151"/>
      <c r="E710" s="150"/>
      <c r="I710" s="119"/>
      <c r="J710" s="119"/>
    </row>
    <row r="711" spans="2:10" ht="18" x14ac:dyDescent="0.2">
      <c r="B711" s="83"/>
      <c r="C711" s="152"/>
      <c r="D711" s="152"/>
      <c r="E711" s="152"/>
      <c r="I711" s="119"/>
      <c r="J711" s="119"/>
    </row>
    <row r="712" spans="2:10" x14ac:dyDescent="0.15">
      <c r="I712" s="119"/>
      <c r="J712" s="119"/>
    </row>
    <row r="713" spans="2:10" x14ac:dyDescent="0.15">
      <c r="I713" s="119"/>
      <c r="J713" s="119"/>
    </row>
    <row r="714" spans="2:10" x14ac:dyDescent="0.15">
      <c r="I714" s="119"/>
      <c r="J714" s="119"/>
    </row>
    <row r="715" spans="2:10" x14ac:dyDescent="0.15">
      <c r="I715" s="119"/>
      <c r="J715" s="119"/>
    </row>
    <row r="716" spans="2:10" x14ac:dyDescent="0.15">
      <c r="I716" s="119"/>
      <c r="J716" s="119"/>
    </row>
    <row r="717" spans="2:10" x14ac:dyDescent="0.15">
      <c r="I717" s="119"/>
      <c r="J717" s="119"/>
    </row>
    <row r="718" spans="2:10" x14ac:dyDescent="0.15">
      <c r="I718" s="119"/>
      <c r="J718" s="119"/>
    </row>
    <row r="719" spans="2:10" x14ac:dyDescent="0.15">
      <c r="I719" s="119"/>
      <c r="J719" s="119"/>
    </row>
    <row r="720" spans="2:10" x14ac:dyDescent="0.15">
      <c r="I720" s="119"/>
      <c r="J720" s="119"/>
    </row>
    <row r="721" s="119" customFormat="1" x14ac:dyDescent="0.15"/>
    <row r="722" s="119" customFormat="1" x14ac:dyDescent="0.15"/>
    <row r="723" s="119" customFormat="1" x14ac:dyDescent="0.15"/>
    <row r="724" s="119" customFormat="1" x14ac:dyDescent="0.15"/>
    <row r="725" s="119" customFormat="1" x14ac:dyDescent="0.15"/>
    <row r="726" s="119" customFormat="1" x14ac:dyDescent="0.15"/>
    <row r="727" s="119" customFormat="1" x14ac:dyDescent="0.15"/>
    <row r="728" s="119" customFormat="1" x14ac:dyDescent="0.15"/>
    <row r="729" s="119" customFormat="1" x14ac:dyDescent="0.15"/>
    <row r="730" s="119" customFormat="1" x14ac:dyDescent="0.15"/>
    <row r="731" s="119" customFormat="1" x14ac:dyDescent="0.15"/>
    <row r="732" s="119" customFormat="1" x14ac:dyDescent="0.15"/>
    <row r="733" s="119" customFormat="1" x14ac:dyDescent="0.15"/>
    <row r="734" s="119" customFormat="1" x14ac:dyDescent="0.15"/>
    <row r="735" s="119" customFormat="1" x14ac:dyDescent="0.15"/>
    <row r="736" s="119" customFormat="1" x14ac:dyDescent="0.15"/>
    <row r="737" s="119" customFormat="1" x14ac:dyDescent="0.15"/>
    <row r="738" s="119" customFormat="1" x14ac:dyDescent="0.15"/>
    <row r="739" s="119" customFormat="1" x14ac:dyDescent="0.15"/>
    <row r="740" s="119" customFormat="1" x14ac:dyDescent="0.15"/>
    <row r="741" s="119" customFormat="1" x14ac:dyDescent="0.15"/>
    <row r="742" s="119" customFormat="1" x14ac:dyDescent="0.15"/>
    <row r="743" s="119" customFormat="1" x14ac:dyDescent="0.15"/>
    <row r="744" s="119" customFormat="1" x14ac:dyDescent="0.15"/>
    <row r="745" s="119" customFormat="1" x14ac:dyDescent="0.15"/>
    <row r="746" s="119" customFormat="1" x14ac:dyDescent="0.15"/>
    <row r="747" s="119" customFormat="1" x14ac:dyDescent="0.15"/>
    <row r="748" s="119" customFormat="1" x14ac:dyDescent="0.15"/>
    <row r="749" s="119" customFormat="1" x14ac:dyDescent="0.15"/>
    <row r="750" s="119" customFormat="1" x14ac:dyDescent="0.15"/>
    <row r="751" s="119" customFormat="1" x14ac:dyDescent="0.15"/>
    <row r="752" s="119" customFormat="1" x14ac:dyDescent="0.15"/>
    <row r="753" s="119" customFormat="1" x14ac:dyDescent="0.15"/>
    <row r="754" s="119" customFormat="1" x14ac:dyDescent="0.15"/>
    <row r="755" s="119" customFormat="1" x14ac:dyDescent="0.15"/>
    <row r="756" s="119" customFormat="1" x14ac:dyDescent="0.15"/>
    <row r="757" s="119" customFormat="1" x14ac:dyDescent="0.15"/>
    <row r="758" s="119" customFormat="1" x14ac:dyDescent="0.15"/>
    <row r="759" s="119" customFormat="1" x14ac:dyDescent="0.15"/>
    <row r="760" s="119" customFormat="1" x14ac:dyDescent="0.15"/>
    <row r="761" s="119" customFormat="1" x14ac:dyDescent="0.15"/>
    <row r="762" s="119" customFormat="1" x14ac:dyDescent="0.15"/>
    <row r="763" s="119" customFormat="1" x14ac:dyDescent="0.15"/>
    <row r="764" s="119" customFormat="1" x14ac:dyDescent="0.15"/>
    <row r="765" s="119" customFormat="1" x14ac:dyDescent="0.15"/>
    <row r="766" s="119" customFormat="1" x14ac:dyDescent="0.15"/>
    <row r="767" s="119" customFormat="1" x14ac:dyDescent="0.15"/>
    <row r="768" s="119" customFormat="1" x14ac:dyDescent="0.15"/>
    <row r="769" s="119" customFormat="1" x14ac:dyDescent="0.15"/>
    <row r="770" s="119" customFormat="1" x14ac:dyDescent="0.15"/>
    <row r="771" s="119" customFormat="1" x14ac:dyDescent="0.15"/>
    <row r="772" s="119" customFormat="1" x14ac:dyDescent="0.15"/>
    <row r="773" s="119" customFormat="1" x14ac:dyDescent="0.15"/>
    <row r="774" s="119" customFormat="1" x14ac:dyDescent="0.15"/>
    <row r="775" s="119" customFormat="1" x14ac:dyDescent="0.15"/>
    <row r="776" s="119" customFormat="1" x14ac:dyDescent="0.15"/>
    <row r="777" s="119" customFormat="1" x14ac:dyDescent="0.15"/>
    <row r="778" s="119" customFormat="1" x14ac:dyDescent="0.15"/>
    <row r="779" s="119" customFormat="1" x14ac:dyDescent="0.15"/>
    <row r="780" s="119" customFormat="1" x14ac:dyDescent="0.15"/>
    <row r="781" s="119" customFormat="1" x14ac:dyDescent="0.15"/>
    <row r="782" s="119" customFormat="1" x14ac:dyDescent="0.15"/>
    <row r="783" s="119" customFormat="1" x14ac:dyDescent="0.15"/>
    <row r="784" s="119" customFormat="1" x14ac:dyDescent="0.15"/>
    <row r="785" s="119" customFormat="1" x14ac:dyDescent="0.15"/>
    <row r="786" s="119" customFormat="1" x14ac:dyDescent="0.15"/>
    <row r="787" s="119" customFormat="1" x14ac:dyDescent="0.15"/>
    <row r="788" s="119" customFormat="1" x14ac:dyDescent="0.15"/>
    <row r="789" s="119" customFormat="1" x14ac:dyDescent="0.15"/>
    <row r="790" s="119" customFormat="1" x14ac:dyDescent="0.15"/>
    <row r="791" s="119" customFormat="1" x14ac:dyDescent="0.15"/>
    <row r="792" s="119" customFormat="1" x14ac:dyDescent="0.15"/>
    <row r="793" s="119" customFormat="1" x14ac:dyDescent="0.15"/>
    <row r="794" s="119" customFormat="1" x14ac:dyDescent="0.15"/>
    <row r="795" s="119" customFormat="1" x14ac:dyDescent="0.15"/>
    <row r="796" s="119" customFormat="1" x14ac:dyDescent="0.15"/>
    <row r="797" s="119" customFormat="1" x14ac:dyDescent="0.15"/>
    <row r="798" s="119" customFormat="1" x14ac:dyDescent="0.15"/>
    <row r="799" s="119" customFormat="1" x14ac:dyDescent="0.15"/>
    <row r="800" s="119" customFormat="1" x14ac:dyDescent="0.15"/>
    <row r="801" s="119" customFormat="1" x14ac:dyDescent="0.15"/>
    <row r="802" s="119" customFormat="1" x14ac:dyDescent="0.15"/>
    <row r="803" s="119" customFormat="1" x14ac:dyDescent="0.15"/>
    <row r="804" s="119" customFormat="1" x14ac:dyDescent="0.15"/>
    <row r="805" s="119" customFormat="1" x14ac:dyDescent="0.15"/>
    <row r="806" s="119" customFormat="1" x14ac:dyDescent="0.15"/>
    <row r="807" s="119" customFormat="1" x14ac:dyDescent="0.15"/>
    <row r="808" s="119" customFormat="1" x14ac:dyDescent="0.15"/>
    <row r="809" s="119" customFormat="1" x14ac:dyDescent="0.15"/>
    <row r="810" s="119" customFormat="1" x14ac:dyDescent="0.15"/>
    <row r="811" s="119" customFormat="1" x14ac:dyDescent="0.15"/>
    <row r="812" s="119" customFormat="1" x14ac:dyDescent="0.15"/>
    <row r="813" s="119" customFormat="1" x14ac:dyDescent="0.15"/>
    <row r="814" s="119" customFormat="1" x14ac:dyDescent="0.15"/>
    <row r="815" s="119" customFormat="1" x14ac:dyDescent="0.15"/>
    <row r="816" s="119" customFormat="1" x14ac:dyDescent="0.15"/>
    <row r="817" s="119" customFormat="1" x14ac:dyDescent="0.15"/>
    <row r="818" s="119" customFormat="1" x14ac:dyDescent="0.15"/>
    <row r="819" s="119" customFormat="1" x14ac:dyDescent="0.15"/>
    <row r="820" s="119" customFormat="1" x14ac:dyDescent="0.15"/>
    <row r="821" s="119" customFormat="1" x14ac:dyDescent="0.15"/>
    <row r="822" s="119" customFormat="1" x14ac:dyDescent="0.15"/>
    <row r="823" s="119" customFormat="1" x14ac:dyDescent="0.15"/>
    <row r="824" s="119" customFormat="1" x14ac:dyDescent="0.15"/>
    <row r="825" s="119" customFormat="1" x14ac:dyDescent="0.15"/>
    <row r="826" s="119" customFormat="1" x14ac:dyDescent="0.15"/>
    <row r="827" s="119" customFormat="1" x14ac:dyDescent="0.15"/>
    <row r="828" s="119" customFormat="1" x14ac:dyDescent="0.15"/>
    <row r="829" s="119" customFormat="1" x14ac:dyDescent="0.15"/>
    <row r="830" s="119" customFormat="1" x14ac:dyDescent="0.15"/>
    <row r="831" s="119" customFormat="1" x14ac:dyDescent="0.15"/>
    <row r="832" s="119" customFormat="1" x14ac:dyDescent="0.15"/>
    <row r="833" s="119" customFormat="1" x14ac:dyDescent="0.15"/>
    <row r="834" s="119" customFormat="1" x14ac:dyDescent="0.15"/>
    <row r="835" s="119" customFormat="1" x14ac:dyDescent="0.15"/>
    <row r="836" s="119" customFormat="1" x14ac:dyDescent="0.15"/>
    <row r="837" s="119" customFormat="1" x14ac:dyDescent="0.15"/>
    <row r="838" s="119" customFormat="1" x14ac:dyDescent="0.15"/>
    <row r="839" s="119" customFormat="1" x14ac:dyDescent="0.15"/>
    <row r="840" s="119" customFormat="1" x14ac:dyDescent="0.15"/>
    <row r="841" s="119" customFormat="1" x14ac:dyDescent="0.15"/>
    <row r="842" s="119" customFormat="1" x14ac:dyDescent="0.15"/>
    <row r="843" s="119" customFormat="1" x14ac:dyDescent="0.15"/>
    <row r="844" s="119" customFormat="1" x14ac:dyDescent="0.15"/>
    <row r="845" s="119" customFormat="1" x14ac:dyDescent="0.15"/>
    <row r="846" s="119" customFormat="1" x14ac:dyDescent="0.15"/>
    <row r="847" s="119" customFormat="1" x14ac:dyDescent="0.15"/>
    <row r="848" s="119" customFormat="1" x14ac:dyDescent="0.15"/>
    <row r="849" s="119" customFormat="1" x14ac:dyDescent="0.15"/>
    <row r="850" s="119" customFormat="1" x14ac:dyDescent="0.15"/>
    <row r="851" s="119" customFormat="1" x14ac:dyDescent="0.15"/>
    <row r="852" s="119" customFormat="1" x14ac:dyDescent="0.15"/>
    <row r="853" s="119" customFormat="1" x14ac:dyDescent="0.15"/>
    <row r="854" s="119" customFormat="1" x14ac:dyDescent="0.15"/>
    <row r="855" s="119" customFormat="1" x14ac:dyDescent="0.15"/>
    <row r="856" s="119" customFormat="1" x14ac:dyDescent="0.15"/>
    <row r="857" s="119" customFormat="1" x14ac:dyDescent="0.15"/>
    <row r="858" s="119" customFormat="1" x14ac:dyDescent="0.15"/>
    <row r="859" s="119" customFormat="1" x14ac:dyDescent="0.15"/>
    <row r="860" s="119" customFormat="1" x14ac:dyDescent="0.15"/>
    <row r="861" s="119" customFormat="1" x14ac:dyDescent="0.15"/>
    <row r="862" s="119" customFormat="1" x14ac:dyDescent="0.15"/>
    <row r="863" s="119" customFormat="1" x14ac:dyDescent="0.15"/>
    <row r="864" s="119" customFormat="1" x14ac:dyDescent="0.15"/>
    <row r="865" s="119" customFormat="1" x14ac:dyDescent="0.15"/>
    <row r="866" s="119" customFormat="1" x14ac:dyDescent="0.15"/>
    <row r="867" s="119" customFormat="1" x14ac:dyDescent="0.15"/>
    <row r="868" s="119" customFormat="1" x14ac:dyDescent="0.15"/>
    <row r="869" s="119" customFormat="1" x14ac:dyDescent="0.15"/>
    <row r="870" s="119" customFormat="1" x14ac:dyDescent="0.15"/>
    <row r="871" s="119" customFormat="1" x14ac:dyDescent="0.15"/>
    <row r="872" s="119" customFormat="1" x14ac:dyDescent="0.15"/>
    <row r="873" s="119" customFormat="1" x14ac:dyDescent="0.15"/>
    <row r="874" s="119" customFormat="1" x14ac:dyDescent="0.15"/>
    <row r="875" s="119" customFormat="1" x14ac:dyDescent="0.15"/>
    <row r="876" s="119" customFormat="1" x14ac:dyDescent="0.15"/>
    <row r="877" s="119" customFormat="1" x14ac:dyDescent="0.15"/>
    <row r="878" s="119" customFormat="1" x14ac:dyDescent="0.15"/>
    <row r="879" s="119" customFormat="1" x14ac:dyDescent="0.15"/>
    <row r="880" s="119" customFormat="1" x14ac:dyDescent="0.15"/>
    <row r="881" s="119" customFormat="1" x14ac:dyDescent="0.15"/>
    <row r="882" s="119" customFormat="1" x14ac:dyDescent="0.15"/>
    <row r="883" s="119" customFormat="1" x14ac:dyDescent="0.15"/>
    <row r="884" s="119" customFormat="1" x14ac:dyDescent="0.15"/>
    <row r="885" s="119" customFormat="1" x14ac:dyDescent="0.15"/>
    <row r="886" s="119" customFormat="1" x14ac:dyDescent="0.15"/>
    <row r="887" s="119" customFormat="1" x14ac:dyDescent="0.15"/>
    <row r="888" s="119" customFormat="1" x14ac:dyDescent="0.15"/>
    <row r="889" s="119" customFormat="1" x14ac:dyDescent="0.15"/>
    <row r="890" s="119" customFormat="1" x14ac:dyDescent="0.15"/>
    <row r="891" s="119" customFormat="1" x14ac:dyDescent="0.15"/>
    <row r="892" s="119" customFormat="1" x14ac:dyDescent="0.15"/>
    <row r="893" s="119" customFormat="1" x14ac:dyDescent="0.15"/>
    <row r="894" s="119" customFormat="1" x14ac:dyDescent="0.15"/>
    <row r="895" s="119" customFormat="1" x14ac:dyDescent="0.15"/>
    <row r="896" s="119" customFormat="1" x14ac:dyDescent="0.15"/>
    <row r="897" s="119" customFormat="1" x14ac:dyDescent="0.15"/>
    <row r="898" s="119" customFormat="1" x14ac:dyDescent="0.15"/>
    <row r="899" s="119" customFormat="1" x14ac:dyDescent="0.15"/>
    <row r="900" s="119" customFormat="1" x14ac:dyDescent="0.15"/>
    <row r="901" s="119" customFormat="1" x14ac:dyDescent="0.15"/>
    <row r="902" s="119" customFormat="1" x14ac:dyDescent="0.15"/>
    <row r="903" s="119" customFormat="1" x14ac:dyDescent="0.15"/>
    <row r="904" s="119" customFormat="1" x14ac:dyDescent="0.15"/>
    <row r="905" s="119" customFormat="1" x14ac:dyDescent="0.15"/>
    <row r="906" s="119" customFormat="1" x14ac:dyDescent="0.15"/>
    <row r="907" s="119" customFormat="1" x14ac:dyDescent="0.15"/>
    <row r="908" s="119" customFormat="1" x14ac:dyDescent="0.15"/>
    <row r="909" s="119" customFormat="1" x14ac:dyDescent="0.15"/>
    <row r="910" s="119" customFormat="1" x14ac:dyDescent="0.15"/>
    <row r="911" s="119" customFormat="1" x14ac:dyDescent="0.15"/>
    <row r="912" s="119" customFormat="1" x14ac:dyDescent="0.15"/>
    <row r="913" s="119" customFormat="1" x14ac:dyDescent="0.15"/>
    <row r="914" s="119" customFormat="1" x14ac:dyDescent="0.15"/>
    <row r="915" s="119" customFormat="1" x14ac:dyDescent="0.15"/>
    <row r="916" s="119" customFormat="1" x14ac:dyDescent="0.15"/>
    <row r="917" s="119" customFormat="1" x14ac:dyDescent="0.15"/>
    <row r="918" s="119" customFormat="1" x14ac:dyDescent="0.15"/>
    <row r="919" s="119" customFormat="1" x14ac:dyDescent="0.15"/>
    <row r="920" s="119" customFormat="1" x14ac:dyDescent="0.15"/>
    <row r="921" s="119" customFormat="1" x14ac:dyDescent="0.15"/>
    <row r="922" s="119" customFormat="1" x14ac:dyDescent="0.15"/>
    <row r="923" s="119" customFormat="1" x14ac:dyDescent="0.15"/>
    <row r="924" s="119" customFormat="1" x14ac:dyDescent="0.15"/>
    <row r="925" s="119" customFormat="1" x14ac:dyDescent="0.15"/>
    <row r="926" s="119" customFormat="1" x14ac:dyDescent="0.15"/>
    <row r="927" s="119" customFormat="1" x14ac:dyDescent="0.15"/>
    <row r="928" s="119" customFormat="1" x14ac:dyDescent="0.15"/>
    <row r="929" s="119" customFormat="1" x14ac:dyDescent="0.15"/>
    <row r="930" s="119" customFormat="1" x14ac:dyDescent="0.15"/>
    <row r="931" s="119" customFormat="1" x14ac:dyDescent="0.15"/>
    <row r="932" s="119" customFormat="1" x14ac:dyDescent="0.15"/>
    <row r="933" s="119" customFormat="1" x14ac:dyDescent="0.15"/>
    <row r="934" s="119" customFormat="1" x14ac:dyDescent="0.15"/>
    <row r="935" s="119" customFormat="1" x14ac:dyDescent="0.15"/>
    <row r="936" s="119" customFormat="1" x14ac:dyDescent="0.15"/>
    <row r="937" s="119" customFormat="1" x14ac:dyDescent="0.15"/>
    <row r="938" s="119" customFormat="1" x14ac:dyDescent="0.15"/>
    <row r="939" s="119" customFormat="1" x14ac:dyDescent="0.15"/>
    <row r="940" s="119" customFormat="1" x14ac:dyDescent="0.15"/>
    <row r="941" s="119" customFormat="1" x14ac:dyDescent="0.15"/>
    <row r="942" s="119" customFormat="1" x14ac:dyDescent="0.15"/>
    <row r="943" s="119" customFormat="1" x14ac:dyDescent="0.15"/>
    <row r="944" s="119" customFormat="1" x14ac:dyDescent="0.15"/>
    <row r="945" s="119" customFormat="1" x14ac:dyDescent="0.15"/>
    <row r="946" s="119" customFormat="1" x14ac:dyDescent="0.15"/>
    <row r="947" s="119" customFormat="1" x14ac:dyDescent="0.15"/>
    <row r="948" s="119" customFormat="1" x14ac:dyDescent="0.15"/>
    <row r="949" s="119" customFormat="1" x14ac:dyDescent="0.15"/>
    <row r="950" s="119" customFormat="1" x14ac:dyDescent="0.15"/>
    <row r="951" s="119" customFormat="1" x14ac:dyDescent="0.15"/>
    <row r="952" s="119" customFormat="1" x14ac:dyDescent="0.15"/>
    <row r="953" s="119" customFormat="1" x14ac:dyDescent="0.15"/>
    <row r="954" s="119" customFormat="1" x14ac:dyDescent="0.15"/>
    <row r="955" s="119" customFormat="1" x14ac:dyDescent="0.15"/>
    <row r="956" s="119" customFormat="1" x14ac:dyDescent="0.15"/>
    <row r="957" s="119" customFormat="1" x14ac:dyDescent="0.15"/>
    <row r="958" s="119" customFormat="1" x14ac:dyDescent="0.15"/>
    <row r="959" s="119" customFormat="1" x14ac:dyDescent="0.15"/>
    <row r="960" s="119" customFormat="1" x14ac:dyDescent="0.15"/>
    <row r="961" s="119" customFormat="1" x14ac:dyDescent="0.15"/>
    <row r="962" s="119" customFormat="1" x14ac:dyDescent="0.15"/>
    <row r="963" s="119" customFormat="1" x14ac:dyDescent="0.15"/>
    <row r="964" s="119" customFormat="1" x14ac:dyDescent="0.15"/>
    <row r="965" s="119" customFormat="1" x14ac:dyDescent="0.15"/>
    <row r="966" s="119" customFormat="1" x14ac:dyDescent="0.15"/>
    <row r="967" s="119" customFormat="1" x14ac:dyDescent="0.15"/>
    <row r="968" s="119" customFormat="1" x14ac:dyDescent="0.15"/>
    <row r="969" s="119" customFormat="1" x14ac:dyDescent="0.15"/>
    <row r="970" s="119" customFormat="1" x14ac:dyDescent="0.15"/>
    <row r="971" s="119" customFormat="1" x14ac:dyDescent="0.15"/>
    <row r="972" s="119" customFormat="1" x14ac:dyDescent="0.15"/>
    <row r="973" s="119" customFormat="1" x14ac:dyDescent="0.15"/>
    <row r="974" s="119" customFormat="1" x14ac:dyDescent="0.15"/>
    <row r="975" s="119" customFormat="1" x14ac:dyDescent="0.15"/>
    <row r="976" s="119" customFormat="1" x14ac:dyDescent="0.15"/>
    <row r="977" s="119" customFormat="1" x14ac:dyDescent="0.15"/>
    <row r="978" s="119" customFormat="1" x14ac:dyDescent="0.15"/>
    <row r="979" s="119" customFormat="1" x14ac:dyDescent="0.15"/>
    <row r="980" s="119" customFormat="1" x14ac:dyDescent="0.15"/>
    <row r="981" s="119" customFormat="1" x14ac:dyDescent="0.15"/>
    <row r="982" s="119" customFormat="1" x14ac:dyDescent="0.15"/>
    <row r="983" s="119" customFormat="1" x14ac:dyDescent="0.15"/>
    <row r="984" s="119" customFormat="1" x14ac:dyDescent="0.15"/>
    <row r="985" s="119" customFormat="1" x14ac:dyDescent="0.15"/>
    <row r="986" s="119" customFormat="1" x14ac:dyDescent="0.15"/>
    <row r="987" s="119" customFormat="1" x14ac:dyDescent="0.15"/>
    <row r="988" s="119" customFormat="1" x14ac:dyDescent="0.15"/>
    <row r="989" s="119" customFormat="1" x14ac:dyDescent="0.15"/>
    <row r="990" s="119" customFormat="1" x14ac:dyDescent="0.15"/>
    <row r="991" s="119" customFormat="1" x14ac:dyDescent="0.15"/>
    <row r="992" s="119" customFormat="1" x14ac:dyDescent="0.15"/>
    <row r="993" s="119" customFormat="1" x14ac:dyDescent="0.15"/>
    <row r="994" s="119" customFormat="1" x14ac:dyDescent="0.15"/>
    <row r="995" s="119" customFormat="1" x14ac:dyDescent="0.15"/>
    <row r="996" s="119" customFormat="1" x14ac:dyDescent="0.15"/>
    <row r="997" s="119" customFormat="1" x14ac:dyDescent="0.15"/>
    <row r="998" s="119" customFormat="1" x14ac:dyDescent="0.15"/>
    <row r="999" s="119" customFormat="1" x14ac:dyDescent="0.15"/>
    <row r="1000" s="119" customFormat="1" x14ac:dyDescent="0.15"/>
    <row r="1001" s="119" customFormat="1" x14ac:dyDescent="0.15"/>
    <row r="1002" s="119" customFormat="1" x14ac:dyDescent="0.15"/>
    <row r="1003" s="119" customFormat="1" x14ac:dyDescent="0.15"/>
    <row r="1004" s="119" customFormat="1" x14ac:dyDescent="0.15"/>
    <row r="1005" s="119" customFormat="1" x14ac:dyDescent="0.15"/>
    <row r="1006" s="119" customFormat="1" x14ac:dyDescent="0.15"/>
    <row r="1007" s="119" customFormat="1" x14ac:dyDescent="0.15"/>
    <row r="1008" s="119" customFormat="1" x14ac:dyDescent="0.15"/>
    <row r="1009" s="119" customFormat="1" x14ac:dyDescent="0.15"/>
    <row r="1010" s="119" customFormat="1" x14ac:dyDescent="0.15"/>
    <row r="1011" s="119" customFormat="1" x14ac:dyDescent="0.15"/>
    <row r="1012" s="119" customFormat="1" x14ac:dyDescent="0.15"/>
    <row r="1013" s="119" customFormat="1" x14ac:dyDescent="0.15"/>
    <row r="1014" s="119" customFormat="1" x14ac:dyDescent="0.15"/>
    <row r="1015" s="119" customFormat="1" x14ac:dyDescent="0.15"/>
    <row r="1016" s="119" customFormat="1" x14ac:dyDescent="0.15"/>
    <row r="1017" s="119" customFormat="1" x14ac:dyDescent="0.15"/>
    <row r="1018" s="119" customFormat="1" x14ac:dyDescent="0.15"/>
    <row r="1019" s="119" customFormat="1" x14ac:dyDescent="0.15"/>
    <row r="1020" s="119" customFormat="1" x14ac:dyDescent="0.15"/>
    <row r="1021" s="119" customFormat="1" x14ac:dyDescent="0.15"/>
    <row r="1022" s="119" customFormat="1" x14ac:dyDescent="0.15"/>
    <row r="1023" s="119" customFormat="1" x14ac:dyDescent="0.15"/>
    <row r="1024" s="119" customFormat="1" x14ac:dyDescent="0.15"/>
    <row r="1025" s="119" customFormat="1" x14ac:dyDescent="0.15"/>
    <row r="1026" s="119" customFormat="1" x14ac:dyDescent="0.15"/>
    <row r="1027" s="119" customFormat="1" x14ac:dyDescent="0.15"/>
    <row r="1028" s="119" customFormat="1" x14ac:dyDescent="0.15"/>
    <row r="1029" s="119" customFormat="1" x14ac:dyDescent="0.15"/>
    <row r="1030" s="119" customFormat="1" x14ac:dyDescent="0.15"/>
    <row r="1031" s="119" customFormat="1" x14ac:dyDescent="0.15"/>
    <row r="1032" s="119" customFormat="1" x14ac:dyDescent="0.15"/>
    <row r="1033" s="119" customFormat="1" x14ac:dyDescent="0.15"/>
    <row r="1034" s="119" customFormat="1" x14ac:dyDescent="0.15"/>
    <row r="1035" s="119" customFormat="1" x14ac:dyDescent="0.15"/>
    <row r="1036" s="119" customFormat="1" x14ac:dyDescent="0.15"/>
    <row r="1037" s="119" customFormat="1" x14ac:dyDescent="0.15"/>
    <row r="1038" s="119" customFormat="1" x14ac:dyDescent="0.15"/>
    <row r="1039" s="119" customFormat="1" x14ac:dyDescent="0.15"/>
    <row r="1040" s="119" customFormat="1" x14ac:dyDescent="0.15"/>
    <row r="1041" s="119" customFormat="1" x14ac:dyDescent="0.15"/>
    <row r="1042" s="119" customFormat="1" x14ac:dyDescent="0.15"/>
    <row r="1043" s="119" customFormat="1" x14ac:dyDescent="0.15"/>
    <row r="1044" s="119" customFormat="1" x14ac:dyDescent="0.15"/>
    <row r="1045" s="119" customFormat="1" x14ac:dyDescent="0.15"/>
    <row r="1046" s="119" customFormat="1" x14ac:dyDescent="0.15"/>
    <row r="1047" s="119" customFormat="1" x14ac:dyDescent="0.15"/>
    <row r="1048" s="119" customFormat="1" x14ac:dyDescent="0.15"/>
    <row r="1049" s="119" customFormat="1" x14ac:dyDescent="0.15"/>
    <row r="1050" s="119" customFormat="1" x14ac:dyDescent="0.15"/>
    <row r="1051" s="119" customFormat="1" x14ac:dyDescent="0.15"/>
    <row r="1052" s="119" customFormat="1" x14ac:dyDescent="0.15"/>
    <row r="1053" s="119" customFormat="1" x14ac:dyDescent="0.15"/>
    <row r="1054" s="119" customFormat="1" x14ac:dyDescent="0.15"/>
    <row r="1055" s="119" customFormat="1" x14ac:dyDescent="0.15"/>
    <row r="1056" s="119" customFormat="1" x14ac:dyDescent="0.15"/>
    <row r="1057" s="119" customFormat="1" x14ac:dyDescent="0.15"/>
    <row r="1058" s="119" customFormat="1" x14ac:dyDescent="0.15"/>
    <row r="1059" s="119" customFormat="1" x14ac:dyDescent="0.15"/>
    <row r="1060" s="119" customFormat="1" x14ac:dyDescent="0.15"/>
    <row r="1061" s="119" customFormat="1" x14ac:dyDescent="0.15"/>
    <row r="1062" s="119" customFormat="1" x14ac:dyDescent="0.15"/>
    <row r="1063" s="119" customFormat="1" x14ac:dyDescent="0.15"/>
    <row r="1064" s="119" customFormat="1" x14ac:dyDescent="0.15"/>
    <row r="1065" s="119" customFormat="1" x14ac:dyDescent="0.15"/>
    <row r="1066" s="119" customFormat="1" x14ac:dyDescent="0.15"/>
    <row r="1067" s="119" customFormat="1" x14ac:dyDescent="0.15"/>
    <row r="1068" s="119" customFormat="1" x14ac:dyDescent="0.15"/>
    <row r="1069" s="119" customFormat="1" x14ac:dyDescent="0.15"/>
    <row r="1070" s="119" customFormat="1" x14ac:dyDescent="0.15"/>
    <row r="1071" s="119" customFormat="1" x14ac:dyDescent="0.15"/>
    <row r="1072" s="119" customFormat="1" x14ac:dyDescent="0.15"/>
    <row r="1073" s="119" customFormat="1" x14ac:dyDescent="0.15"/>
    <row r="1074" s="119" customFormat="1" x14ac:dyDescent="0.15"/>
    <row r="1075" s="119" customFormat="1" x14ac:dyDescent="0.15"/>
    <row r="1076" s="119" customFormat="1" x14ac:dyDescent="0.15"/>
    <row r="1077" s="119" customFormat="1" x14ac:dyDescent="0.15"/>
    <row r="1078" s="119" customFormat="1" x14ac:dyDescent="0.15"/>
    <row r="1079" s="119" customFormat="1" x14ac:dyDescent="0.15"/>
    <row r="1080" s="119" customFormat="1" x14ac:dyDescent="0.15"/>
    <row r="1081" s="119" customFormat="1" x14ac:dyDescent="0.15"/>
    <row r="1082" s="119" customFormat="1" x14ac:dyDescent="0.15"/>
    <row r="1083" s="119" customFormat="1" x14ac:dyDescent="0.15"/>
    <row r="1084" s="119" customFormat="1" x14ac:dyDescent="0.15"/>
    <row r="1085" s="119" customFormat="1" x14ac:dyDescent="0.15"/>
    <row r="1086" s="119" customFormat="1" x14ac:dyDescent="0.15"/>
    <row r="1087" s="119" customFormat="1" x14ac:dyDescent="0.15"/>
    <row r="1088" s="119" customFormat="1" x14ac:dyDescent="0.15"/>
    <row r="1089" s="119" customFormat="1" x14ac:dyDescent="0.15"/>
    <row r="1090" s="119" customFormat="1" x14ac:dyDescent="0.15"/>
    <row r="1091" s="119" customFormat="1" x14ac:dyDescent="0.15"/>
    <row r="1092" s="119" customFormat="1" x14ac:dyDescent="0.15"/>
    <row r="1093" s="119" customFormat="1" x14ac:dyDescent="0.15"/>
    <row r="1094" s="119" customFormat="1" x14ac:dyDescent="0.15"/>
    <row r="1095" s="119" customFormat="1" x14ac:dyDescent="0.15"/>
    <row r="1096" s="119" customFormat="1" x14ac:dyDescent="0.15"/>
    <row r="1097" s="119" customFormat="1" x14ac:dyDescent="0.15"/>
    <row r="1098" s="119" customFormat="1" x14ac:dyDescent="0.15"/>
    <row r="1099" s="119" customFormat="1" x14ac:dyDescent="0.15"/>
    <row r="1100" s="119" customFormat="1" x14ac:dyDescent="0.15"/>
    <row r="1101" s="119" customFormat="1" x14ac:dyDescent="0.15"/>
    <row r="1102" s="119" customFormat="1" x14ac:dyDescent="0.15"/>
    <row r="1103" s="119" customFormat="1" x14ac:dyDescent="0.15"/>
    <row r="1104" s="119" customFormat="1" x14ac:dyDescent="0.15"/>
    <row r="1105" s="119" customFormat="1" x14ac:dyDescent="0.15"/>
    <row r="1106" s="119" customFormat="1" x14ac:dyDescent="0.15"/>
    <row r="1107" s="119" customFormat="1" x14ac:dyDescent="0.15"/>
    <row r="1108" s="119" customFormat="1" x14ac:dyDescent="0.15"/>
    <row r="1109" s="119" customFormat="1" x14ac:dyDescent="0.15"/>
    <row r="1110" s="119" customFormat="1" x14ac:dyDescent="0.15"/>
    <row r="1111" s="119" customFormat="1" x14ac:dyDescent="0.15"/>
    <row r="1112" s="119" customFormat="1" x14ac:dyDescent="0.15"/>
    <row r="1113" s="119" customFormat="1" x14ac:dyDescent="0.15"/>
    <row r="1114" s="119" customFormat="1" x14ac:dyDescent="0.15"/>
    <row r="1115" s="119" customFormat="1" x14ac:dyDescent="0.15"/>
    <row r="1116" s="119" customFormat="1" x14ac:dyDescent="0.15"/>
    <row r="1117" s="119" customFormat="1" x14ac:dyDescent="0.15"/>
    <row r="1118" s="119" customFormat="1" x14ac:dyDescent="0.15"/>
    <row r="1119" s="119" customFormat="1" x14ac:dyDescent="0.15"/>
    <row r="1120" s="119" customFormat="1" x14ac:dyDescent="0.15"/>
    <row r="1121" s="119" customFormat="1" x14ac:dyDescent="0.15"/>
    <row r="1122" s="119" customFormat="1" x14ac:dyDescent="0.15"/>
    <row r="1123" s="119" customFormat="1" x14ac:dyDescent="0.15"/>
    <row r="1124" s="119" customFormat="1" x14ac:dyDescent="0.15"/>
    <row r="1125" s="119" customFormat="1" x14ac:dyDescent="0.15"/>
    <row r="1126" s="119" customFormat="1" x14ac:dyDescent="0.15"/>
    <row r="1127" s="119" customFormat="1" x14ac:dyDescent="0.15"/>
    <row r="1128" s="119" customFormat="1" x14ac:dyDescent="0.15"/>
    <row r="1129" s="119" customFormat="1" x14ac:dyDescent="0.15"/>
    <row r="1130" s="119" customFormat="1" x14ac:dyDescent="0.15"/>
    <row r="1131" s="119" customFormat="1" x14ac:dyDescent="0.15"/>
    <row r="1132" s="119" customFormat="1" x14ac:dyDescent="0.15"/>
    <row r="1133" s="119" customFormat="1" x14ac:dyDescent="0.15"/>
    <row r="1134" s="119" customFormat="1" x14ac:dyDescent="0.15"/>
    <row r="1135" s="119" customFormat="1" x14ac:dyDescent="0.15"/>
    <row r="1136" s="119" customFormat="1" x14ac:dyDescent="0.15"/>
    <row r="1137" s="119" customFormat="1" x14ac:dyDescent="0.15"/>
    <row r="1138" s="119" customFormat="1" x14ac:dyDescent="0.15"/>
    <row r="1139" s="119" customFormat="1" x14ac:dyDescent="0.15"/>
    <row r="1140" s="119" customFormat="1" x14ac:dyDescent="0.15"/>
    <row r="1141" s="119" customFormat="1" x14ac:dyDescent="0.15"/>
    <row r="1142" s="119" customFormat="1" x14ac:dyDescent="0.15"/>
    <row r="1143" s="119" customFormat="1" x14ac:dyDescent="0.15"/>
    <row r="1144" s="119" customFormat="1" x14ac:dyDescent="0.15"/>
    <row r="1145" s="119" customFormat="1" x14ac:dyDescent="0.15"/>
    <row r="1146" s="119" customFormat="1" x14ac:dyDescent="0.15"/>
    <row r="1147" s="119" customFormat="1" x14ac:dyDescent="0.15"/>
    <row r="1148" s="119" customFormat="1" x14ac:dyDescent="0.15"/>
    <row r="1149" s="119" customFormat="1" x14ac:dyDescent="0.15"/>
    <row r="1150" s="119" customFormat="1" x14ac:dyDescent="0.15"/>
    <row r="1151" s="119" customFormat="1" x14ac:dyDescent="0.15"/>
    <row r="1152" s="119" customFormat="1" x14ac:dyDescent="0.15"/>
    <row r="1153" s="119" customFormat="1" x14ac:dyDescent="0.15"/>
    <row r="1154" s="119" customFormat="1" x14ac:dyDescent="0.15"/>
    <row r="1155" s="119" customFormat="1" x14ac:dyDescent="0.15"/>
    <row r="1156" s="119" customFormat="1" x14ac:dyDescent="0.15"/>
    <row r="1157" s="119" customFormat="1" x14ac:dyDescent="0.15"/>
    <row r="1158" s="119" customFormat="1" x14ac:dyDescent="0.15"/>
    <row r="1159" s="119" customFormat="1" x14ac:dyDescent="0.15"/>
    <row r="1160" s="119" customFormat="1" x14ac:dyDescent="0.15"/>
    <row r="1161" s="119" customFormat="1" x14ac:dyDescent="0.15"/>
    <row r="1162" s="119" customFormat="1" x14ac:dyDescent="0.15"/>
    <row r="1163" s="119" customFormat="1" x14ac:dyDescent="0.15"/>
    <row r="1164" s="119" customFormat="1" x14ac:dyDescent="0.15"/>
    <row r="1165" s="119" customFormat="1" x14ac:dyDescent="0.15"/>
    <row r="1166" s="119" customFormat="1" x14ac:dyDescent="0.15"/>
    <row r="1167" s="119" customFormat="1" x14ac:dyDescent="0.15"/>
    <row r="1168" s="119" customFormat="1" x14ac:dyDescent="0.15"/>
    <row r="1169" s="119" customFormat="1" x14ac:dyDescent="0.15"/>
    <row r="1170" s="119" customFormat="1" x14ac:dyDescent="0.15"/>
    <row r="1171" s="119" customFormat="1" x14ac:dyDescent="0.15"/>
    <row r="1172" s="119" customFormat="1" x14ac:dyDescent="0.15"/>
    <row r="1173" s="119" customFormat="1" x14ac:dyDescent="0.15"/>
    <row r="1174" s="119" customFormat="1" x14ac:dyDescent="0.15"/>
    <row r="1175" s="119" customFormat="1" x14ac:dyDescent="0.15"/>
    <row r="1176" s="119" customFormat="1" x14ac:dyDescent="0.15"/>
    <row r="1177" s="119" customFormat="1" x14ac:dyDescent="0.15"/>
    <row r="1178" s="119" customFormat="1" x14ac:dyDescent="0.15"/>
    <row r="1179" s="119" customFormat="1" x14ac:dyDescent="0.15"/>
    <row r="1180" s="119" customFormat="1" x14ac:dyDescent="0.15"/>
    <row r="1181" s="119" customFormat="1" x14ac:dyDescent="0.15"/>
    <row r="1182" s="119" customFormat="1" x14ac:dyDescent="0.15"/>
    <row r="1183" s="119" customFormat="1" x14ac:dyDescent="0.15"/>
    <row r="1184" s="119" customFormat="1" x14ac:dyDescent="0.15"/>
    <row r="1185" s="119" customFormat="1" x14ac:dyDescent="0.15"/>
    <row r="1186" s="119" customFormat="1" x14ac:dyDescent="0.15"/>
    <row r="1187" s="119" customFormat="1" x14ac:dyDescent="0.15"/>
    <row r="1188" s="119" customFormat="1" x14ac:dyDescent="0.15"/>
    <row r="1189" s="119" customFormat="1" x14ac:dyDescent="0.15"/>
    <row r="1190" s="119" customFormat="1" x14ac:dyDescent="0.15"/>
    <row r="1191" s="119" customFormat="1" x14ac:dyDescent="0.15"/>
    <row r="1192" s="119" customFormat="1" x14ac:dyDescent="0.15"/>
    <row r="1193" s="119" customFormat="1" x14ac:dyDescent="0.15"/>
    <row r="1194" s="119" customFormat="1" x14ac:dyDescent="0.15"/>
    <row r="1195" s="119" customFormat="1" x14ac:dyDescent="0.15"/>
    <row r="1196" s="119" customFormat="1" x14ac:dyDescent="0.15"/>
    <row r="1197" s="119" customFormat="1" x14ac:dyDescent="0.15"/>
    <row r="1198" s="119" customFormat="1" x14ac:dyDescent="0.15"/>
    <row r="1199" s="119" customFormat="1" x14ac:dyDescent="0.15"/>
    <row r="1200" s="119" customFormat="1" x14ac:dyDescent="0.15"/>
    <row r="1201" s="119" customFormat="1" x14ac:dyDescent="0.15"/>
    <row r="1202" s="119" customFormat="1" x14ac:dyDescent="0.15"/>
    <row r="1203" s="119" customFormat="1" x14ac:dyDescent="0.15"/>
    <row r="1204" s="119" customFormat="1" x14ac:dyDescent="0.15"/>
    <row r="1205" s="119" customFormat="1" x14ac:dyDescent="0.15"/>
    <row r="1206" s="119" customFormat="1" x14ac:dyDescent="0.15"/>
    <row r="1207" s="119" customFormat="1" x14ac:dyDescent="0.15"/>
    <row r="1208" s="119" customFormat="1" x14ac:dyDescent="0.15"/>
    <row r="1209" s="119" customFormat="1" x14ac:dyDescent="0.15"/>
    <row r="1210" s="119" customFormat="1" x14ac:dyDescent="0.15"/>
    <row r="1211" s="119" customFormat="1" x14ac:dyDescent="0.15"/>
    <row r="1212" s="119" customFormat="1" x14ac:dyDescent="0.15"/>
    <row r="1213" s="119" customFormat="1" x14ac:dyDescent="0.15"/>
    <row r="1214" s="119" customFormat="1" x14ac:dyDescent="0.15"/>
    <row r="1215" s="119" customFormat="1" x14ac:dyDescent="0.15"/>
    <row r="1216" s="119" customFormat="1" x14ac:dyDescent="0.15"/>
    <row r="1217" s="119" customFormat="1" x14ac:dyDescent="0.15"/>
    <row r="1218" s="119" customFormat="1" x14ac:dyDescent="0.15"/>
    <row r="1219" s="119" customFormat="1" x14ac:dyDescent="0.15"/>
    <row r="1220" s="119" customFormat="1" x14ac:dyDescent="0.15"/>
    <row r="1221" s="119" customFormat="1" x14ac:dyDescent="0.15"/>
    <row r="1222" s="119" customFormat="1" x14ac:dyDescent="0.15"/>
    <row r="1223" s="119" customFormat="1" x14ac:dyDescent="0.15"/>
    <row r="1224" s="119" customFormat="1" x14ac:dyDescent="0.15"/>
    <row r="1225" s="119" customFormat="1" x14ac:dyDescent="0.15"/>
    <row r="1226" s="119" customFormat="1" x14ac:dyDescent="0.15"/>
    <row r="1227" s="119" customFormat="1" x14ac:dyDescent="0.15"/>
    <row r="1228" s="119" customFormat="1" x14ac:dyDescent="0.15"/>
    <row r="1229" s="119" customFormat="1" x14ac:dyDescent="0.15"/>
    <row r="1230" s="119" customFormat="1" x14ac:dyDescent="0.15"/>
    <row r="1231" s="119" customFormat="1" x14ac:dyDescent="0.15"/>
    <row r="1232" s="119" customFormat="1" x14ac:dyDescent="0.15"/>
    <row r="1233" s="119" customFormat="1" x14ac:dyDescent="0.15"/>
    <row r="1234" s="119" customFormat="1" x14ac:dyDescent="0.15"/>
    <row r="1235" s="119" customFormat="1" x14ac:dyDescent="0.15"/>
    <row r="1236" s="119" customFormat="1" x14ac:dyDescent="0.15"/>
    <row r="1237" s="119" customFormat="1" x14ac:dyDescent="0.15"/>
    <row r="1238" s="119" customFormat="1" x14ac:dyDescent="0.15"/>
    <row r="1239" s="119" customFormat="1" x14ac:dyDescent="0.15"/>
    <row r="1240" s="119" customFormat="1" x14ac:dyDescent="0.15"/>
    <row r="1241" s="119" customFormat="1" x14ac:dyDescent="0.15"/>
    <row r="1242" s="119" customFormat="1" x14ac:dyDescent="0.15"/>
    <row r="1243" s="119" customFormat="1" x14ac:dyDescent="0.15"/>
    <row r="1244" s="119" customFormat="1" x14ac:dyDescent="0.15"/>
    <row r="1245" s="119" customFormat="1" x14ac:dyDescent="0.15"/>
    <row r="1246" s="119" customFormat="1" x14ac:dyDescent="0.15"/>
    <row r="1247" s="119" customFormat="1" x14ac:dyDescent="0.15"/>
    <row r="1248" s="119" customFormat="1" x14ac:dyDescent="0.15"/>
    <row r="1249" s="119" customFormat="1" x14ac:dyDescent="0.15"/>
    <row r="1250" s="119" customFormat="1" x14ac:dyDescent="0.15"/>
    <row r="1251" s="119" customFormat="1" x14ac:dyDescent="0.15"/>
    <row r="1252" s="119" customFormat="1" x14ac:dyDescent="0.15"/>
    <row r="1253" s="119" customFormat="1" x14ac:dyDescent="0.15"/>
    <row r="1254" s="119" customFormat="1" x14ac:dyDescent="0.15"/>
    <row r="1255" s="119" customFormat="1" x14ac:dyDescent="0.15"/>
    <row r="1256" s="119" customFormat="1" x14ac:dyDescent="0.15"/>
    <row r="1257" s="119" customFormat="1" x14ac:dyDescent="0.15"/>
    <row r="1258" s="119" customFormat="1" x14ac:dyDescent="0.15"/>
    <row r="1259" s="119" customFormat="1" x14ac:dyDescent="0.15"/>
    <row r="1260" s="119" customFormat="1" x14ac:dyDescent="0.15"/>
    <row r="1261" s="119" customFormat="1" x14ac:dyDescent="0.15"/>
    <row r="1262" s="119" customFormat="1" x14ac:dyDescent="0.15"/>
    <row r="1263" s="119" customFormat="1" x14ac:dyDescent="0.15"/>
    <row r="1264" s="119" customFormat="1" x14ac:dyDescent="0.15"/>
    <row r="1265" s="119" customFormat="1" x14ac:dyDescent="0.15"/>
    <row r="1266" s="119" customFormat="1" x14ac:dyDescent="0.15"/>
    <row r="1267" s="119" customFormat="1" x14ac:dyDescent="0.15"/>
    <row r="1268" s="119" customFormat="1" x14ac:dyDescent="0.15"/>
    <row r="1269" s="119" customFormat="1" x14ac:dyDescent="0.15"/>
    <row r="1270" s="119" customFormat="1" x14ac:dyDescent="0.15"/>
    <row r="1271" s="119" customFormat="1" x14ac:dyDescent="0.15"/>
    <row r="1272" s="119" customFormat="1" x14ac:dyDescent="0.15"/>
    <row r="1273" s="119" customFormat="1" x14ac:dyDescent="0.15"/>
    <row r="1274" s="119" customFormat="1" x14ac:dyDescent="0.15"/>
    <row r="1275" s="119" customFormat="1" x14ac:dyDescent="0.15"/>
    <row r="1276" s="119" customFormat="1" x14ac:dyDescent="0.15"/>
    <row r="1277" s="119" customFormat="1" x14ac:dyDescent="0.15"/>
    <row r="1278" s="119" customFormat="1" x14ac:dyDescent="0.15"/>
    <row r="1279" s="119" customFormat="1" x14ac:dyDescent="0.15"/>
    <row r="1280" s="119" customFormat="1" x14ac:dyDescent="0.15"/>
    <row r="1281" s="119" customFormat="1" x14ac:dyDescent="0.15"/>
    <row r="1282" s="119" customFormat="1" x14ac:dyDescent="0.15"/>
    <row r="1283" s="119" customFormat="1" x14ac:dyDescent="0.15"/>
    <row r="1284" s="119" customFormat="1" x14ac:dyDescent="0.15"/>
    <row r="1285" s="119" customFormat="1" x14ac:dyDescent="0.15"/>
    <row r="1286" s="119" customFormat="1" x14ac:dyDescent="0.15"/>
    <row r="1287" s="119" customFormat="1" x14ac:dyDescent="0.15"/>
    <row r="1288" s="119" customFormat="1" x14ac:dyDescent="0.15"/>
    <row r="1289" s="119" customFormat="1" x14ac:dyDescent="0.15"/>
    <row r="1290" s="119" customFormat="1" x14ac:dyDescent="0.15"/>
    <row r="1291" s="119" customFormat="1" x14ac:dyDescent="0.15"/>
    <row r="1292" s="119" customFormat="1" x14ac:dyDescent="0.15"/>
    <row r="1293" s="119" customFormat="1" x14ac:dyDescent="0.15"/>
    <row r="1294" s="119" customFormat="1" x14ac:dyDescent="0.15"/>
    <row r="1295" s="119" customFormat="1" x14ac:dyDescent="0.15"/>
    <row r="1296" s="119" customFormat="1" x14ac:dyDescent="0.15"/>
    <row r="1297" s="119" customFormat="1" x14ac:dyDescent="0.15"/>
    <row r="1298" s="119" customFormat="1" x14ac:dyDescent="0.15"/>
    <row r="1299" s="119" customFormat="1" x14ac:dyDescent="0.15"/>
    <row r="1300" s="119" customFormat="1" x14ac:dyDescent="0.15"/>
    <row r="1301" s="119" customFormat="1" x14ac:dyDescent="0.15"/>
    <row r="1302" s="119" customFormat="1" x14ac:dyDescent="0.15"/>
    <row r="1303" s="119" customFormat="1" x14ac:dyDescent="0.15"/>
    <row r="1304" s="119" customFormat="1" x14ac:dyDescent="0.15"/>
    <row r="1305" s="119" customFormat="1" x14ac:dyDescent="0.15"/>
    <row r="1306" s="119" customFormat="1" x14ac:dyDescent="0.15"/>
    <row r="1307" s="119" customFormat="1" x14ac:dyDescent="0.15"/>
    <row r="1308" s="119" customFormat="1" x14ac:dyDescent="0.15"/>
    <row r="1309" s="119" customFormat="1" x14ac:dyDescent="0.15"/>
    <row r="1310" s="119" customFormat="1" x14ac:dyDescent="0.15"/>
    <row r="1311" s="119" customFormat="1" x14ac:dyDescent="0.15"/>
    <row r="1312" s="119" customFormat="1" x14ac:dyDescent="0.15"/>
    <row r="1313" s="119" customFormat="1" x14ac:dyDescent="0.15"/>
    <row r="1314" s="119" customFormat="1" x14ac:dyDescent="0.15"/>
    <row r="1315" s="119" customFormat="1" x14ac:dyDescent="0.15"/>
    <row r="1316" s="119" customFormat="1" x14ac:dyDescent="0.15"/>
    <row r="1317" s="119" customFormat="1" x14ac:dyDescent="0.15"/>
    <row r="1318" s="119" customFormat="1" x14ac:dyDescent="0.15"/>
    <row r="1319" s="119" customFormat="1" x14ac:dyDescent="0.15"/>
    <row r="1320" s="119" customFormat="1" x14ac:dyDescent="0.15"/>
    <row r="1321" s="119" customFormat="1" x14ac:dyDescent="0.15"/>
    <row r="1322" s="119" customFormat="1" x14ac:dyDescent="0.15"/>
    <row r="1323" s="119" customFormat="1" x14ac:dyDescent="0.15"/>
    <row r="1324" s="119" customFormat="1" x14ac:dyDescent="0.15"/>
    <row r="1325" s="119" customFormat="1" x14ac:dyDescent="0.15"/>
    <row r="1326" s="119" customFormat="1" x14ac:dyDescent="0.15"/>
    <row r="1327" s="119" customFormat="1" x14ac:dyDescent="0.15"/>
    <row r="1328" s="119" customFormat="1" x14ac:dyDescent="0.15"/>
    <row r="1329" s="119" customFormat="1" x14ac:dyDescent="0.15"/>
    <row r="1330" s="119" customFormat="1" x14ac:dyDescent="0.15"/>
    <row r="1331" s="119" customFormat="1" x14ac:dyDescent="0.15"/>
    <row r="1332" s="119" customFormat="1" x14ac:dyDescent="0.15"/>
    <row r="1333" s="119" customFormat="1" x14ac:dyDescent="0.15"/>
    <row r="1334" s="119" customFormat="1" x14ac:dyDescent="0.15"/>
    <row r="1335" s="119" customFormat="1" x14ac:dyDescent="0.15"/>
    <row r="1336" s="119" customFormat="1" x14ac:dyDescent="0.15"/>
    <row r="1337" s="119" customFormat="1" x14ac:dyDescent="0.15"/>
    <row r="1338" s="119" customFormat="1" x14ac:dyDescent="0.15"/>
    <row r="1339" s="119" customFormat="1" x14ac:dyDescent="0.15"/>
    <row r="1340" s="119" customFormat="1" x14ac:dyDescent="0.15"/>
    <row r="1341" s="119" customFormat="1" x14ac:dyDescent="0.15"/>
    <row r="1342" s="119" customFormat="1" x14ac:dyDescent="0.15"/>
    <row r="1343" s="119" customFormat="1" x14ac:dyDescent="0.15"/>
    <row r="1344" s="119" customFormat="1" x14ac:dyDescent="0.15"/>
    <row r="1345" s="119" customFormat="1" x14ac:dyDescent="0.15"/>
    <row r="1346" s="119" customFormat="1" x14ac:dyDescent="0.15"/>
    <row r="1347" s="119" customFormat="1" x14ac:dyDescent="0.15"/>
    <row r="1348" s="119" customFormat="1" x14ac:dyDescent="0.15"/>
    <row r="1349" s="119" customFormat="1" x14ac:dyDescent="0.15"/>
    <row r="1350" s="119" customFormat="1" x14ac:dyDescent="0.15"/>
    <row r="1351" s="119" customFormat="1" x14ac:dyDescent="0.15"/>
    <row r="1352" s="119" customFormat="1" x14ac:dyDescent="0.15"/>
    <row r="1353" s="119" customFormat="1" x14ac:dyDescent="0.15"/>
    <row r="1354" s="119" customFormat="1" x14ac:dyDescent="0.15"/>
    <row r="1355" s="119" customFormat="1" x14ac:dyDescent="0.15"/>
    <row r="1356" s="119" customFormat="1" x14ac:dyDescent="0.15"/>
    <row r="1357" s="119" customFormat="1" x14ac:dyDescent="0.15"/>
    <row r="1358" s="119" customFormat="1" x14ac:dyDescent="0.15"/>
    <row r="1359" s="119" customFormat="1" x14ac:dyDescent="0.15"/>
    <row r="1360" s="119" customFormat="1" x14ac:dyDescent="0.15"/>
    <row r="1361" s="119" customFormat="1" x14ac:dyDescent="0.15"/>
    <row r="1362" s="119" customFormat="1" x14ac:dyDescent="0.15"/>
    <row r="1363" s="119" customFormat="1" x14ac:dyDescent="0.15"/>
    <row r="1364" s="119" customFormat="1" x14ac:dyDescent="0.15"/>
    <row r="1365" s="119" customFormat="1" x14ac:dyDescent="0.15"/>
    <row r="1366" s="119" customFormat="1" x14ac:dyDescent="0.15"/>
    <row r="1367" s="119" customFormat="1" x14ac:dyDescent="0.15"/>
    <row r="1368" s="119" customFormat="1" x14ac:dyDescent="0.15"/>
    <row r="1369" s="119" customFormat="1" x14ac:dyDescent="0.15"/>
    <row r="1370" s="119" customFormat="1" x14ac:dyDescent="0.15"/>
    <row r="1371" s="119" customFormat="1" x14ac:dyDescent="0.15"/>
    <row r="1372" s="119" customFormat="1" x14ac:dyDescent="0.15"/>
    <row r="1373" s="119" customFormat="1" x14ac:dyDescent="0.15"/>
    <row r="1374" s="119" customFormat="1" x14ac:dyDescent="0.15"/>
    <row r="1375" s="119" customFormat="1" x14ac:dyDescent="0.15"/>
    <row r="1376" s="119" customFormat="1" x14ac:dyDescent="0.15"/>
    <row r="1377" s="119" customFormat="1" x14ac:dyDescent="0.15"/>
    <row r="1378" s="119" customFormat="1" x14ac:dyDescent="0.15"/>
    <row r="1379" s="119" customFormat="1" x14ac:dyDescent="0.15"/>
    <row r="1380" s="119" customFormat="1" x14ac:dyDescent="0.15"/>
    <row r="1381" s="119" customFormat="1" x14ac:dyDescent="0.15"/>
    <row r="1382" s="119" customFormat="1" x14ac:dyDescent="0.15"/>
    <row r="1383" s="119" customFormat="1" x14ac:dyDescent="0.15"/>
    <row r="1384" s="119" customFormat="1" x14ac:dyDescent="0.15"/>
    <row r="1385" s="119" customFormat="1" x14ac:dyDescent="0.15"/>
    <row r="1386" s="119" customFormat="1" x14ac:dyDescent="0.15"/>
    <row r="1387" s="119" customFormat="1" x14ac:dyDescent="0.15"/>
    <row r="1388" s="119" customFormat="1" x14ac:dyDescent="0.15"/>
    <row r="1389" s="119" customFormat="1" x14ac:dyDescent="0.15"/>
    <row r="1390" s="119" customFormat="1" x14ac:dyDescent="0.15"/>
    <row r="1391" s="119" customFormat="1" x14ac:dyDescent="0.15"/>
    <row r="1392" s="119" customFormat="1" x14ac:dyDescent="0.15"/>
    <row r="1393" s="119" customFormat="1" x14ac:dyDescent="0.15"/>
    <row r="1394" s="119" customFormat="1" x14ac:dyDescent="0.15"/>
    <row r="1395" s="119" customFormat="1" x14ac:dyDescent="0.15"/>
    <row r="1396" s="119" customFormat="1" x14ac:dyDescent="0.15"/>
    <row r="1397" s="119" customFormat="1" x14ac:dyDescent="0.15"/>
    <row r="1398" s="119" customFormat="1" x14ac:dyDescent="0.15"/>
    <row r="1399" s="119" customFormat="1" x14ac:dyDescent="0.15"/>
    <row r="1400" s="119" customFormat="1" x14ac:dyDescent="0.15"/>
    <row r="1401" s="119" customFormat="1" x14ac:dyDescent="0.15"/>
    <row r="1402" s="119" customFormat="1" x14ac:dyDescent="0.15"/>
    <row r="1403" s="119" customFormat="1" x14ac:dyDescent="0.15"/>
    <row r="1404" s="119" customFormat="1" x14ac:dyDescent="0.15"/>
    <row r="1405" s="119" customFormat="1" x14ac:dyDescent="0.15"/>
    <row r="1406" s="119" customFormat="1" x14ac:dyDescent="0.15"/>
    <row r="1407" s="119" customFormat="1" x14ac:dyDescent="0.15"/>
    <row r="1408" s="119" customFormat="1" x14ac:dyDescent="0.15"/>
    <row r="1409" s="119" customFormat="1" x14ac:dyDescent="0.15"/>
    <row r="1410" s="119" customFormat="1" x14ac:dyDescent="0.15"/>
    <row r="1411" s="119" customFormat="1" x14ac:dyDescent="0.15"/>
    <row r="1412" s="119" customFormat="1" x14ac:dyDescent="0.15"/>
    <row r="1413" s="119" customFormat="1" x14ac:dyDescent="0.15"/>
    <row r="1414" s="119" customFormat="1" x14ac:dyDescent="0.15"/>
    <row r="1415" s="119" customFormat="1" x14ac:dyDescent="0.15"/>
    <row r="1416" s="119" customFormat="1" x14ac:dyDescent="0.15"/>
    <row r="1417" s="119" customFormat="1" x14ac:dyDescent="0.15"/>
    <row r="1418" s="119" customFormat="1" x14ac:dyDescent="0.15"/>
    <row r="1419" s="119" customFormat="1" x14ac:dyDescent="0.15"/>
    <row r="1420" s="119" customFormat="1" x14ac:dyDescent="0.15"/>
    <row r="1421" s="119" customFormat="1" x14ac:dyDescent="0.15"/>
    <row r="1422" s="119" customFormat="1" x14ac:dyDescent="0.15"/>
    <row r="1423" s="119" customFormat="1" x14ac:dyDescent="0.15"/>
    <row r="1424" s="119" customFormat="1" x14ac:dyDescent="0.15"/>
    <row r="1425" s="119" customFormat="1" x14ac:dyDescent="0.15"/>
    <row r="1426" s="119" customFormat="1" x14ac:dyDescent="0.15"/>
    <row r="1427" s="119" customFormat="1" x14ac:dyDescent="0.15"/>
    <row r="1428" s="119" customFormat="1" x14ac:dyDescent="0.15"/>
    <row r="1429" s="119" customFormat="1" x14ac:dyDescent="0.15"/>
    <row r="1430" s="119" customFormat="1" x14ac:dyDescent="0.15"/>
    <row r="1431" s="119" customFormat="1" x14ac:dyDescent="0.15"/>
    <row r="1432" s="119" customFormat="1" x14ac:dyDescent="0.15"/>
    <row r="1433" s="119" customFormat="1" x14ac:dyDescent="0.15"/>
    <row r="1434" s="119" customFormat="1" x14ac:dyDescent="0.15"/>
    <row r="1435" s="119" customFormat="1" x14ac:dyDescent="0.15"/>
    <row r="1436" s="119" customFormat="1" x14ac:dyDescent="0.15"/>
    <row r="1437" s="119" customFormat="1" x14ac:dyDescent="0.15"/>
    <row r="1438" s="119" customFormat="1" x14ac:dyDescent="0.15"/>
    <row r="1439" s="119" customFormat="1" x14ac:dyDescent="0.15"/>
    <row r="1440" s="119" customFormat="1" x14ac:dyDescent="0.15"/>
    <row r="1441" s="119" customFormat="1" x14ac:dyDescent="0.15"/>
    <row r="1442" s="119" customFormat="1" x14ac:dyDescent="0.15"/>
    <row r="1443" s="119" customFormat="1" x14ac:dyDescent="0.15"/>
    <row r="1444" s="119" customFormat="1" x14ac:dyDescent="0.15"/>
    <row r="1445" s="119" customFormat="1" x14ac:dyDescent="0.15"/>
    <row r="1446" s="119" customFormat="1" x14ac:dyDescent="0.15"/>
    <row r="1447" s="119" customFormat="1" x14ac:dyDescent="0.15"/>
    <row r="1448" s="119" customFormat="1" x14ac:dyDescent="0.15"/>
    <row r="1449" s="119" customFormat="1" x14ac:dyDescent="0.15"/>
    <row r="1450" s="119" customFormat="1" x14ac:dyDescent="0.15"/>
    <row r="1451" s="119" customFormat="1" x14ac:dyDescent="0.15"/>
    <row r="1452" s="119" customFormat="1" x14ac:dyDescent="0.15"/>
    <row r="1453" s="119" customFormat="1" x14ac:dyDescent="0.15"/>
    <row r="1454" s="119" customFormat="1" x14ac:dyDescent="0.15"/>
    <row r="1455" s="119" customFormat="1" x14ac:dyDescent="0.15"/>
    <row r="1456" s="119" customFormat="1" x14ac:dyDescent="0.15"/>
    <row r="1457" s="119" customFormat="1" x14ac:dyDescent="0.15"/>
    <row r="1458" s="119" customFormat="1" x14ac:dyDescent="0.15"/>
    <row r="1459" s="119" customFormat="1" x14ac:dyDescent="0.15"/>
    <row r="1460" s="119" customFormat="1" x14ac:dyDescent="0.15"/>
    <row r="1461" s="119" customFormat="1" x14ac:dyDescent="0.15"/>
    <row r="1462" s="119" customFormat="1" x14ac:dyDescent="0.15"/>
    <row r="1463" s="119" customFormat="1" x14ac:dyDescent="0.15"/>
    <row r="1464" s="119" customFormat="1" x14ac:dyDescent="0.15"/>
    <row r="1465" s="119" customFormat="1" x14ac:dyDescent="0.15"/>
    <row r="1466" s="119" customFormat="1" x14ac:dyDescent="0.15"/>
    <row r="1467" s="119" customFormat="1" x14ac:dyDescent="0.15"/>
    <row r="1468" s="119" customFormat="1" x14ac:dyDescent="0.15"/>
    <row r="1469" s="119" customFormat="1" x14ac:dyDescent="0.15"/>
    <row r="1470" s="119" customFormat="1" x14ac:dyDescent="0.15"/>
    <row r="1471" s="119" customFormat="1" x14ac:dyDescent="0.15"/>
    <row r="1472" s="119" customFormat="1" x14ac:dyDescent="0.15"/>
    <row r="1473" s="119" customFormat="1" x14ac:dyDescent="0.15"/>
    <row r="1474" s="119" customFormat="1" x14ac:dyDescent="0.15"/>
    <row r="1475" s="119" customFormat="1" x14ac:dyDescent="0.15"/>
    <row r="1476" s="119" customFormat="1" x14ac:dyDescent="0.15"/>
    <row r="1477" s="119" customFormat="1" x14ac:dyDescent="0.15"/>
    <row r="1478" s="119" customFormat="1" x14ac:dyDescent="0.15"/>
    <row r="1479" s="119" customFormat="1" x14ac:dyDescent="0.15"/>
    <row r="1480" s="119" customFormat="1" x14ac:dyDescent="0.15"/>
    <row r="1481" s="119" customFormat="1" x14ac:dyDescent="0.15"/>
    <row r="1482" s="119" customFormat="1" x14ac:dyDescent="0.15"/>
    <row r="1483" s="119" customFormat="1" x14ac:dyDescent="0.15"/>
    <row r="1484" s="119" customFormat="1" x14ac:dyDescent="0.15"/>
    <row r="1485" s="119" customFormat="1" x14ac:dyDescent="0.15"/>
    <row r="1486" s="119" customFormat="1" x14ac:dyDescent="0.15"/>
    <row r="1487" s="119" customFormat="1" x14ac:dyDescent="0.15"/>
    <row r="1488" s="119" customFormat="1" x14ac:dyDescent="0.15"/>
    <row r="1489" s="119" customFormat="1" x14ac:dyDescent="0.15"/>
    <row r="1490" s="119" customFormat="1" x14ac:dyDescent="0.15"/>
    <row r="1491" s="119" customFormat="1" x14ac:dyDescent="0.15"/>
    <row r="1492" s="119" customFormat="1" x14ac:dyDescent="0.15"/>
    <row r="1493" s="119" customFormat="1" x14ac:dyDescent="0.15"/>
    <row r="1494" s="119" customFormat="1" x14ac:dyDescent="0.15"/>
    <row r="1495" s="119" customFormat="1" x14ac:dyDescent="0.15"/>
    <row r="1496" s="119" customFormat="1" x14ac:dyDescent="0.15"/>
    <row r="1497" s="119" customFormat="1" x14ac:dyDescent="0.15"/>
    <row r="1498" s="119" customFormat="1" x14ac:dyDescent="0.15"/>
    <row r="1499" s="119" customFormat="1" x14ac:dyDescent="0.15"/>
    <row r="1500" s="119" customFormat="1" x14ac:dyDescent="0.15"/>
    <row r="1501" s="119" customFormat="1" x14ac:dyDescent="0.15"/>
    <row r="1502" s="119" customFormat="1" x14ac:dyDescent="0.15"/>
    <row r="1503" s="119" customFormat="1" x14ac:dyDescent="0.15"/>
    <row r="1504" s="119" customFormat="1" x14ac:dyDescent="0.15"/>
    <row r="1505" s="119" customFormat="1" x14ac:dyDescent="0.15"/>
    <row r="1506" s="119" customFormat="1" x14ac:dyDescent="0.15"/>
    <row r="1507" s="119" customFormat="1" x14ac:dyDescent="0.15"/>
    <row r="1508" s="119" customFormat="1" x14ac:dyDescent="0.15"/>
    <row r="1509" s="119" customFormat="1" x14ac:dyDescent="0.15"/>
    <row r="1510" s="119" customFormat="1" x14ac:dyDescent="0.15"/>
    <row r="1511" s="119" customFormat="1" x14ac:dyDescent="0.15"/>
    <row r="1512" s="119" customFormat="1" x14ac:dyDescent="0.15"/>
    <row r="1513" s="119" customFormat="1" x14ac:dyDescent="0.15"/>
    <row r="1514" s="119" customFormat="1" x14ac:dyDescent="0.15"/>
    <row r="1515" s="119" customFormat="1" x14ac:dyDescent="0.15"/>
    <row r="1516" s="119" customFormat="1" x14ac:dyDescent="0.15"/>
    <row r="1517" s="119" customFormat="1" x14ac:dyDescent="0.15"/>
    <row r="1518" s="119" customFormat="1" x14ac:dyDescent="0.15"/>
    <row r="1519" s="119" customFormat="1" x14ac:dyDescent="0.15"/>
    <row r="1520" s="119" customFormat="1" x14ac:dyDescent="0.15"/>
    <row r="1521" s="119" customFormat="1" x14ac:dyDescent="0.15"/>
    <row r="1522" s="119" customFormat="1" x14ac:dyDescent="0.15"/>
    <row r="1523" s="119" customFormat="1" x14ac:dyDescent="0.15"/>
    <row r="1524" s="119" customFormat="1" x14ac:dyDescent="0.15"/>
    <row r="1525" s="119" customFormat="1" x14ac:dyDescent="0.15"/>
    <row r="1526" s="119" customFormat="1" x14ac:dyDescent="0.15"/>
    <row r="1527" s="119" customFormat="1" x14ac:dyDescent="0.15"/>
    <row r="1528" s="119" customFormat="1" x14ac:dyDescent="0.15"/>
    <row r="1529" s="119" customFormat="1" x14ac:dyDescent="0.15"/>
    <row r="1530" s="119" customFormat="1" x14ac:dyDescent="0.15"/>
    <row r="1531" s="119" customFormat="1" x14ac:dyDescent="0.15"/>
    <row r="1532" s="119" customFormat="1" x14ac:dyDescent="0.15"/>
    <row r="1533" s="119" customFormat="1" x14ac:dyDescent="0.15"/>
    <row r="1534" s="119" customFormat="1" x14ac:dyDescent="0.15"/>
    <row r="1535" s="119" customFormat="1" x14ac:dyDescent="0.15"/>
    <row r="1536" s="119" customFormat="1" x14ac:dyDescent="0.15"/>
    <row r="1537" s="119" customFormat="1" x14ac:dyDescent="0.15"/>
    <row r="1538" s="119" customFormat="1" x14ac:dyDescent="0.15"/>
    <row r="1539" s="119" customFormat="1" x14ac:dyDescent="0.15"/>
    <row r="1540" s="119" customFormat="1" x14ac:dyDescent="0.15"/>
    <row r="1541" s="119" customFormat="1" x14ac:dyDescent="0.15"/>
    <row r="1542" s="119" customFormat="1" x14ac:dyDescent="0.15"/>
    <row r="1543" s="119" customFormat="1" x14ac:dyDescent="0.15"/>
    <row r="1544" s="119" customFormat="1" x14ac:dyDescent="0.15"/>
    <row r="1545" s="119" customFormat="1" x14ac:dyDescent="0.15"/>
    <row r="1546" s="119" customFormat="1" x14ac:dyDescent="0.15"/>
    <row r="1547" s="119" customFormat="1" x14ac:dyDescent="0.15"/>
    <row r="1548" s="119" customFormat="1" x14ac:dyDescent="0.15"/>
    <row r="1549" s="119" customFormat="1" x14ac:dyDescent="0.15"/>
    <row r="1550" s="119" customFormat="1" x14ac:dyDescent="0.15"/>
    <row r="1551" s="119" customFormat="1" x14ac:dyDescent="0.15"/>
    <row r="1552" s="119" customFormat="1" x14ac:dyDescent="0.15"/>
    <row r="1553" s="119" customFormat="1" x14ac:dyDescent="0.15"/>
    <row r="1554" s="119" customFormat="1" x14ac:dyDescent="0.15"/>
    <row r="1555" s="119" customFormat="1" x14ac:dyDescent="0.15"/>
    <row r="1556" s="119" customFormat="1" x14ac:dyDescent="0.15"/>
    <row r="1557" s="119" customFormat="1" x14ac:dyDescent="0.15"/>
    <row r="1558" s="119" customFormat="1" x14ac:dyDescent="0.15"/>
    <row r="1559" s="119" customFormat="1" x14ac:dyDescent="0.15"/>
    <row r="1560" s="119" customFormat="1" x14ac:dyDescent="0.15"/>
    <row r="1561" s="119" customFormat="1" x14ac:dyDescent="0.15"/>
    <row r="1562" s="119" customFormat="1" x14ac:dyDescent="0.15"/>
    <row r="1563" s="119" customFormat="1" x14ac:dyDescent="0.15"/>
    <row r="1564" s="119" customFormat="1" x14ac:dyDescent="0.15"/>
    <row r="1565" s="119" customFormat="1" x14ac:dyDescent="0.15"/>
    <row r="1566" s="119" customFormat="1" x14ac:dyDescent="0.15"/>
    <row r="1567" s="119" customFormat="1" x14ac:dyDescent="0.15"/>
    <row r="1568" s="119" customFormat="1" x14ac:dyDescent="0.15"/>
    <row r="1569" s="119" customFormat="1" x14ac:dyDescent="0.15"/>
    <row r="1570" s="119" customFormat="1" x14ac:dyDescent="0.15"/>
    <row r="1571" s="119" customFormat="1" x14ac:dyDescent="0.15"/>
    <row r="1572" s="119" customFormat="1" x14ac:dyDescent="0.15"/>
    <row r="1573" s="119" customFormat="1" x14ac:dyDescent="0.15"/>
    <row r="1574" s="119" customFormat="1" x14ac:dyDescent="0.15"/>
    <row r="1575" s="119" customFormat="1" x14ac:dyDescent="0.15"/>
    <row r="1576" s="119" customFormat="1" x14ac:dyDescent="0.15"/>
    <row r="1577" s="119" customFormat="1" x14ac:dyDescent="0.15"/>
    <row r="1578" s="119" customFormat="1" x14ac:dyDescent="0.15"/>
    <row r="1579" s="119" customFormat="1" x14ac:dyDescent="0.15"/>
    <row r="1580" s="119" customFormat="1" x14ac:dyDescent="0.15"/>
    <row r="1581" s="119" customFormat="1" x14ac:dyDescent="0.15"/>
    <row r="1582" s="119" customFormat="1" x14ac:dyDescent="0.15"/>
    <row r="1583" s="119" customFormat="1" x14ac:dyDescent="0.15"/>
    <row r="1584" s="119" customFormat="1" x14ac:dyDescent="0.15"/>
    <row r="1585" s="119" customFormat="1" x14ac:dyDescent="0.15"/>
    <row r="1586" s="119" customFormat="1" x14ac:dyDescent="0.15"/>
    <row r="1587" s="119" customFormat="1" x14ac:dyDescent="0.15"/>
    <row r="1588" s="119" customFormat="1" x14ac:dyDescent="0.15"/>
    <row r="1589" s="119" customFormat="1" x14ac:dyDescent="0.15"/>
    <row r="1590" s="119" customFormat="1" x14ac:dyDescent="0.15"/>
    <row r="1591" s="119" customFormat="1" x14ac:dyDescent="0.15"/>
    <row r="1592" s="119" customFormat="1" x14ac:dyDescent="0.15"/>
    <row r="1593" s="119" customFormat="1" x14ac:dyDescent="0.15"/>
    <row r="1594" s="119" customFormat="1" x14ac:dyDescent="0.15"/>
    <row r="1595" s="119" customFormat="1" x14ac:dyDescent="0.15"/>
    <row r="1596" s="119" customFormat="1" x14ac:dyDescent="0.15"/>
    <row r="1597" s="119" customFormat="1" x14ac:dyDescent="0.15"/>
    <row r="1598" s="119" customFormat="1" x14ac:dyDescent="0.15"/>
    <row r="1599" s="119" customFormat="1" x14ac:dyDescent="0.15"/>
    <row r="1600" s="119" customFormat="1" x14ac:dyDescent="0.15"/>
    <row r="1601" s="119" customFormat="1" x14ac:dyDescent="0.15"/>
    <row r="1602" s="119" customFormat="1" x14ac:dyDescent="0.15"/>
    <row r="1603" s="119" customFormat="1" x14ac:dyDescent="0.15"/>
    <row r="1604" s="119" customFormat="1" x14ac:dyDescent="0.15"/>
    <row r="1605" s="119" customFormat="1" x14ac:dyDescent="0.15"/>
    <row r="1606" s="119" customFormat="1" x14ac:dyDescent="0.15"/>
    <row r="1607" s="119" customFormat="1" x14ac:dyDescent="0.15"/>
    <row r="1608" s="119" customFormat="1" x14ac:dyDescent="0.15"/>
    <row r="1609" s="119" customFormat="1" x14ac:dyDescent="0.15"/>
    <row r="1610" s="119" customFormat="1" x14ac:dyDescent="0.15"/>
    <row r="1611" s="119" customFormat="1" x14ac:dyDescent="0.15"/>
    <row r="1612" s="119" customFormat="1" x14ac:dyDescent="0.15"/>
    <row r="1613" s="119" customFormat="1" x14ac:dyDescent="0.15"/>
    <row r="1614" s="119" customFormat="1" x14ac:dyDescent="0.15"/>
    <row r="1615" s="119" customFormat="1" x14ac:dyDescent="0.15"/>
    <row r="1616" s="119" customFormat="1" x14ac:dyDescent="0.15"/>
    <row r="1617" s="119" customFormat="1" x14ac:dyDescent="0.15"/>
    <row r="1618" s="119" customFormat="1" x14ac:dyDescent="0.15"/>
    <row r="1619" s="119" customFormat="1" x14ac:dyDescent="0.15"/>
    <row r="1620" s="119" customFormat="1" x14ac:dyDescent="0.15"/>
    <row r="1621" s="119" customFormat="1" x14ac:dyDescent="0.15"/>
    <row r="1622" s="119" customFormat="1" x14ac:dyDescent="0.15"/>
    <row r="1623" s="119" customFormat="1" x14ac:dyDescent="0.15"/>
    <row r="1624" s="119" customFormat="1" x14ac:dyDescent="0.15"/>
    <row r="1625" s="119" customFormat="1" x14ac:dyDescent="0.15"/>
    <row r="1626" s="119" customFormat="1" x14ac:dyDescent="0.15"/>
    <row r="1627" s="119" customFormat="1" x14ac:dyDescent="0.15"/>
    <row r="1628" s="119" customFormat="1" x14ac:dyDescent="0.15"/>
    <row r="1629" s="119" customFormat="1" x14ac:dyDescent="0.15"/>
    <row r="1630" s="119" customFormat="1" x14ac:dyDescent="0.15"/>
    <row r="1631" s="119" customFormat="1" x14ac:dyDescent="0.15"/>
    <row r="1632" s="119" customFormat="1" x14ac:dyDescent="0.15"/>
    <row r="1633" s="119" customFormat="1" x14ac:dyDescent="0.15"/>
    <row r="1634" s="119" customFormat="1" x14ac:dyDescent="0.15"/>
    <row r="1635" s="119" customFormat="1" x14ac:dyDescent="0.15"/>
    <row r="1636" s="119" customFormat="1" x14ac:dyDescent="0.15"/>
    <row r="1637" s="119" customFormat="1" x14ac:dyDescent="0.15"/>
    <row r="1638" s="119" customFormat="1" x14ac:dyDescent="0.15"/>
    <row r="1639" s="119" customFormat="1" x14ac:dyDescent="0.15"/>
    <row r="1640" s="119" customFormat="1" x14ac:dyDescent="0.15"/>
    <row r="1641" s="119" customFormat="1" x14ac:dyDescent="0.15"/>
    <row r="1642" s="119" customFormat="1" x14ac:dyDescent="0.15"/>
    <row r="1643" s="119" customFormat="1" x14ac:dyDescent="0.15"/>
    <row r="1644" s="119" customFormat="1" x14ac:dyDescent="0.15"/>
    <row r="1645" s="119" customFormat="1" x14ac:dyDescent="0.15"/>
    <row r="1646" s="119" customFormat="1" x14ac:dyDescent="0.15"/>
    <row r="1647" s="119" customFormat="1" x14ac:dyDescent="0.15"/>
    <row r="1648" s="119" customFormat="1" x14ac:dyDescent="0.15"/>
    <row r="1649" s="119" customFormat="1" x14ac:dyDescent="0.15"/>
    <row r="1650" s="119" customFormat="1" x14ac:dyDescent="0.15"/>
    <row r="1651" s="119" customFormat="1" x14ac:dyDescent="0.15"/>
    <row r="1652" s="119" customFormat="1" x14ac:dyDescent="0.15"/>
    <row r="1653" s="119" customFormat="1" x14ac:dyDescent="0.15"/>
    <row r="1654" s="119" customFormat="1" x14ac:dyDescent="0.15"/>
    <row r="1655" s="119" customFormat="1" x14ac:dyDescent="0.15"/>
    <row r="1656" s="119" customFormat="1" x14ac:dyDescent="0.15"/>
    <row r="1657" s="119" customFormat="1" x14ac:dyDescent="0.15"/>
    <row r="1658" s="119" customFormat="1" x14ac:dyDescent="0.15"/>
    <row r="1659" s="119" customFormat="1" x14ac:dyDescent="0.15"/>
    <row r="1660" s="119" customFormat="1" x14ac:dyDescent="0.15"/>
    <row r="1661" s="119" customFormat="1" x14ac:dyDescent="0.15"/>
    <row r="1662" s="119" customFormat="1" x14ac:dyDescent="0.15"/>
    <row r="1663" s="119" customFormat="1" x14ac:dyDescent="0.15"/>
    <row r="1664" s="119" customFormat="1" x14ac:dyDescent="0.15"/>
    <row r="1665" s="119" customFormat="1" x14ac:dyDescent="0.15"/>
    <row r="1666" s="119" customFormat="1" x14ac:dyDescent="0.15"/>
    <row r="1667" s="119" customFormat="1" x14ac:dyDescent="0.15"/>
    <row r="1668" s="119" customFormat="1" x14ac:dyDescent="0.15"/>
    <row r="1669" s="119" customFormat="1" x14ac:dyDescent="0.15"/>
    <row r="1670" s="119" customFormat="1" x14ac:dyDescent="0.15"/>
    <row r="1671" s="119" customFormat="1" x14ac:dyDescent="0.15"/>
    <row r="1672" s="119" customFormat="1" x14ac:dyDescent="0.15"/>
    <row r="1673" s="119" customFormat="1" x14ac:dyDescent="0.15"/>
    <row r="1674" s="119" customFormat="1" x14ac:dyDescent="0.15"/>
    <row r="1675" s="119" customFormat="1" x14ac:dyDescent="0.15"/>
    <row r="1676" s="119" customFormat="1" x14ac:dyDescent="0.15"/>
    <row r="1677" s="119" customFormat="1" x14ac:dyDescent="0.15"/>
    <row r="1678" s="119" customFormat="1" x14ac:dyDescent="0.15"/>
    <row r="1679" s="119" customFormat="1" x14ac:dyDescent="0.15"/>
    <row r="1680" s="119" customFormat="1" x14ac:dyDescent="0.15"/>
    <row r="1681" s="119" customFormat="1" x14ac:dyDescent="0.15"/>
    <row r="1682" s="119" customFormat="1" x14ac:dyDescent="0.15"/>
    <row r="1683" s="119" customFormat="1" x14ac:dyDescent="0.15"/>
    <row r="1684" s="119" customFormat="1" x14ac:dyDescent="0.15"/>
    <row r="1685" s="119" customFormat="1" x14ac:dyDescent="0.15"/>
    <row r="1686" s="119" customFormat="1" x14ac:dyDescent="0.15"/>
    <row r="1687" s="119" customFormat="1" x14ac:dyDescent="0.15"/>
    <row r="1688" s="119" customFormat="1" x14ac:dyDescent="0.15"/>
    <row r="1689" s="119" customFormat="1" x14ac:dyDescent="0.15"/>
    <row r="1690" s="119" customFormat="1" x14ac:dyDescent="0.15"/>
    <row r="1691" s="119" customFormat="1" x14ac:dyDescent="0.15"/>
    <row r="1692" s="119" customFormat="1" x14ac:dyDescent="0.15"/>
    <row r="1693" s="119" customFormat="1" x14ac:dyDescent="0.15"/>
    <row r="1694" s="119" customFormat="1" x14ac:dyDescent="0.15"/>
    <row r="1695" s="119" customFormat="1" x14ac:dyDescent="0.15"/>
    <row r="1696" s="119" customFormat="1" x14ac:dyDescent="0.15"/>
    <row r="1697" s="119" customFormat="1" x14ac:dyDescent="0.15"/>
    <row r="1698" s="119" customFormat="1" x14ac:dyDescent="0.15"/>
    <row r="1699" s="119" customFormat="1" x14ac:dyDescent="0.15"/>
    <row r="1700" s="119" customFormat="1" x14ac:dyDescent="0.15"/>
    <row r="1701" s="119" customFormat="1" x14ac:dyDescent="0.15"/>
    <row r="1702" s="119" customFormat="1" x14ac:dyDescent="0.15"/>
    <row r="1703" s="119" customFormat="1" x14ac:dyDescent="0.15"/>
    <row r="1704" s="119" customFormat="1" x14ac:dyDescent="0.15"/>
    <row r="1705" s="119" customFormat="1" x14ac:dyDescent="0.15"/>
    <row r="1706" s="119" customFormat="1" x14ac:dyDescent="0.15"/>
    <row r="1707" s="119" customFormat="1" x14ac:dyDescent="0.15"/>
    <row r="1708" s="119" customFormat="1" x14ac:dyDescent="0.15"/>
    <row r="1709" s="119" customFormat="1" x14ac:dyDescent="0.15"/>
    <row r="1710" s="119" customFormat="1" x14ac:dyDescent="0.15"/>
    <row r="1711" s="119" customFormat="1" x14ac:dyDescent="0.15"/>
    <row r="1712" s="119" customFormat="1" x14ac:dyDescent="0.15"/>
    <row r="1713" s="119" customFormat="1" x14ac:dyDescent="0.15"/>
    <row r="1714" s="119" customFormat="1" x14ac:dyDescent="0.15"/>
    <row r="1715" s="119" customFormat="1" x14ac:dyDescent="0.15"/>
    <row r="1716" s="119" customFormat="1" x14ac:dyDescent="0.15"/>
    <row r="1717" s="119" customFormat="1" x14ac:dyDescent="0.15"/>
    <row r="1718" s="119" customFormat="1" x14ac:dyDescent="0.15"/>
    <row r="1719" s="119" customFormat="1" x14ac:dyDescent="0.15"/>
    <row r="1720" s="119" customFormat="1" x14ac:dyDescent="0.15"/>
    <row r="1721" s="119" customFormat="1" x14ac:dyDescent="0.15"/>
    <row r="1722" s="119" customFormat="1" x14ac:dyDescent="0.15"/>
    <row r="1723" s="119" customFormat="1" x14ac:dyDescent="0.15"/>
    <row r="1724" s="119" customFormat="1" x14ac:dyDescent="0.15"/>
    <row r="1725" s="119" customFormat="1" x14ac:dyDescent="0.15"/>
    <row r="1726" s="119" customFormat="1" x14ac:dyDescent="0.15"/>
    <row r="1727" s="119" customFormat="1" x14ac:dyDescent="0.15"/>
    <row r="1728" s="119" customFormat="1" x14ac:dyDescent="0.15"/>
    <row r="1729" s="119" customFormat="1" x14ac:dyDescent="0.15"/>
    <row r="1730" s="119" customFormat="1" x14ac:dyDescent="0.15"/>
    <row r="1731" s="119" customFormat="1" x14ac:dyDescent="0.15"/>
    <row r="1732" s="119" customFormat="1" x14ac:dyDescent="0.15"/>
    <row r="1733" s="119" customFormat="1" x14ac:dyDescent="0.15"/>
    <row r="1734" s="119" customFormat="1" x14ac:dyDescent="0.15"/>
    <row r="1735" s="119" customFormat="1" x14ac:dyDescent="0.15"/>
    <row r="1736" s="119" customFormat="1" x14ac:dyDescent="0.15"/>
    <row r="1737" s="119" customFormat="1" x14ac:dyDescent="0.15"/>
    <row r="1738" s="119" customFormat="1" x14ac:dyDescent="0.15"/>
    <row r="1739" s="119" customFormat="1" x14ac:dyDescent="0.15"/>
    <row r="1740" s="119" customFormat="1" x14ac:dyDescent="0.15"/>
    <row r="1741" s="119" customFormat="1" x14ac:dyDescent="0.15"/>
    <row r="1742" s="119" customFormat="1" x14ac:dyDescent="0.15"/>
    <row r="1743" s="119" customFormat="1" x14ac:dyDescent="0.15"/>
    <row r="1744" s="119" customFormat="1" x14ac:dyDescent="0.15"/>
    <row r="1745" s="119" customFormat="1" x14ac:dyDescent="0.15"/>
    <row r="1746" s="119" customFormat="1" x14ac:dyDescent="0.15"/>
    <row r="1747" s="119" customFormat="1" x14ac:dyDescent="0.15"/>
    <row r="1748" s="119" customFormat="1" x14ac:dyDescent="0.15"/>
    <row r="1749" s="119" customFormat="1" x14ac:dyDescent="0.15"/>
    <row r="1750" s="119" customFormat="1" x14ac:dyDescent="0.15"/>
    <row r="1751" s="119" customFormat="1" x14ac:dyDescent="0.15"/>
    <row r="1752" s="119" customFormat="1" x14ac:dyDescent="0.15"/>
    <row r="1753" s="119" customFormat="1" x14ac:dyDescent="0.15"/>
    <row r="1754" s="119" customFormat="1" x14ac:dyDescent="0.15"/>
    <row r="1755" s="119" customFormat="1" x14ac:dyDescent="0.15"/>
    <row r="1756" s="119" customFormat="1" x14ac:dyDescent="0.15"/>
    <row r="1757" s="119" customFormat="1" x14ac:dyDescent="0.15"/>
    <row r="1758" s="119" customFormat="1" x14ac:dyDescent="0.15"/>
    <row r="1759" s="119" customFormat="1" x14ac:dyDescent="0.15"/>
    <row r="1760" s="119" customFormat="1" x14ac:dyDescent="0.15"/>
    <row r="1761" s="119" customFormat="1" x14ac:dyDescent="0.15"/>
    <row r="1762" s="119" customFormat="1" x14ac:dyDescent="0.15"/>
    <row r="1763" s="119" customFormat="1" x14ac:dyDescent="0.15"/>
    <row r="1764" s="119" customFormat="1" x14ac:dyDescent="0.15"/>
    <row r="1765" s="119" customFormat="1" x14ac:dyDescent="0.15"/>
    <row r="1766" s="119" customFormat="1" x14ac:dyDescent="0.15"/>
    <row r="1767" s="119" customFormat="1" x14ac:dyDescent="0.15"/>
    <row r="1768" s="119" customFormat="1" x14ac:dyDescent="0.15"/>
    <row r="1769" s="119" customFormat="1" x14ac:dyDescent="0.15"/>
    <row r="1770" s="119" customFormat="1" x14ac:dyDescent="0.15"/>
    <row r="1771" s="119" customFormat="1" x14ac:dyDescent="0.15"/>
    <row r="1772" s="119" customFormat="1" x14ac:dyDescent="0.15"/>
    <row r="1773" s="119" customFormat="1" x14ac:dyDescent="0.15"/>
    <row r="1774" s="119" customFormat="1" x14ac:dyDescent="0.15"/>
    <row r="1775" s="119" customFormat="1" x14ac:dyDescent="0.15"/>
    <row r="1776" s="119" customFormat="1" x14ac:dyDescent="0.15"/>
    <row r="1777" s="119" customFormat="1" x14ac:dyDescent="0.15"/>
    <row r="1778" s="119" customFormat="1" x14ac:dyDescent="0.15"/>
    <row r="1779" s="119" customFormat="1" x14ac:dyDescent="0.15"/>
    <row r="1780" s="119" customFormat="1" x14ac:dyDescent="0.15"/>
    <row r="1781" s="119" customFormat="1" x14ac:dyDescent="0.15"/>
    <row r="1782" s="119" customFormat="1" x14ac:dyDescent="0.15"/>
    <row r="1783" s="119" customFormat="1" x14ac:dyDescent="0.15"/>
    <row r="1784" s="119" customFormat="1" x14ac:dyDescent="0.15"/>
    <row r="1785" s="119" customFormat="1" x14ac:dyDescent="0.15"/>
    <row r="1786" s="119" customFormat="1" x14ac:dyDescent="0.15"/>
    <row r="1787" s="119" customFormat="1" x14ac:dyDescent="0.15"/>
    <row r="1788" s="119" customFormat="1" x14ac:dyDescent="0.15"/>
    <row r="1789" s="119" customFormat="1" x14ac:dyDescent="0.15"/>
    <row r="1790" s="119" customFormat="1" x14ac:dyDescent="0.15"/>
    <row r="1791" s="119" customFormat="1" x14ac:dyDescent="0.15"/>
    <row r="1792" s="119" customFormat="1" x14ac:dyDescent="0.15"/>
    <row r="1793" s="119" customFormat="1" x14ac:dyDescent="0.15"/>
    <row r="1794" s="119" customFormat="1" x14ac:dyDescent="0.15"/>
    <row r="1795" s="119" customFormat="1" x14ac:dyDescent="0.15"/>
    <row r="1796" s="119" customFormat="1" x14ac:dyDescent="0.15"/>
    <row r="1797" s="119" customFormat="1" x14ac:dyDescent="0.15"/>
    <row r="1798" s="119" customFormat="1" x14ac:dyDescent="0.15"/>
    <row r="1799" s="119" customFormat="1" x14ac:dyDescent="0.15"/>
    <row r="1800" s="119" customFormat="1" x14ac:dyDescent="0.15"/>
    <row r="1801" s="119" customFormat="1" x14ac:dyDescent="0.15"/>
    <row r="1802" s="119" customFormat="1" x14ac:dyDescent="0.15"/>
    <row r="1803" s="119" customFormat="1" x14ac:dyDescent="0.15"/>
    <row r="1804" s="119" customFormat="1" x14ac:dyDescent="0.15"/>
    <row r="1805" s="119" customFormat="1" x14ac:dyDescent="0.15"/>
    <row r="1806" s="119" customFormat="1" x14ac:dyDescent="0.15"/>
    <row r="1807" s="119" customFormat="1" x14ac:dyDescent="0.15"/>
    <row r="1808" s="119" customFormat="1" x14ac:dyDescent="0.15"/>
    <row r="1809" s="119" customFormat="1" x14ac:dyDescent="0.15"/>
    <row r="1810" s="119" customFormat="1" x14ac:dyDescent="0.15"/>
    <row r="1811" s="119" customFormat="1" x14ac:dyDescent="0.15"/>
    <row r="1812" s="119" customFormat="1" x14ac:dyDescent="0.15"/>
    <row r="1813" s="119" customFormat="1" x14ac:dyDescent="0.15"/>
    <row r="1814" s="119" customFormat="1" x14ac:dyDescent="0.15"/>
    <row r="1815" s="119" customFormat="1" x14ac:dyDescent="0.15"/>
    <row r="1816" s="119" customFormat="1" x14ac:dyDescent="0.15"/>
    <row r="1817" s="119" customFormat="1" x14ac:dyDescent="0.15"/>
    <row r="1818" s="119" customFormat="1" x14ac:dyDescent="0.15"/>
    <row r="1819" s="119" customFormat="1" x14ac:dyDescent="0.15"/>
    <row r="1820" s="119" customFormat="1" x14ac:dyDescent="0.15"/>
    <row r="1821" s="119" customFormat="1" x14ac:dyDescent="0.15"/>
    <row r="1822" s="119" customFormat="1" x14ac:dyDescent="0.15"/>
    <row r="1823" s="119" customFormat="1" x14ac:dyDescent="0.15"/>
    <row r="1824" s="119" customFormat="1" x14ac:dyDescent="0.15"/>
    <row r="1825" s="119" customFormat="1" x14ac:dyDescent="0.15"/>
    <row r="1826" s="119" customFormat="1" x14ac:dyDescent="0.15"/>
    <row r="1827" s="119" customFormat="1" x14ac:dyDescent="0.15"/>
    <row r="1828" s="119" customFormat="1" x14ac:dyDescent="0.15"/>
    <row r="1829" s="119" customFormat="1" x14ac:dyDescent="0.15"/>
    <row r="1830" s="119" customFormat="1" x14ac:dyDescent="0.15"/>
    <row r="1831" s="119" customFormat="1" x14ac:dyDescent="0.15"/>
    <row r="1832" s="119" customFormat="1" x14ac:dyDescent="0.15"/>
    <row r="1833" s="119" customFormat="1" x14ac:dyDescent="0.15"/>
    <row r="1834" s="119" customFormat="1" x14ac:dyDescent="0.15"/>
    <row r="1835" s="119" customFormat="1" x14ac:dyDescent="0.15"/>
    <row r="1836" s="119" customFormat="1" x14ac:dyDescent="0.15"/>
    <row r="1837" s="119" customFormat="1" x14ac:dyDescent="0.15"/>
    <row r="1838" s="119" customFormat="1" x14ac:dyDescent="0.15"/>
    <row r="1839" s="119" customFormat="1" x14ac:dyDescent="0.15"/>
    <row r="1840" s="119" customFormat="1" x14ac:dyDescent="0.15"/>
    <row r="1841" s="119" customFormat="1" x14ac:dyDescent="0.15"/>
    <row r="1842" s="119" customFormat="1" x14ac:dyDescent="0.15"/>
    <row r="1843" s="119" customFormat="1" x14ac:dyDescent="0.15"/>
    <row r="1844" s="119" customFormat="1" x14ac:dyDescent="0.15"/>
    <row r="1845" s="119" customFormat="1" x14ac:dyDescent="0.15"/>
    <row r="1846" s="119" customFormat="1" x14ac:dyDescent="0.15"/>
    <row r="1847" s="119" customFormat="1" x14ac:dyDescent="0.15"/>
    <row r="1848" s="119" customFormat="1" x14ac:dyDescent="0.15"/>
    <row r="1849" s="119" customFormat="1" x14ac:dyDescent="0.15"/>
    <row r="1850" s="119" customFormat="1" x14ac:dyDescent="0.15"/>
    <row r="1851" s="119" customFormat="1" x14ac:dyDescent="0.15"/>
    <row r="1852" s="119" customFormat="1" x14ac:dyDescent="0.15"/>
    <row r="1853" s="119" customFormat="1" x14ac:dyDescent="0.15"/>
    <row r="1854" s="119" customFormat="1" x14ac:dyDescent="0.15"/>
    <row r="1855" s="119" customFormat="1" x14ac:dyDescent="0.15"/>
    <row r="1856" s="119" customFormat="1" x14ac:dyDescent="0.15"/>
    <row r="1857" s="119" customFormat="1" x14ac:dyDescent="0.15"/>
    <row r="1858" s="119" customFormat="1" x14ac:dyDescent="0.15"/>
    <row r="1859" s="119" customFormat="1" x14ac:dyDescent="0.15"/>
    <row r="1860" s="119" customFormat="1" x14ac:dyDescent="0.15"/>
    <row r="1861" s="119" customFormat="1" x14ac:dyDescent="0.15"/>
    <row r="1862" s="119" customFormat="1" x14ac:dyDescent="0.15"/>
    <row r="1863" s="119" customFormat="1" x14ac:dyDescent="0.15"/>
    <row r="1864" s="119" customFormat="1" x14ac:dyDescent="0.15"/>
    <row r="1865" s="119" customFormat="1" x14ac:dyDescent="0.15"/>
    <row r="1866" s="119" customFormat="1" x14ac:dyDescent="0.15"/>
    <row r="1867" s="119" customFormat="1" x14ac:dyDescent="0.15"/>
    <row r="1868" s="119" customFormat="1" x14ac:dyDescent="0.15"/>
    <row r="1869" s="119" customFormat="1" x14ac:dyDescent="0.15"/>
    <row r="1870" s="119" customFormat="1" x14ac:dyDescent="0.15"/>
    <row r="1871" s="119" customFormat="1" x14ac:dyDescent="0.15"/>
    <row r="1872" s="119" customFormat="1" x14ac:dyDescent="0.15"/>
    <row r="1873" s="119" customFormat="1" x14ac:dyDescent="0.15"/>
    <row r="1874" s="119" customFormat="1" x14ac:dyDescent="0.15"/>
    <row r="1875" s="119" customFormat="1" x14ac:dyDescent="0.15"/>
    <row r="1876" s="119" customFormat="1" x14ac:dyDescent="0.15"/>
    <row r="1877" s="119" customFormat="1" x14ac:dyDescent="0.15"/>
    <row r="1878" s="119" customFormat="1" x14ac:dyDescent="0.15"/>
    <row r="1879" s="119" customFormat="1" x14ac:dyDescent="0.15"/>
    <row r="1880" s="119" customFormat="1" x14ac:dyDescent="0.15"/>
    <row r="1881" s="119" customFormat="1" x14ac:dyDescent="0.15"/>
    <row r="1882" s="119" customFormat="1" x14ac:dyDescent="0.15"/>
    <row r="1883" s="119" customFormat="1" x14ac:dyDescent="0.15"/>
    <row r="1884" s="119" customFormat="1" x14ac:dyDescent="0.15"/>
    <row r="1885" s="119" customFormat="1" x14ac:dyDescent="0.15"/>
    <row r="1886" s="119" customFormat="1" x14ac:dyDescent="0.15"/>
    <row r="1887" s="119" customFormat="1" x14ac:dyDescent="0.15"/>
    <row r="1888" s="119" customFormat="1" x14ac:dyDescent="0.15"/>
    <row r="1889" s="119" customFormat="1" x14ac:dyDescent="0.15"/>
    <row r="1890" s="119" customFormat="1" x14ac:dyDescent="0.15"/>
    <row r="1891" s="119" customFormat="1" x14ac:dyDescent="0.15"/>
    <row r="1892" s="119" customFormat="1" x14ac:dyDescent="0.15"/>
    <row r="1893" s="119" customFormat="1" x14ac:dyDescent="0.15"/>
    <row r="1894" s="119" customFormat="1" x14ac:dyDescent="0.15"/>
    <row r="1895" s="119" customFormat="1" x14ac:dyDescent="0.15"/>
    <row r="1896" s="119" customFormat="1" x14ac:dyDescent="0.15"/>
    <row r="1897" s="119" customFormat="1" x14ac:dyDescent="0.15"/>
    <row r="1898" s="119" customFormat="1" x14ac:dyDescent="0.15"/>
    <row r="1899" s="119" customFormat="1" x14ac:dyDescent="0.15"/>
    <row r="1900" s="119" customFormat="1" x14ac:dyDescent="0.15"/>
    <row r="1901" s="119" customFormat="1" x14ac:dyDescent="0.15"/>
    <row r="1902" s="119" customFormat="1" x14ac:dyDescent="0.15"/>
    <row r="1903" s="119" customFormat="1" x14ac:dyDescent="0.15"/>
    <row r="1904" s="119" customFormat="1" x14ac:dyDescent="0.15"/>
    <row r="1905" s="119" customFormat="1" x14ac:dyDescent="0.15"/>
    <row r="1906" s="119" customFormat="1" x14ac:dyDescent="0.15"/>
    <row r="1907" s="119" customFormat="1" x14ac:dyDescent="0.15"/>
    <row r="1908" s="119" customFormat="1" x14ac:dyDescent="0.15"/>
    <row r="1909" s="119" customFormat="1" x14ac:dyDescent="0.15"/>
    <row r="1910" s="119" customFormat="1" x14ac:dyDescent="0.15"/>
    <row r="1911" s="119" customFormat="1" x14ac:dyDescent="0.15"/>
    <row r="1912" s="119" customFormat="1" x14ac:dyDescent="0.15"/>
    <row r="1913" s="119" customFormat="1" x14ac:dyDescent="0.15"/>
    <row r="1914" s="119" customFormat="1" x14ac:dyDescent="0.15"/>
    <row r="1915" s="119" customFormat="1" x14ac:dyDescent="0.15"/>
    <row r="1916" s="119" customFormat="1" x14ac:dyDescent="0.15"/>
    <row r="1917" s="119" customFormat="1" x14ac:dyDescent="0.15"/>
    <row r="1918" s="119" customFormat="1" x14ac:dyDescent="0.15"/>
    <row r="1919" s="119" customFormat="1" x14ac:dyDescent="0.15"/>
    <row r="1920" s="119" customFormat="1" x14ac:dyDescent="0.15"/>
    <row r="1921" s="119" customFormat="1" x14ac:dyDescent="0.15"/>
    <row r="1922" s="119" customFormat="1" x14ac:dyDescent="0.15"/>
    <row r="1923" s="119" customFormat="1" x14ac:dyDescent="0.15"/>
    <row r="1924" s="119" customFormat="1" x14ac:dyDescent="0.15"/>
    <row r="1925" s="119" customFormat="1" x14ac:dyDescent="0.15"/>
    <row r="1926" s="119" customFormat="1" x14ac:dyDescent="0.15"/>
    <row r="1927" s="119" customFormat="1" x14ac:dyDescent="0.15"/>
    <row r="1928" s="119" customFormat="1" x14ac:dyDescent="0.15"/>
    <row r="1929" s="119" customFormat="1" x14ac:dyDescent="0.15"/>
    <row r="1930" s="119" customFormat="1" x14ac:dyDescent="0.15"/>
    <row r="1931" s="119" customFormat="1" x14ac:dyDescent="0.15"/>
    <row r="1932" s="119" customFormat="1" x14ac:dyDescent="0.15"/>
    <row r="1933" s="119" customFormat="1" x14ac:dyDescent="0.15"/>
    <row r="1934" s="119" customFormat="1" x14ac:dyDescent="0.15"/>
    <row r="1935" s="119" customFormat="1" x14ac:dyDescent="0.15"/>
    <row r="1936" s="119" customFormat="1" x14ac:dyDescent="0.15"/>
    <row r="1937" s="119" customFormat="1" x14ac:dyDescent="0.15"/>
    <row r="1938" s="119" customFormat="1" x14ac:dyDescent="0.15"/>
    <row r="1939" s="119" customFormat="1" x14ac:dyDescent="0.15"/>
    <row r="1940" s="119" customFormat="1" x14ac:dyDescent="0.15"/>
    <row r="1941" s="119" customFormat="1" x14ac:dyDescent="0.15"/>
    <row r="1942" s="119" customFormat="1" x14ac:dyDescent="0.15"/>
    <row r="1943" s="119" customFormat="1" x14ac:dyDescent="0.15"/>
    <row r="1944" s="119" customFormat="1" x14ac:dyDescent="0.15"/>
    <row r="1945" s="119" customFormat="1" x14ac:dyDescent="0.15"/>
    <row r="1946" s="119" customFormat="1" x14ac:dyDescent="0.15"/>
    <row r="1947" s="119" customFormat="1" x14ac:dyDescent="0.15"/>
    <row r="1948" s="119" customFormat="1" x14ac:dyDescent="0.15"/>
    <row r="1949" s="119" customFormat="1" x14ac:dyDescent="0.15"/>
    <row r="1950" s="119" customFormat="1" x14ac:dyDescent="0.15"/>
    <row r="1951" s="119" customFormat="1" x14ac:dyDescent="0.15"/>
    <row r="1952" s="119" customFormat="1" x14ac:dyDescent="0.15"/>
    <row r="1953" s="119" customFormat="1" x14ac:dyDescent="0.15"/>
    <row r="1954" s="119" customFormat="1" x14ac:dyDescent="0.15"/>
    <row r="1955" s="119" customFormat="1" x14ac:dyDescent="0.15"/>
    <row r="1956" s="119" customFormat="1" x14ac:dyDescent="0.15"/>
    <row r="1957" s="119" customFormat="1" x14ac:dyDescent="0.15"/>
    <row r="1958" s="119" customFormat="1" x14ac:dyDescent="0.15"/>
    <row r="1959" s="119" customFormat="1" x14ac:dyDescent="0.15"/>
    <row r="1960" s="119" customFormat="1" x14ac:dyDescent="0.15"/>
    <row r="1961" s="119" customFormat="1" x14ac:dyDescent="0.15"/>
    <row r="1962" s="119" customFormat="1" x14ac:dyDescent="0.15"/>
    <row r="1963" s="119" customFormat="1" x14ac:dyDescent="0.15"/>
    <row r="1964" s="119" customFormat="1" x14ac:dyDescent="0.15"/>
    <row r="1965" s="119" customFormat="1" x14ac:dyDescent="0.15"/>
    <row r="1966" s="119" customFormat="1" x14ac:dyDescent="0.15"/>
    <row r="1967" s="119" customFormat="1" x14ac:dyDescent="0.15"/>
    <row r="1968" s="119" customFormat="1" x14ac:dyDescent="0.15"/>
    <row r="1969" s="119" customFormat="1" x14ac:dyDescent="0.15"/>
    <row r="1970" s="119" customFormat="1" x14ac:dyDescent="0.15"/>
    <row r="1971" s="119" customFormat="1" x14ac:dyDescent="0.15"/>
    <row r="1972" s="119" customFormat="1" x14ac:dyDescent="0.15"/>
    <row r="1973" s="119" customFormat="1" x14ac:dyDescent="0.15"/>
    <row r="1974" s="119" customFormat="1" x14ac:dyDescent="0.15"/>
    <row r="1975" s="119" customFormat="1" x14ac:dyDescent="0.15"/>
    <row r="1976" s="119" customFormat="1" x14ac:dyDescent="0.15"/>
    <row r="1977" s="119" customFormat="1" x14ac:dyDescent="0.15"/>
    <row r="1978" s="119" customFormat="1" x14ac:dyDescent="0.15"/>
    <row r="1979" s="119" customFormat="1" x14ac:dyDescent="0.15"/>
    <row r="1980" s="119" customFormat="1" x14ac:dyDescent="0.15"/>
    <row r="1981" s="119" customFormat="1" x14ac:dyDescent="0.15"/>
    <row r="1982" s="119" customFormat="1" x14ac:dyDescent="0.15"/>
    <row r="1983" s="119" customFormat="1" x14ac:dyDescent="0.15"/>
    <row r="1984" s="119" customFormat="1" x14ac:dyDescent="0.15"/>
    <row r="1985" s="119" customFormat="1" x14ac:dyDescent="0.15"/>
    <row r="1986" s="119" customFormat="1" x14ac:dyDescent="0.15"/>
    <row r="1987" s="119" customFormat="1" x14ac:dyDescent="0.15"/>
    <row r="1988" s="119" customFormat="1" x14ac:dyDescent="0.15"/>
    <row r="1989" s="119" customFormat="1" x14ac:dyDescent="0.15"/>
    <row r="1990" s="119" customFormat="1" x14ac:dyDescent="0.15"/>
    <row r="1991" s="119" customFormat="1" x14ac:dyDescent="0.15"/>
    <row r="1992" s="119" customFormat="1" x14ac:dyDescent="0.15"/>
    <row r="1993" s="119" customFormat="1" x14ac:dyDescent="0.15"/>
    <row r="1994" s="119" customFormat="1" x14ac:dyDescent="0.15"/>
    <row r="1995" s="119" customFormat="1" x14ac:dyDescent="0.15"/>
    <row r="1996" s="119" customFormat="1" x14ac:dyDescent="0.15"/>
    <row r="1997" s="119" customFormat="1" x14ac:dyDescent="0.15"/>
    <row r="1998" s="119" customFormat="1" x14ac:dyDescent="0.15"/>
    <row r="1999" s="119" customFormat="1" x14ac:dyDescent="0.15"/>
    <row r="2000" s="119" customFormat="1" x14ac:dyDescent="0.15"/>
    <row r="2001" s="119" customFormat="1" x14ac:dyDescent="0.15"/>
    <row r="2002" s="119" customFormat="1" x14ac:dyDescent="0.15"/>
    <row r="2003" s="119" customFormat="1" x14ac:dyDescent="0.15"/>
    <row r="2004" s="119" customFormat="1" x14ac:dyDescent="0.15"/>
    <row r="2005" s="119" customFormat="1" x14ac:dyDescent="0.15"/>
    <row r="2006" s="119" customFormat="1" x14ac:dyDescent="0.15"/>
    <row r="2007" s="119" customFormat="1" x14ac:dyDescent="0.15"/>
    <row r="2008" s="119" customFormat="1" x14ac:dyDescent="0.15"/>
    <row r="2009" s="119" customFormat="1" x14ac:dyDescent="0.15"/>
    <row r="2010" s="119" customFormat="1" x14ac:dyDescent="0.15"/>
    <row r="2011" s="119" customFormat="1" x14ac:dyDescent="0.15"/>
    <row r="2012" s="119" customFormat="1" x14ac:dyDescent="0.15"/>
    <row r="2013" s="119" customFormat="1" x14ac:dyDescent="0.15"/>
    <row r="2014" s="119" customFormat="1" x14ac:dyDescent="0.15"/>
    <row r="2015" s="119" customFormat="1" x14ac:dyDescent="0.15"/>
    <row r="2016" s="119" customFormat="1" x14ac:dyDescent="0.15"/>
    <row r="2017" s="119" customFormat="1" x14ac:dyDescent="0.15"/>
    <row r="2018" s="119" customFormat="1" x14ac:dyDescent="0.15"/>
    <row r="2019" s="119" customFormat="1" x14ac:dyDescent="0.15"/>
    <row r="2020" s="119" customFormat="1" x14ac:dyDescent="0.15"/>
    <row r="2021" s="119" customFormat="1" x14ac:dyDescent="0.15"/>
    <row r="2022" s="119" customFormat="1" x14ac:dyDescent="0.15"/>
    <row r="2023" s="119" customFormat="1" x14ac:dyDescent="0.15"/>
    <row r="2024" s="119" customFormat="1" x14ac:dyDescent="0.15"/>
    <row r="2025" s="119" customFormat="1" x14ac:dyDescent="0.15"/>
    <row r="2026" s="119" customFormat="1" x14ac:dyDescent="0.15"/>
    <row r="2027" s="119" customFormat="1" x14ac:dyDescent="0.15"/>
    <row r="2028" s="119" customFormat="1" x14ac:dyDescent="0.15"/>
    <row r="2029" s="119" customFormat="1" x14ac:dyDescent="0.15"/>
    <row r="2030" s="119" customFormat="1" x14ac:dyDescent="0.15"/>
    <row r="2031" s="119" customFormat="1" x14ac:dyDescent="0.15"/>
    <row r="2032" s="119" customFormat="1" x14ac:dyDescent="0.15"/>
    <row r="2033" s="119" customFormat="1" x14ac:dyDescent="0.15"/>
    <row r="2034" s="119" customFormat="1" x14ac:dyDescent="0.15"/>
    <row r="2035" s="119" customFormat="1" x14ac:dyDescent="0.15"/>
    <row r="2036" s="119" customFormat="1" x14ac:dyDescent="0.15"/>
    <row r="2037" s="119" customFormat="1" x14ac:dyDescent="0.15"/>
    <row r="2038" s="119" customFormat="1" x14ac:dyDescent="0.15"/>
    <row r="2039" s="119" customFormat="1" x14ac:dyDescent="0.15"/>
    <row r="2040" s="119" customFormat="1" x14ac:dyDescent="0.15"/>
    <row r="2041" s="119" customFormat="1" x14ac:dyDescent="0.15"/>
    <row r="2042" s="119" customFormat="1" x14ac:dyDescent="0.15"/>
    <row r="2043" s="119" customFormat="1" x14ac:dyDescent="0.15"/>
    <row r="2044" s="119" customFormat="1" x14ac:dyDescent="0.15"/>
    <row r="2045" s="119" customFormat="1" x14ac:dyDescent="0.15"/>
    <row r="2046" s="119" customFormat="1" x14ac:dyDescent="0.15"/>
    <row r="2047" s="119" customFormat="1" x14ac:dyDescent="0.15"/>
    <row r="2048" s="119" customFormat="1" x14ac:dyDescent="0.15"/>
    <row r="2049" s="119" customFormat="1" x14ac:dyDescent="0.15"/>
    <row r="2050" s="119" customFormat="1" x14ac:dyDescent="0.15"/>
    <row r="2051" s="119" customFormat="1" x14ac:dyDescent="0.15"/>
    <row r="2052" s="119" customFormat="1" x14ac:dyDescent="0.15"/>
    <row r="2053" s="119" customFormat="1" x14ac:dyDescent="0.15"/>
    <row r="2054" s="119" customFormat="1" x14ac:dyDescent="0.15"/>
    <row r="2055" s="119" customFormat="1" x14ac:dyDescent="0.15"/>
    <row r="2056" s="119" customFormat="1" x14ac:dyDescent="0.15"/>
    <row r="2057" s="119" customFormat="1" x14ac:dyDescent="0.15"/>
    <row r="2058" s="119" customFormat="1" x14ac:dyDescent="0.15"/>
    <row r="2059" s="119" customFormat="1" x14ac:dyDescent="0.15"/>
    <row r="2060" s="119" customFormat="1" x14ac:dyDescent="0.15"/>
    <row r="2061" s="119" customFormat="1" x14ac:dyDescent="0.15"/>
    <row r="2062" s="119" customFormat="1" x14ac:dyDescent="0.15"/>
    <row r="2063" s="119" customFormat="1" x14ac:dyDescent="0.15"/>
    <row r="2064" s="119" customFormat="1" x14ac:dyDescent="0.15"/>
    <row r="2065" s="119" customFormat="1" x14ac:dyDescent="0.15"/>
    <row r="2066" s="119" customFormat="1" x14ac:dyDescent="0.15"/>
    <row r="2067" s="119" customFormat="1" x14ac:dyDescent="0.15"/>
    <row r="2068" s="119" customFormat="1" x14ac:dyDescent="0.15"/>
    <row r="2069" s="119" customFormat="1" x14ac:dyDescent="0.15"/>
    <row r="2070" s="119" customFormat="1" x14ac:dyDescent="0.15"/>
    <row r="2071" s="119" customFormat="1" x14ac:dyDescent="0.15"/>
    <row r="2072" s="119" customFormat="1" x14ac:dyDescent="0.15"/>
    <row r="2073" s="119" customFormat="1" x14ac:dyDescent="0.15"/>
    <row r="2074" s="119" customFormat="1" x14ac:dyDescent="0.15"/>
    <row r="2075" s="119" customFormat="1" x14ac:dyDescent="0.15"/>
    <row r="2076" s="119" customFormat="1" x14ac:dyDescent="0.15"/>
    <row r="2077" s="119" customFormat="1" x14ac:dyDescent="0.15"/>
    <row r="2078" s="119" customFormat="1" x14ac:dyDescent="0.15"/>
    <row r="2079" s="119" customFormat="1" x14ac:dyDescent="0.15"/>
    <row r="2080" s="119" customFormat="1" x14ac:dyDescent="0.15"/>
    <row r="2081" s="119" customFormat="1" x14ac:dyDescent="0.15"/>
    <row r="2082" s="119" customFormat="1" x14ac:dyDescent="0.15"/>
    <row r="2083" s="119" customFormat="1" x14ac:dyDescent="0.15"/>
    <row r="2084" s="119" customFormat="1" x14ac:dyDescent="0.15"/>
    <row r="2085" s="119" customFormat="1" x14ac:dyDescent="0.15"/>
    <row r="2086" s="119" customFormat="1" x14ac:dyDescent="0.15"/>
    <row r="2087" s="119" customFormat="1" x14ac:dyDescent="0.15"/>
    <row r="2088" s="119" customFormat="1" x14ac:dyDescent="0.15"/>
    <row r="2089" s="119" customFormat="1" x14ac:dyDescent="0.15"/>
    <row r="2090" s="119" customFormat="1" x14ac:dyDescent="0.15"/>
    <row r="2091" s="119" customFormat="1" x14ac:dyDescent="0.15"/>
    <row r="2092" s="119" customFormat="1" x14ac:dyDescent="0.15"/>
    <row r="2093" s="119" customFormat="1" x14ac:dyDescent="0.15"/>
    <row r="2094" s="119" customFormat="1" x14ac:dyDescent="0.15"/>
    <row r="2095" s="119" customFormat="1" x14ac:dyDescent="0.15"/>
    <row r="2096" s="119" customFormat="1" x14ac:dyDescent="0.15"/>
    <row r="2097" s="119" customFormat="1" x14ac:dyDescent="0.15"/>
    <row r="2098" s="119" customFormat="1" x14ac:dyDescent="0.15"/>
    <row r="2099" s="119" customFormat="1" x14ac:dyDescent="0.15"/>
    <row r="2100" s="119" customFormat="1" x14ac:dyDescent="0.15"/>
    <row r="2101" s="119" customFormat="1" x14ac:dyDescent="0.15"/>
    <row r="2102" s="119" customFormat="1" x14ac:dyDescent="0.15"/>
    <row r="2103" s="119" customFormat="1" x14ac:dyDescent="0.15"/>
    <row r="2104" s="119" customFormat="1" x14ac:dyDescent="0.15"/>
    <row r="2105" s="119" customFormat="1" x14ac:dyDescent="0.15"/>
    <row r="2106" s="119" customFormat="1" x14ac:dyDescent="0.15"/>
    <row r="2107" s="119" customFormat="1" x14ac:dyDescent="0.15"/>
    <row r="2108" s="119" customFormat="1" x14ac:dyDescent="0.15"/>
    <row r="2109" s="119" customFormat="1" x14ac:dyDescent="0.15"/>
    <row r="2110" s="119" customFormat="1" x14ac:dyDescent="0.15"/>
    <row r="2111" s="119" customFormat="1" x14ac:dyDescent="0.15"/>
    <row r="2112" s="119" customFormat="1" x14ac:dyDescent="0.15"/>
    <row r="2113" s="119" customFormat="1" x14ac:dyDescent="0.15"/>
    <row r="2114" s="119" customFormat="1" x14ac:dyDescent="0.15"/>
    <row r="2115" s="119" customFormat="1" x14ac:dyDescent="0.15"/>
    <row r="2116" s="119" customFormat="1" x14ac:dyDescent="0.15"/>
    <row r="2117" s="119" customFormat="1" x14ac:dyDescent="0.15"/>
    <row r="2118" s="119" customFormat="1" x14ac:dyDescent="0.15"/>
    <row r="2119" s="119" customFormat="1" x14ac:dyDescent="0.15"/>
    <row r="2120" s="119" customFormat="1" x14ac:dyDescent="0.15"/>
    <row r="2121" s="119" customFormat="1" x14ac:dyDescent="0.15"/>
    <row r="2122" s="119" customFormat="1" x14ac:dyDescent="0.15"/>
    <row r="2123" s="119" customFormat="1" x14ac:dyDescent="0.15"/>
    <row r="2124" s="119" customFormat="1" x14ac:dyDescent="0.15"/>
    <row r="2125" s="119" customFormat="1" x14ac:dyDescent="0.15"/>
    <row r="2126" s="119" customFormat="1" x14ac:dyDescent="0.15"/>
    <row r="2127" s="119" customFormat="1" x14ac:dyDescent="0.15"/>
    <row r="2128" s="119" customFormat="1" x14ac:dyDescent="0.15"/>
    <row r="2129" s="119" customFormat="1" x14ac:dyDescent="0.15"/>
    <row r="2130" s="119" customFormat="1" x14ac:dyDescent="0.15"/>
    <row r="2131" s="119" customFormat="1" x14ac:dyDescent="0.15"/>
    <row r="2132" s="119" customFormat="1" x14ac:dyDescent="0.15"/>
    <row r="2133" s="119" customFormat="1" x14ac:dyDescent="0.15"/>
    <row r="2134" s="119" customFormat="1" x14ac:dyDescent="0.15"/>
    <row r="2135" s="119" customFormat="1" x14ac:dyDescent="0.15"/>
    <row r="2136" s="119" customFormat="1" x14ac:dyDescent="0.15"/>
    <row r="2137" s="119" customFormat="1" x14ac:dyDescent="0.15"/>
    <row r="2138" s="119" customFormat="1" x14ac:dyDescent="0.15"/>
    <row r="2139" s="119" customFormat="1" x14ac:dyDescent="0.15"/>
    <row r="2140" s="119" customFormat="1" x14ac:dyDescent="0.15"/>
    <row r="2141" s="119" customFormat="1" x14ac:dyDescent="0.15"/>
    <row r="2142" s="119" customFormat="1" x14ac:dyDescent="0.15"/>
    <row r="2143" s="119" customFormat="1" x14ac:dyDescent="0.15"/>
    <row r="2144" s="119" customFormat="1" x14ac:dyDescent="0.15"/>
    <row r="2145" s="119" customFormat="1" x14ac:dyDescent="0.15"/>
    <row r="2146" s="119" customFormat="1" x14ac:dyDescent="0.15"/>
    <row r="2147" s="119" customFormat="1" x14ac:dyDescent="0.15"/>
    <row r="2148" s="119" customFormat="1" x14ac:dyDescent="0.15"/>
    <row r="2149" s="119" customFormat="1" x14ac:dyDescent="0.15"/>
    <row r="2150" s="119" customFormat="1" x14ac:dyDescent="0.15"/>
    <row r="2151" s="119" customFormat="1" x14ac:dyDescent="0.15"/>
    <row r="2152" s="119" customFormat="1" x14ac:dyDescent="0.15"/>
    <row r="2153" s="119" customFormat="1" x14ac:dyDescent="0.15"/>
    <row r="2154" s="119" customFormat="1" x14ac:dyDescent="0.15"/>
    <row r="2155" s="119" customFormat="1" x14ac:dyDescent="0.15"/>
    <row r="2156" s="119" customFormat="1" x14ac:dyDescent="0.15"/>
    <row r="2157" s="119" customFormat="1" x14ac:dyDescent="0.15"/>
    <row r="2158" s="119" customFormat="1" x14ac:dyDescent="0.15"/>
    <row r="2159" s="119" customFormat="1" x14ac:dyDescent="0.15"/>
    <row r="2160" s="119" customFormat="1" x14ac:dyDescent="0.15"/>
    <row r="2161" s="119" customFormat="1" x14ac:dyDescent="0.15"/>
    <row r="2162" s="119" customFormat="1" x14ac:dyDescent="0.15"/>
    <row r="2163" s="119" customFormat="1" x14ac:dyDescent="0.15"/>
    <row r="2164" s="119" customFormat="1" x14ac:dyDescent="0.15"/>
    <row r="2165" s="119" customFormat="1" x14ac:dyDescent="0.15"/>
    <row r="2166" s="119" customFormat="1" x14ac:dyDescent="0.15"/>
    <row r="2167" s="119" customFormat="1" x14ac:dyDescent="0.15"/>
    <row r="2168" s="119" customFormat="1" x14ac:dyDescent="0.15"/>
    <row r="2169" s="119" customFormat="1" x14ac:dyDescent="0.15"/>
    <row r="2170" s="119" customFormat="1" x14ac:dyDescent="0.15"/>
    <row r="2171" s="119" customFormat="1" x14ac:dyDescent="0.15"/>
    <row r="2172" s="119" customFormat="1" x14ac:dyDescent="0.15"/>
    <row r="2173" s="119" customFormat="1" x14ac:dyDescent="0.15"/>
    <row r="2174" s="119" customFormat="1" x14ac:dyDescent="0.15"/>
    <row r="2175" s="119" customFormat="1" x14ac:dyDescent="0.15"/>
    <row r="2176" s="119" customFormat="1" x14ac:dyDescent="0.15"/>
    <row r="2177" s="119" customFormat="1" x14ac:dyDescent="0.15"/>
    <row r="2178" s="119" customFormat="1" x14ac:dyDescent="0.15"/>
    <row r="2179" s="119" customFormat="1" x14ac:dyDescent="0.15"/>
    <row r="2180" s="119" customFormat="1" x14ac:dyDescent="0.15"/>
    <row r="2181" s="119" customFormat="1" x14ac:dyDescent="0.15"/>
    <row r="2182" s="119" customFormat="1" x14ac:dyDescent="0.15"/>
    <row r="2183" s="119" customFormat="1" x14ac:dyDescent="0.15"/>
    <row r="2184" s="119" customFormat="1" x14ac:dyDescent="0.15"/>
    <row r="2185" s="119" customFormat="1" x14ac:dyDescent="0.15"/>
    <row r="2186" s="119" customFormat="1" x14ac:dyDescent="0.15"/>
    <row r="2187" s="119" customFormat="1" x14ac:dyDescent="0.15"/>
    <row r="2188" s="119" customFormat="1" x14ac:dyDescent="0.15"/>
    <row r="2189" s="119" customFormat="1" x14ac:dyDescent="0.15"/>
    <row r="2190" s="119" customFormat="1" x14ac:dyDescent="0.15"/>
    <row r="2191" s="119" customFormat="1" x14ac:dyDescent="0.15"/>
    <row r="2192" s="119" customFormat="1" x14ac:dyDescent="0.15"/>
    <row r="2193" s="119" customFormat="1" x14ac:dyDescent="0.15"/>
    <row r="2194" s="119" customFormat="1" x14ac:dyDescent="0.15"/>
    <row r="2195" s="119" customFormat="1" x14ac:dyDescent="0.15"/>
    <row r="2196" s="119" customFormat="1" x14ac:dyDescent="0.15"/>
    <row r="2197" s="119" customFormat="1" x14ac:dyDescent="0.15"/>
    <row r="2198" s="119" customFormat="1" x14ac:dyDescent="0.15"/>
    <row r="2199" s="119" customFormat="1" x14ac:dyDescent="0.15"/>
    <row r="2200" s="119" customFormat="1" x14ac:dyDescent="0.15"/>
    <row r="2201" s="119" customFormat="1" x14ac:dyDescent="0.15"/>
    <row r="2202" s="119" customFormat="1" x14ac:dyDescent="0.15"/>
    <row r="2203" s="119" customFormat="1" x14ac:dyDescent="0.15"/>
    <row r="2204" s="119" customFormat="1" x14ac:dyDescent="0.15"/>
    <row r="2205" s="119" customFormat="1" x14ac:dyDescent="0.15"/>
    <row r="2206" s="119" customFormat="1" x14ac:dyDescent="0.15"/>
    <row r="2207" s="119" customFormat="1" x14ac:dyDescent="0.15"/>
    <row r="2208" s="119" customFormat="1" x14ac:dyDescent="0.15"/>
    <row r="2209" s="119" customFormat="1" x14ac:dyDescent="0.15"/>
    <row r="2210" s="119" customFormat="1" x14ac:dyDescent="0.15"/>
    <row r="2211" s="119" customFormat="1" x14ac:dyDescent="0.15"/>
    <row r="2212" s="119" customFormat="1" x14ac:dyDescent="0.15"/>
    <row r="2213" s="119" customFormat="1" x14ac:dyDescent="0.15"/>
    <row r="2214" s="119" customFormat="1" x14ac:dyDescent="0.15"/>
    <row r="2215" s="119" customFormat="1" x14ac:dyDescent="0.15"/>
    <row r="2216" s="119" customFormat="1" x14ac:dyDescent="0.15"/>
    <row r="2217" s="119" customFormat="1" x14ac:dyDescent="0.15"/>
    <row r="2218" s="119" customFormat="1" x14ac:dyDescent="0.15"/>
    <row r="2219" s="119" customFormat="1" x14ac:dyDescent="0.15"/>
    <row r="2220" s="119" customFormat="1" x14ac:dyDescent="0.15"/>
    <row r="2221" s="119" customFormat="1" x14ac:dyDescent="0.15"/>
    <row r="2222" s="119" customFormat="1" x14ac:dyDescent="0.15"/>
    <row r="2223" s="119" customFormat="1" x14ac:dyDescent="0.15"/>
    <row r="2224" s="119" customFormat="1" x14ac:dyDescent="0.15"/>
    <row r="2225" s="119" customFormat="1" x14ac:dyDescent="0.15"/>
    <row r="2226" s="119" customFormat="1" x14ac:dyDescent="0.15"/>
    <row r="2227" s="119" customFormat="1" x14ac:dyDescent="0.15"/>
    <row r="2228" s="119" customFormat="1" x14ac:dyDescent="0.15"/>
    <row r="2229" s="119" customFormat="1" x14ac:dyDescent="0.15"/>
    <row r="2230" s="119" customFormat="1" x14ac:dyDescent="0.15"/>
    <row r="2231" s="119" customFormat="1" x14ac:dyDescent="0.15"/>
    <row r="2232" s="119" customFormat="1" x14ac:dyDescent="0.15"/>
    <row r="2233" s="119" customFormat="1" x14ac:dyDescent="0.15"/>
    <row r="2234" s="119" customFormat="1" x14ac:dyDescent="0.15"/>
    <row r="2235" s="119" customFormat="1" x14ac:dyDescent="0.15"/>
    <row r="2236" s="119" customFormat="1" x14ac:dyDescent="0.15"/>
    <row r="2237" s="119" customFormat="1" x14ac:dyDescent="0.15"/>
    <row r="2238" s="119" customFormat="1" x14ac:dyDescent="0.15"/>
    <row r="2239" s="119" customFormat="1" x14ac:dyDescent="0.15"/>
    <row r="2240" s="119" customFormat="1" x14ac:dyDescent="0.15"/>
    <row r="2241" s="119" customFormat="1" x14ac:dyDescent="0.15"/>
    <row r="2242" s="119" customFormat="1" x14ac:dyDescent="0.15"/>
    <row r="2243" s="119" customFormat="1" x14ac:dyDescent="0.15"/>
    <row r="2244" s="119" customFormat="1" x14ac:dyDescent="0.15"/>
    <row r="2245" s="119" customFormat="1" x14ac:dyDescent="0.15"/>
    <row r="2246" s="119" customFormat="1" x14ac:dyDescent="0.15"/>
    <row r="2247" s="119" customFormat="1" x14ac:dyDescent="0.15"/>
    <row r="2248" s="119" customFormat="1" x14ac:dyDescent="0.15"/>
    <row r="2249" s="119" customFormat="1" x14ac:dyDescent="0.15"/>
    <row r="2250" s="119" customFormat="1" x14ac:dyDescent="0.15"/>
    <row r="2251" s="119" customFormat="1" x14ac:dyDescent="0.15"/>
    <row r="2252" s="119" customFormat="1" x14ac:dyDescent="0.15"/>
    <row r="2253" s="119" customFormat="1" x14ac:dyDescent="0.15"/>
    <row r="2254" s="119" customFormat="1" x14ac:dyDescent="0.15"/>
    <row r="2255" s="119" customFormat="1" x14ac:dyDescent="0.15"/>
    <row r="2256" s="119" customFormat="1" x14ac:dyDescent="0.15"/>
    <row r="2257" s="119" customFormat="1" x14ac:dyDescent="0.15"/>
    <row r="2258" s="119" customFormat="1" x14ac:dyDescent="0.15"/>
    <row r="2259" s="119" customFormat="1" x14ac:dyDescent="0.15"/>
    <row r="2260" s="119" customFormat="1" x14ac:dyDescent="0.15"/>
    <row r="2261" s="119" customFormat="1" x14ac:dyDescent="0.15"/>
    <row r="2262" s="119" customFormat="1" x14ac:dyDescent="0.15"/>
    <row r="2263" s="119" customFormat="1" x14ac:dyDescent="0.15"/>
    <row r="2264" s="119" customFormat="1" x14ac:dyDescent="0.15"/>
    <row r="2265" s="119" customFormat="1" x14ac:dyDescent="0.15"/>
    <row r="2266" s="119" customFormat="1" x14ac:dyDescent="0.15"/>
    <row r="2267" s="119" customFormat="1" x14ac:dyDescent="0.15"/>
    <row r="2268" s="119" customFormat="1" x14ac:dyDescent="0.15"/>
    <row r="2269" s="119" customFormat="1" x14ac:dyDescent="0.15"/>
    <row r="2270" s="119" customFormat="1" x14ac:dyDescent="0.15"/>
    <row r="2271" s="119" customFormat="1" x14ac:dyDescent="0.15"/>
    <row r="2272" s="119" customFormat="1" x14ac:dyDescent="0.15"/>
    <row r="2273" s="119" customFormat="1" x14ac:dyDescent="0.15"/>
    <row r="2274" s="119" customFormat="1" x14ac:dyDescent="0.15"/>
    <row r="2275" s="119" customFormat="1" x14ac:dyDescent="0.15"/>
    <row r="2276" s="119" customFormat="1" x14ac:dyDescent="0.15"/>
    <row r="2277" s="119" customFormat="1" x14ac:dyDescent="0.15"/>
    <row r="2278" s="119" customFormat="1" x14ac:dyDescent="0.15"/>
    <row r="2279" s="119" customFormat="1" x14ac:dyDescent="0.15"/>
    <row r="2280" s="119" customFormat="1" x14ac:dyDescent="0.15"/>
    <row r="2281" s="119" customFormat="1" x14ac:dyDescent="0.15"/>
    <row r="2282" s="119" customFormat="1" x14ac:dyDescent="0.15"/>
    <row r="2283" s="119" customFormat="1" x14ac:dyDescent="0.15"/>
    <row r="2284" s="119" customFormat="1" x14ac:dyDescent="0.15"/>
    <row r="2285" s="119" customFormat="1" x14ac:dyDescent="0.15"/>
    <row r="2286" s="119" customFormat="1" x14ac:dyDescent="0.15"/>
    <row r="2287" s="119" customFormat="1" x14ac:dyDescent="0.15"/>
    <row r="2288" s="119" customFormat="1" x14ac:dyDescent="0.15"/>
    <row r="2289" s="119" customFormat="1" x14ac:dyDescent="0.15"/>
    <row r="2290" s="119" customFormat="1" x14ac:dyDescent="0.15"/>
    <row r="2291" s="119" customFormat="1" x14ac:dyDescent="0.15"/>
    <row r="2292" s="119" customFormat="1" x14ac:dyDescent="0.15"/>
    <row r="2293" s="119" customFormat="1" x14ac:dyDescent="0.15"/>
    <row r="2294" s="119" customFormat="1" x14ac:dyDescent="0.15"/>
    <row r="2295" s="119" customFormat="1" x14ac:dyDescent="0.15"/>
    <row r="2296" s="119" customFormat="1" x14ac:dyDescent="0.15"/>
    <row r="2297" s="119" customFormat="1" x14ac:dyDescent="0.15"/>
    <row r="2298" s="119" customFormat="1" x14ac:dyDescent="0.15"/>
    <row r="2299" s="119" customFormat="1" x14ac:dyDescent="0.15"/>
    <row r="2300" s="119" customFormat="1" x14ac:dyDescent="0.15"/>
    <row r="2301" s="119" customFormat="1" x14ac:dyDescent="0.15"/>
    <row r="2302" s="119" customFormat="1" x14ac:dyDescent="0.15"/>
    <row r="2303" s="119" customFormat="1" x14ac:dyDescent="0.15"/>
    <row r="2304" s="119" customFormat="1" x14ac:dyDescent="0.15"/>
    <row r="2305" s="119" customFormat="1" x14ac:dyDescent="0.15"/>
    <row r="2306" s="119" customFormat="1" x14ac:dyDescent="0.15"/>
    <row r="2307" s="119" customFormat="1" x14ac:dyDescent="0.15"/>
    <row r="2308" s="119" customFormat="1" x14ac:dyDescent="0.15"/>
    <row r="2309" s="119" customFormat="1" x14ac:dyDescent="0.15"/>
    <row r="2310" s="119" customFormat="1" x14ac:dyDescent="0.15"/>
    <row r="2311" s="119" customFormat="1" x14ac:dyDescent="0.15"/>
    <row r="2312" s="119" customFormat="1" x14ac:dyDescent="0.15"/>
    <row r="2313" s="119" customFormat="1" x14ac:dyDescent="0.15"/>
    <row r="2314" s="119" customFormat="1" x14ac:dyDescent="0.15"/>
    <row r="2315" s="119" customFormat="1" x14ac:dyDescent="0.15"/>
    <row r="2316" s="119" customFormat="1" x14ac:dyDescent="0.15"/>
    <row r="2317" s="119" customFormat="1" x14ac:dyDescent="0.15"/>
    <row r="2318" s="119" customFormat="1" x14ac:dyDescent="0.15"/>
    <row r="2319" s="119" customFormat="1" x14ac:dyDescent="0.15"/>
    <row r="2320" s="119" customFormat="1" x14ac:dyDescent="0.15"/>
    <row r="2321" s="119" customFormat="1" x14ac:dyDescent="0.15"/>
    <row r="2322" s="119" customFormat="1" x14ac:dyDescent="0.15"/>
    <row r="2323" s="119" customFormat="1" x14ac:dyDescent="0.15"/>
    <row r="2324" s="119" customFormat="1" x14ac:dyDescent="0.15"/>
    <row r="2325" s="119" customFormat="1" x14ac:dyDescent="0.15"/>
    <row r="2326" s="119" customFormat="1" x14ac:dyDescent="0.15"/>
    <row r="2327" s="119" customFormat="1" x14ac:dyDescent="0.15"/>
    <row r="2328" s="119" customFormat="1" x14ac:dyDescent="0.15"/>
    <row r="2329" s="119" customFormat="1" x14ac:dyDescent="0.15"/>
    <row r="2330" s="119" customFormat="1" x14ac:dyDescent="0.15"/>
    <row r="2331" s="119" customFormat="1" x14ac:dyDescent="0.15"/>
    <row r="2332" s="119" customFormat="1" x14ac:dyDescent="0.15"/>
    <row r="2333" s="119" customFormat="1" x14ac:dyDescent="0.15"/>
    <row r="2334" s="119" customFormat="1" x14ac:dyDescent="0.15"/>
    <row r="2335" s="119" customFormat="1" x14ac:dyDescent="0.15"/>
    <row r="2336" s="119" customFormat="1" x14ac:dyDescent="0.15"/>
    <row r="2337" s="119" customFormat="1" x14ac:dyDescent="0.15"/>
    <row r="2338" s="119" customFormat="1" x14ac:dyDescent="0.15"/>
    <row r="2339" s="119" customFormat="1" x14ac:dyDescent="0.15"/>
    <row r="2340" s="119" customFormat="1" x14ac:dyDescent="0.15"/>
    <row r="2341" s="119" customFormat="1" x14ac:dyDescent="0.15"/>
    <row r="2342" s="119" customFormat="1" x14ac:dyDescent="0.15"/>
    <row r="2343" s="119" customFormat="1" x14ac:dyDescent="0.15"/>
    <row r="2344" s="119" customFormat="1" x14ac:dyDescent="0.15"/>
    <row r="2345" s="119" customFormat="1" x14ac:dyDescent="0.15"/>
    <row r="2346" s="119" customFormat="1" x14ac:dyDescent="0.15"/>
    <row r="2347" s="119" customFormat="1" x14ac:dyDescent="0.15"/>
    <row r="2348" s="119" customFormat="1" x14ac:dyDescent="0.15"/>
    <row r="2349" s="119" customFormat="1" x14ac:dyDescent="0.15"/>
    <row r="2350" s="119" customFormat="1" x14ac:dyDescent="0.15"/>
    <row r="2351" s="119" customFormat="1" x14ac:dyDescent="0.15"/>
    <row r="2352" s="119" customFormat="1" x14ac:dyDescent="0.15"/>
    <row r="2353" s="119" customFormat="1" x14ac:dyDescent="0.15"/>
    <row r="2354" s="119" customFormat="1" x14ac:dyDescent="0.15"/>
    <row r="2355" s="119" customFormat="1" x14ac:dyDescent="0.15"/>
    <row r="2356" s="119" customFormat="1" x14ac:dyDescent="0.15"/>
    <row r="2357" s="119" customFormat="1" x14ac:dyDescent="0.15"/>
    <row r="2358" s="119" customFormat="1" x14ac:dyDescent="0.15"/>
    <row r="2359" s="119" customFormat="1" x14ac:dyDescent="0.15"/>
    <row r="2360" s="119" customFormat="1" x14ac:dyDescent="0.15"/>
    <row r="2361" s="119" customFormat="1" x14ac:dyDescent="0.15"/>
    <row r="2362" s="119" customFormat="1" x14ac:dyDescent="0.15"/>
    <row r="2363" s="119" customFormat="1" x14ac:dyDescent="0.15"/>
    <row r="2364" s="119" customFormat="1" x14ac:dyDescent="0.15"/>
    <row r="2365" s="119" customFormat="1" x14ac:dyDescent="0.15"/>
    <row r="2366" s="119" customFormat="1" x14ac:dyDescent="0.15"/>
    <row r="2367" s="119" customFormat="1" x14ac:dyDescent="0.15"/>
    <row r="2368" s="119" customFormat="1" x14ac:dyDescent="0.15"/>
    <row r="2369" s="119" customFormat="1" x14ac:dyDescent="0.15"/>
    <row r="2370" s="119" customFormat="1" x14ac:dyDescent="0.15"/>
    <row r="2371" s="119" customFormat="1" x14ac:dyDescent="0.15"/>
    <row r="2372" s="119" customFormat="1" x14ac:dyDescent="0.15"/>
    <row r="2373" s="119" customFormat="1" x14ac:dyDescent="0.15"/>
    <row r="2374" s="119" customFormat="1" x14ac:dyDescent="0.15"/>
    <row r="2375" s="119" customFormat="1" x14ac:dyDescent="0.15"/>
    <row r="2376" s="119" customFormat="1" x14ac:dyDescent="0.15"/>
    <row r="2377" s="119" customFormat="1" x14ac:dyDescent="0.15"/>
    <row r="2378" s="119" customFormat="1" x14ac:dyDescent="0.15"/>
    <row r="2379" s="119" customFormat="1" x14ac:dyDescent="0.15"/>
    <row r="2380" s="119" customFormat="1" x14ac:dyDescent="0.15"/>
    <row r="2381" s="119" customFormat="1" x14ac:dyDescent="0.15"/>
    <row r="2382" s="119" customFormat="1" x14ac:dyDescent="0.15"/>
    <row r="2383" s="119" customFormat="1" x14ac:dyDescent="0.15"/>
    <row r="2384" s="119" customFormat="1" x14ac:dyDescent="0.15"/>
    <row r="2385" s="119" customFormat="1" x14ac:dyDescent="0.15"/>
    <row r="2386" s="119" customFormat="1" x14ac:dyDescent="0.15"/>
    <row r="2387" s="119" customFormat="1" x14ac:dyDescent="0.15"/>
    <row r="2388" s="119" customFormat="1" x14ac:dyDescent="0.15"/>
    <row r="2389" s="119" customFormat="1" x14ac:dyDescent="0.15"/>
    <row r="2390" s="119" customFormat="1" x14ac:dyDescent="0.15"/>
    <row r="2391" s="119" customFormat="1" x14ac:dyDescent="0.15"/>
    <row r="2392" s="119" customFormat="1" x14ac:dyDescent="0.15"/>
    <row r="2393" s="119" customFormat="1" x14ac:dyDescent="0.15"/>
    <row r="2394" s="119" customFormat="1" x14ac:dyDescent="0.15"/>
    <row r="2395" s="119" customFormat="1" x14ac:dyDescent="0.15"/>
    <row r="2396" s="119" customFormat="1" x14ac:dyDescent="0.15"/>
    <row r="2397" s="119" customFormat="1" x14ac:dyDescent="0.15"/>
    <row r="2398" s="119" customFormat="1" x14ac:dyDescent="0.15"/>
    <row r="2399" s="119" customFormat="1" x14ac:dyDescent="0.15"/>
    <row r="2400" s="119" customFormat="1" x14ac:dyDescent="0.15"/>
    <row r="2401" s="119" customFormat="1" x14ac:dyDescent="0.15"/>
    <row r="2402" s="119" customFormat="1" x14ac:dyDescent="0.15"/>
    <row r="2403" s="119" customFormat="1" x14ac:dyDescent="0.15"/>
    <row r="2404" s="119" customFormat="1" x14ac:dyDescent="0.15"/>
    <row r="2405" s="119" customFormat="1" x14ac:dyDescent="0.15"/>
    <row r="2406" s="119" customFormat="1" x14ac:dyDescent="0.15"/>
    <row r="2407" s="119" customFormat="1" x14ac:dyDescent="0.15"/>
    <row r="2408" s="119" customFormat="1" x14ac:dyDescent="0.15"/>
    <row r="2409" s="119" customFormat="1" x14ac:dyDescent="0.15"/>
    <row r="2410" s="119" customFormat="1" x14ac:dyDescent="0.15"/>
    <row r="2411" s="119" customFormat="1" x14ac:dyDescent="0.15"/>
    <row r="2412" s="119" customFormat="1" x14ac:dyDescent="0.15"/>
    <row r="2413" s="119" customFormat="1" x14ac:dyDescent="0.15"/>
    <row r="2414" s="119" customFormat="1" x14ac:dyDescent="0.15"/>
    <row r="2415" s="119" customFormat="1" x14ac:dyDescent="0.15"/>
    <row r="2416" s="119" customFormat="1" x14ac:dyDescent="0.15"/>
    <row r="2417" s="119" customFormat="1" x14ac:dyDescent="0.15"/>
    <row r="2418" s="119" customFormat="1" x14ac:dyDescent="0.15"/>
    <row r="2419" s="119" customFormat="1" x14ac:dyDescent="0.15"/>
    <row r="2420" s="119" customFormat="1" x14ac:dyDescent="0.15"/>
    <row r="2421" s="119" customFormat="1" x14ac:dyDescent="0.15"/>
    <row r="2422" s="119" customFormat="1" x14ac:dyDescent="0.15"/>
    <row r="2423" s="119" customFormat="1" x14ac:dyDescent="0.15"/>
    <row r="2424" s="119" customFormat="1" x14ac:dyDescent="0.15"/>
    <row r="2425" s="119" customFormat="1" x14ac:dyDescent="0.15"/>
    <row r="2426" s="119" customFormat="1" x14ac:dyDescent="0.15"/>
    <row r="2427" s="119" customFormat="1" x14ac:dyDescent="0.15"/>
    <row r="2428" s="119" customFormat="1" x14ac:dyDescent="0.15"/>
    <row r="2429" s="119" customFormat="1" x14ac:dyDescent="0.15"/>
    <row r="2430" s="119" customFormat="1" x14ac:dyDescent="0.15"/>
    <row r="2431" s="119" customFormat="1" x14ac:dyDescent="0.15"/>
    <row r="2432" s="119" customFormat="1" x14ac:dyDescent="0.15"/>
    <row r="2433" s="119" customFormat="1" x14ac:dyDescent="0.15"/>
    <row r="2434" s="119" customFormat="1" x14ac:dyDescent="0.15"/>
    <row r="2435" s="119" customFormat="1" x14ac:dyDescent="0.15"/>
    <row r="2436" s="119" customFormat="1" x14ac:dyDescent="0.15"/>
    <row r="2437" s="119" customFormat="1" x14ac:dyDescent="0.15"/>
    <row r="2438" s="119" customFormat="1" x14ac:dyDescent="0.15"/>
    <row r="2439" s="119" customFormat="1" x14ac:dyDescent="0.15"/>
    <row r="2440" s="119" customFormat="1" x14ac:dyDescent="0.15"/>
    <row r="2441" s="119" customFormat="1" x14ac:dyDescent="0.15"/>
    <row r="2442" s="119" customFormat="1" x14ac:dyDescent="0.15"/>
    <row r="2443" s="119" customFormat="1" x14ac:dyDescent="0.15"/>
    <row r="2444" s="119" customFormat="1" x14ac:dyDescent="0.15"/>
    <row r="2445" s="119" customFormat="1" x14ac:dyDescent="0.15"/>
    <row r="2446" s="119" customFormat="1" x14ac:dyDescent="0.15"/>
    <row r="2447" s="119" customFormat="1" x14ac:dyDescent="0.15"/>
    <row r="2448" s="119" customFormat="1" x14ac:dyDescent="0.15"/>
    <row r="2449" s="119" customFormat="1" x14ac:dyDescent="0.15"/>
    <row r="2450" s="119" customFormat="1" x14ac:dyDescent="0.15"/>
    <row r="2451" s="119" customFormat="1" x14ac:dyDescent="0.15"/>
    <row r="2452" s="119" customFormat="1" x14ac:dyDescent="0.15"/>
    <row r="2453" s="119" customFormat="1" x14ac:dyDescent="0.15"/>
    <row r="2454" s="119" customFormat="1" x14ac:dyDescent="0.15"/>
    <row r="2455" s="119" customFormat="1" x14ac:dyDescent="0.15"/>
    <row r="2456" s="119" customFormat="1" x14ac:dyDescent="0.15"/>
    <row r="2457" s="119" customFormat="1" x14ac:dyDescent="0.15"/>
    <row r="2458" s="119" customFormat="1" x14ac:dyDescent="0.15"/>
    <row r="2459" s="119" customFormat="1" x14ac:dyDescent="0.15"/>
    <row r="2460" s="119" customFormat="1" x14ac:dyDescent="0.15"/>
    <row r="2461" s="119" customFormat="1" x14ac:dyDescent="0.15"/>
    <row r="2462" s="119" customFormat="1" x14ac:dyDescent="0.15"/>
    <row r="2463" s="119" customFormat="1" x14ac:dyDescent="0.15"/>
    <row r="2464" s="119" customFormat="1" x14ac:dyDescent="0.15"/>
    <row r="2465" s="119" customFormat="1" x14ac:dyDescent="0.15"/>
    <row r="2466" s="119" customFormat="1" x14ac:dyDescent="0.15"/>
    <row r="2467" s="119" customFormat="1" x14ac:dyDescent="0.15"/>
    <row r="2468" s="119" customFormat="1" x14ac:dyDescent="0.15"/>
    <row r="2469" s="119" customFormat="1" x14ac:dyDescent="0.15"/>
    <row r="2470" s="119" customFormat="1" x14ac:dyDescent="0.15"/>
    <row r="2471" s="119" customFormat="1" x14ac:dyDescent="0.15"/>
    <row r="2472" s="119" customFormat="1" x14ac:dyDescent="0.15"/>
    <row r="2473" s="119" customFormat="1" x14ac:dyDescent="0.15"/>
    <row r="2474" s="119" customFormat="1" x14ac:dyDescent="0.15"/>
    <row r="2475" s="119" customFormat="1" x14ac:dyDescent="0.15"/>
    <row r="2476" s="119" customFormat="1" x14ac:dyDescent="0.15"/>
    <row r="2477" s="119" customFormat="1" x14ac:dyDescent="0.15"/>
    <row r="2478" s="119" customFormat="1" x14ac:dyDescent="0.15"/>
    <row r="2479" s="119" customFormat="1" x14ac:dyDescent="0.15"/>
    <row r="2480" s="119" customFormat="1" x14ac:dyDescent="0.15"/>
    <row r="2481" s="119" customFormat="1" x14ac:dyDescent="0.15"/>
    <row r="2482" s="119" customFormat="1" x14ac:dyDescent="0.15"/>
    <row r="2483" s="119" customFormat="1" x14ac:dyDescent="0.15"/>
    <row r="2484" s="119" customFormat="1" x14ac:dyDescent="0.15"/>
    <row r="2485" s="119" customFormat="1" x14ac:dyDescent="0.15"/>
    <row r="2486" s="119" customFormat="1" x14ac:dyDescent="0.15"/>
    <row r="2487" s="119" customFormat="1" x14ac:dyDescent="0.15"/>
    <row r="2488" s="119" customFormat="1" x14ac:dyDescent="0.15"/>
    <row r="2489" s="119" customFormat="1" x14ac:dyDescent="0.15"/>
    <row r="2490" s="119" customFormat="1" x14ac:dyDescent="0.15"/>
    <row r="2491" s="119" customFormat="1" x14ac:dyDescent="0.15"/>
    <row r="2492" s="119" customFormat="1" x14ac:dyDescent="0.15"/>
    <row r="2493" s="119" customFormat="1" x14ac:dyDescent="0.15"/>
    <row r="2494" s="119" customFormat="1" x14ac:dyDescent="0.15"/>
    <row r="2495" s="119" customFormat="1" x14ac:dyDescent="0.15"/>
    <row r="2496" s="119" customFormat="1" x14ac:dyDescent="0.15"/>
    <row r="2497" s="119" customFormat="1" x14ac:dyDescent="0.15"/>
    <row r="2498" s="119" customFormat="1" x14ac:dyDescent="0.15"/>
    <row r="2499" s="119" customFormat="1" x14ac:dyDescent="0.15"/>
    <row r="2500" s="119" customFormat="1" x14ac:dyDescent="0.15"/>
    <row r="2501" s="119" customFormat="1" x14ac:dyDescent="0.15"/>
    <row r="2502" s="119" customFormat="1" x14ac:dyDescent="0.15"/>
    <row r="2503" s="119" customFormat="1" x14ac:dyDescent="0.15"/>
    <row r="2504" s="119" customFormat="1" x14ac:dyDescent="0.15"/>
    <row r="2505" s="119" customFormat="1" x14ac:dyDescent="0.15"/>
    <row r="2506" s="119" customFormat="1" x14ac:dyDescent="0.15"/>
    <row r="2507" s="119" customFormat="1" x14ac:dyDescent="0.15"/>
    <row r="2508" s="119" customFormat="1" x14ac:dyDescent="0.15"/>
    <row r="2509" s="119" customFormat="1" x14ac:dyDescent="0.15"/>
    <row r="2510" s="119" customFormat="1" x14ac:dyDescent="0.15"/>
    <row r="2511" s="119" customFormat="1" x14ac:dyDescent="0.15"/>
    <row r="2512" s="119" customFormat="1" x14ac:dyDescent="0.15"/>
    <row r="2513" s="119" customFormat="1" x14ac:dyDescent="0.15"/>
    <row r="2514" s="119" customFormat="1" x14ac:dyDescent="0.15"/>
    <row r="2515" s="119" customFormat="1" x14ac:dyDescent="0.15"/>
    <row r="2516" s="119" customFormat="1" x14ac:dyDescent="0.15"/>
    <row r="2517" s="119" customFormat="1" x14ac:dyDescent="0.15"/>
    <row r="2518" s="119" customFormat="1" x14ac:dyDescent="0.15"/>
    <row r="2519" s="119" customFormat="1" x14ac:dyDescent="0.15"/>
    <row r="2520" s="119" customFormat="1" x14ac:dyDescent="0.15"/>
    <row r="2521" s="119" customFormat="1" x14ac:dyDescent="0.15"/>
    <row r="2522" s="119" customFormat="1" x14ac:dyDescent="0.15"/>
    <row r="2523" s="119" customFormat="1" x14ac:dyDescent="0.15"/>
    <row r="2524" s="119" customFormat="1" x14ac:dyDescent="0.15"/>
    <row r="2525" s="119" customFormat="1" x14ac:dyDescent="0.15"/>
    <row r="2526" s="119" customFormat="1" x14ac:dyDescent="0.15"/>
    <row r="2527" s="119" customFormat="1" x14ac:dyDescent="0.15"/>
    <row r="2528" s="119" customFormat="1" x14ac:dyDescent="0.15"/>
    <row r="2529" s="119" customFormat="1" x14ac:dyDescent="0.15"/>
    <row r="2530" s="119" customFormat="1" x14ac:dyDescent="0.15"/>
    <row r="2531" s="119" customFormat="1" x14ac:dyDescent="0.15"/>
    <row r="2532" s="119" customFormat="1" x14ac:dyDescent="0.15"/>
    <row r="2533" s="119" customFormat="1" x14ac:dyDescent="0.15"/>
    <row r="2534" s="119" customFormat="1" x14ac:dyDescent="0.15"/>
    <row r="2535" s="119" customFormat="1" x14ac:dyDescent="0.15"/>
    <row r="2536" s="119" customFormat="1" x14ac:dyDescent="0.15"/>
    <row r="2537" s="119" customFormat="1" x14ac:dyDescent="0.15"/>
    <row r="2538" s="119" customFormat="1" x14ac:dyDescent="0.15"/>
    <row r="2539" s="119" customFormat="1" x14ac:dyDescent="0.15"/>
    <row r="2540" s="119" customFormat="1" x14ac:dyDescent="0.15"/>
    <row r="2541" s="119" customFormat="1" x14ac:dyDescent="0.15"/>
    <row r="2542" s="119" customFormat="1" x14ac:dyDescent="0.15"/>
    <row r="2543" s="119" customFormat="1" x14ac:dyDescent="0.15"/>
    <row r="2544" s="119" customFormat="1" x14ac:dyDescent="0.15"/>
    <row r="2545" s="119" customFormat="1" x14ac:dyDescent="0.15"/>
    <row r="2546" s="119" customFormat="1" x14ac:dyDescent="0.15"/>
    <row r="2547" s="119" customFormat="1" x14ac:dyDescent="0.15"/>
    <row r="2548" s="119" customFormat="1" x14ac:dyDescent="0.15"/>
    <row r="2549" s="119" customFormat="1" x14ac:dyDescent="0.15"/>
    <row r="2550" s="119" customFormat="1" x14ac:dyDescent="0.15"/>
    <row r="2551" s="119" customFormat="1" x14ac:dyDescent="0.15"/>
    <row r="2552" s="119" customFormat="1" x14ac:dyDescent="0.15"/>
    <row r="2553" s="119" customFormat="1" x14ac:dyDescent="0.15"/>
    <row r="2554" s="119" customFormat="1" x14ac:dyDescent="0.15"/>
    <row r="2555" s="119" customFormat="1" x14ac:dyDescent="0.15"/>
    <row r="2556" s="119" customFormat="1" x14ac:dyDescent="0.15"/>
    <row r="2557" s="119" customFormat="1" x14ac:dyDescent="0.15"/>
    <row r="2558" s="119" customFormat="1" x14ac:dyDescent="0.15"/>
    <row r="2559" s="119" customFormat="1" x14ac:dyDescent="0.15"/>
    <row r="2560" s="119" customFormat="1" x14ac:dyDescent="0.15"/>
    <row r="2561" s="119" customFormat="1" x14ac:dyDescent="0.15"/>
    <row r="2562" s="119" customFormat="1" x14ac:dyDescent="0.15"/>
    <row r="2563" s="119" customFormat="1" x14ac:dyDescent="0.15"/>
    <row r="2564" s="119" customFormat="1" x14ac:dyDescent="0.15"/>
    <row r="2565" s="119" customFormat="1" x14ac:dyDescent="0.15"/>
    <row r="2566" s="119" customFormat="1" x14ac:dyDescent="0.15"/>
    <row r="2567" s="119" customFormat="1" x14ac:dyDescent="0.15"/>
    <row r="2568" s="119" customFormat="1" x14ac:dyDescent="0.15"/>
    <row r="2569" s="119" customFormat="1" x14ac:dyDescent="0.15"/>
    <row r="2570" s="119" customFormat="1" x14ac:dyDescent="0.15"/>
    <row r="2571" s="119" customFormat="1" x14ac:dyDescent="0.15"/>
    <row r="2572" s="119" customFormat="1" x14ac:dyDescent="0.15"/>
    <row r="2573" s="119" customFormat="1" x14ac:dyDescent="0.15"/>
    <row r="2574" s="119" customFormat="1" x14ac:dyDescent="0.15"/>
    <row r="2575" s="119" customFormat="1" x14ac:dyDescent="0.15"/>
    <row r="2576" s="119" customFormat="1" x14ac:dyDescent="0.15"/>
    <row r="2577" s="119" customFormat="1" x14ac:dyDescent="0.15"/>
    <row r="2578" s="119" customFormat="1" x14ac:dyDescent="0.15"/>
    <row r="2579" s="119" customFormat="1" x14ac:dyDescent="0.15"/>
    <row r="2580" s="119" customFormat="1" x14ac:dyDescent="0.15"/>
    <row r="2581" s="119" customFormat="1" x14ac:dyDescent="0.15"/>
    <row r="2582" s="119" customFormat="1" x14ac:dyDescent="0.15"/>
    <row r="2583" s="119" customFormat="1" x14ac:dyDescent="0.15"/>
    <row r="2584" s="119" customFormat="1" x14ac:dyDescent="0.15"/>
    <row r="2585" s="119" customFormat="1" x14ac:dyDescent="0.15"/>
    <row r="2586" s="119" customFormat="1" x14ac:dyDescent="0.15"/>
    <row r="2587" s="119" customFormat="1" x14ac:dyDescent="0.15"/>
    <row r="2588" s="119" customFormat="1" x14ac:dyDescent="0.15"/>
    <row r="2589" s="119" customFormat="1" x14ac:dyDescent="0.15"/>
    <row r="2590" s="119" customFormat="1" x14ac:dyDescent="0.15"/>
    <row r="2591" s="119" customFormat="1" x14ac:dyDescent="0.15"/>
    <row r="2592" s="119" customFormat="1" x14ac:dyDescent="0.15"/>
    <row r="2593" s="119" customFormat="1" x14ac:dyDescent="0.15"/>
    <row r="2594" s="119" customFormat="1" x14ac:dyDescent="0.15"/>
    <row r="2595" s="119" customFormat="1" x14ac:dyDescent="0.15"/>
    <row r="2596" s="119" customFormat="1" x14ac:dyDescent="0.15"/>
    <row r="2597" s="119" customFormat="1" x14ac:dyDescent="0.15"/>
    <row r="2598" s="119" customFormat="1" x14ac:dyDescent="0.15"/>
    <row r="2599" s="119" customFormat="1" x14ac:dyDescent="0.15"/>
    <row r="2600" s="119" customFormat="1" x14ac:dyDescent="0.15"/>
    <row r="2601" s="119" customFormat="1" x14ac:dyDescent="0.15"/>
    <row r="2602" s="119" customFormat="1" x14ac:dyDescent="0.15"/>
    <row r="2603" s="119" customFormat="1" x14ac:dyDescent="0.15"/>
    <row r="2604" s="119" customFormat="1" x14ac:dyDescent="0.15"/>
    <row r="2605" s="119" customFormat="1" x14ac:dyDescent="0.15"/>
    <row r="2606" s="119" customFormat="1" x14ac:dyDescent="0.15"/>
    <row r="2607" s="119" customFormat="1" x14ac:dyDescent="0.15"/>
    <row r="2608" s="119" customFormat="1" x14ac:dyDescent="0.15"/>
    <row r="2609" s="119" customFormat="1" x14ac:dyDescent="0.15"/>
    <row r="2610" s="119" customFormat="1" x14ac:dyDescent="0.15"/>
    <row r="2611" s="119" customFormat="1" x14ac:dyDescent="0.15"/>
    <row r="2612" s="119" customFormat="1" x14ac:dyDescent="0.15"/>
    <row r="2613" s="119" customFormat="1" x14ac:dyDescent="0.15"/>
    <row r="2614" s="119" customFormat="1" x14ac:dyDescent="0.15"/>
    <row r="2615" s="119" customFormat="1" x14ac:dyDescent="0.15"/>
    <row r="2616" s="119" customFormat="1" x14ac:dyDescent="0.15"/>
    <row r="2617" s="119" customFormat="1" x14ac:dyDescent="0.15"/>
    <row r="2618" s="119" customFormat="1" x14ac:dyDescent="0.15"/>
    <row r="2619" s="119" customFormat="1" x14ac:dyDescent="0.15"/>
    <row r="2620" s="119" customFormat="1" x14ac:dyDescent="0.15"/>
    <row r="2621" s="119" customFormat="1" x14ac:dyDescent="0.15"/>
    <row r="2622" s="119" customFormat="1" x14ac:dyDescent="0.15"/>
    <row r="2623" s="119" customFormat="1" x14ac:dyDescent="0.15"/>
    <row r="2624" s="119" customFormat="1" x14ac:dyDescent="0.15"/>
    <row r="2625" s="119" customFormat="1" x14ac:dyDescent="0.15"/>
    <row r="2626" s="119" customFormat="1" x14ac:dyDescent="0.15"/>
    <row r="2627" s="119" customFormat="1" x14ac:dyDescent="0.15"/>
    <row r="2628" s="119" customFormat="1" x14ac:dyDescent="0.15"/>
    <row r="2629" s="119" customFormat="1" x14ac:dyDescent="0.15"/>
    <row r="2630" s="119" customFormat="1" x14ac:dyDescent="0.15"/>
    <row r="2631" s="119" customFormat="1" x14ac:dyDescent="0.15"/>
    <row r="2632" s="119" customFormat="1" x14ac:dyDescent="0.15"/>
    <row r="2633" s="119" customFormat="1" x14ac:dyDescent="0.15"/>
    <row r="2634" s="119" customFormat="1" x14ac:dyDescent="0.15"/>
    <row r="2635" s="119" customFormat="1" x14ac:dyDescent="0.15"/>
    <row r="2636" s="119" customFormat="1" x14ac:dyDescent="0.15"/>
    <row r="2637" s="119" customFormat="1" x14ac:dyDescent="0.15"/>
    <row r="2638" s="119" customFormat="1" x14ac:dyDescent="0.15"/>
    <row r="2639" s="119" customFormat="1" x14ac:dyDescent="0.15"/>
    <row r="2640" s="119" customFormat="1" x14ac:dyDescent="0.15"/>
    <row r="2641" s="119" customFormat="1" x14ac:dyDescent="0.15"/>
    <row r="2642" s="119" customFormat="1" x14ac:dyDescent="0.15"/>
    <row r="2643" s="119" customFormat="1" x14ac:dyDescent="0.15"/>
    <row r="2644" s="119" customFormat="1" x14ac:dyDescent="0.15"/>
    <row r="2645" s="119" customFormat="1" x14ac:dyDescent="0.15"/>
    <row r="2646" s="119" customFormat="1" x14ac:dyDescent="0.15"/>
    <row r="2647" s="119" customFormat="1" x14ac:dyDescent="0.15"/>
    <row r="2648" s="119" customFormat="1" x14ac:dyDescent="0.15"/>
    <row r="2649" s="119" customFormat="1" x14ac:dyDescent="0.15"/>
    <row r="2650" s="119" customFormat="1" x14ac:dyDescent="0.15"/>
    <row r="2651" s="119" customFormat="1" x14ac:dyDescent="0.15"/>
    <row r="2652" s="119" customFormat="1" x14ac:dyDescent="0.15"/>
    <row r="2653" s="119" customFormat="1" x14ac:dyDescent="0.15"/>
    <row r="2654" s="119" customFormat="1" x14ac:dyDescent="0.15"/>
    <row r="2655" s="119" customFormat="1" x14ac:dyDescent="0.15"/>
    <row r="2656" s="119" customFormat="1" x14ac:dyDescent="0.15"/>
    <row r="2657" s="119" customFormat="1" x14ac:dyDescent="0.15"/>
    <row r="2658" s="119" customFormat="1" x14ac:dyDescent="0.15"/>
    <row r="2659" s="119" customFormat="1" x14ac:dyDescent="0.15"/>
    <row r="2660" s="119" customFormat="1" x14ac:dyDescent="0.15"/>
    <row r="2661" s="119" customFormat="1" x14ac:dyDescent="0.15"/>
    <row r="2662" s="119" customFormat="1" x14ac:dyDescent="0.15"/>
    <row r="2663" s="119" customFormat="1" x14ac:dyDescent="0.15"/>
    <row r="2664" s="119" customFormat="1" x14ac:dyDescent="0.15"/>
    <row r="2665" s="119" customFormat="1" x14ac:dyDescent="0.15"/>
    <row r="2666" s="119" customFormat="1" x14ac:dyDescent="0.15"/>
    <row r="2667" s="119" customFormat="1" x14ac:dyDescent="0.15"/>
    <row r="2668" s="119" customFormat="1" x14ac:dyDescent="0.15"/>
    <row r="2669" s="119" customFormat="1" x14ac:dyDescent="0.15"/>
    <row r="2670" s="119" customFormat="1" x14ac:dyDescent="0.15"/>
    <row r="2671" s="119" customFormat="1" x14ac:dyDescent="0.15"/>
    <row r="2672" s="119" customFormat="1" x14ac:dyDescent="0.15"/>
    <row r="2673" s="119" customFormat="1" x14ac:dyDescent="0.15"/>
    <row r="2674" s="119" customFormat="1" x14ac:dyDescent="0.15"/>
    <row r="2675" s="119" customFormat="1" x14ac:dyDescent="0.15"/>
    <row r="2676" s="119" customFormat="1" x14ac:dyDescent="0.15"/>
    <row r="2677" s="119" customFormat="1" x14ac:dyDescent="0.15"/>
    <row r="2678" s="119" customFormat="1" x14ac:dyDescent="0.15"/>
    <row r="2679" s="119" customFormat="1" x14ac:dyDescent="0.15"/>
    <row r="2680" s="119" customFormat="1" x14ac:dyDescent="0.15"/>
    <row r="2681" s="119" customFormat="1" x14ac:dyDescent="0.15"/>
    <row r="2682" s="119" customFormat="1" x14ac:dyDescent="0.15"/>
    <row r="2683" s="119" customFormat="1" x14ac:dyDescent="0.15"/>
    <row r="2684" s="119" customFormat="1" x14ac:dyDescent="0.15"/>
    <row r="2685" s="119" customFormat="1" x14ac:dyDescent="0.15"/>
    <row r="2686" s="119" customFormat="1" x14ac:dyDescent="0.15"/>
    <row r="2687" s="119" customFormat="1" x14ac:dyDescent="0.15"/>
    <row r="2688" s="119" customFormat="1" x14ac:dyDescent="0.15"/>
    <row r="2689" s="119" customFormat="1" x14ac:dyDescent="0.15"/>
    <row r="2690" s="119" customFormat="1" x14ac:dyDescent="0.15"/>
    <row r="2691" s="119" customFormat="1" x14ac:dyDescent="0.15"/>
    <row r="2692" s="119" customFormat="1" x14ac:dyDescent="0.15"/>
    <row r="2693" s="119" customFormat="1" x14ac:dyDescent="0.15"/>
    <row r="2694" s="119" customFormat="1" x14ac:dyDescent="0.15"/>
    <row r="2695" s="119" customFormat="1" x14ac:dyDescent="0.15"/>
    <row r="2696" s="119" customFormat="1" x14ac:dyDescent="0.15"/>
    <row r="2697" s="119" customFormat="1" x14ac:dyDescent="0.15"/>
    <row r="2698" s="119" customFormat="1" x14ac:dyDescent="0.15"/>
    <row r="2699" s="119" customFormat="1" x14ac:dyDescent="0.15"/>
    <row r="2700" s="119" customFormat="1" x14ac:dyDescent="0.15"/>
    <row r="2701" s="119" customFormat="1" x14ac:dyDescent="0.15"/>
    <row r="2702" s="119" customFormat="1" x14ac:dyDescent="0.15"/>
    <row r="2703" s="119" customFormat="1" x14ac:dyDescent="0.15"/>
    <row r="2704" s="119" customFormat="1" x14ac:dyDescent="0.15"/>
    <row r="2705" s="119" customFormat="1" x14ac:dyDescent="0.15"/>
    <row r="2706" s="119" customFormat="1" x14ac:dyDescent="0.15"/>
    <row r="2707" s="119" customFormat="1" x14ac:dyDescent="0.15"/>
    <row r="2708" s="119" customFormat="1" x14ac:dyDescent="0.15"/>
    <row r="2709" s="119" customFormat="1" x14ac:dyDescent="0.15"/>
    <row r="2710" s="119" customFormat="1" x14ac:dyDescent="0.15"/>
    <row r="2711" s="119" customFormat="1" x14ac:dyDescent="0.15"/>
    <row r="2712" s="119" customFormat="1" x14ac:dyDescent="0.15"/>
    <row r="2713" s="119" customFormat="1" x14ac:dyDescent="0.15"/>
    <row r="2714" s="119" customFormat="1" x14ac:dyDescent="0.15"/>
    <row r="2715" s="119" customFormat="1" x14ac:dyDescent="0.15"/>
    <row r="2716" s="119" customFormat="1" x14ac:dyDescent="0.15"/>
    <row r="2717" s="119" customFormat="1" x14ac:dyDescent="0.15"/>
    <row r="2718" s="119" customFormat="1" x14ac:dyDescent="0.15"/>
    <row r="2719" s="119" customFormat="1" x14ac:dyDescent="0.15"/>
    <row r="2720" s="119" customFormat="1" x14ac:dyDescent="0.15"/>
    <row r="2721" s="119" customFormat="1" x14ac:dyDescent="0.15"/>
    <row r="2722" s="119" customFormat="1" x14ac:dyDescent="0.15"/>
    <row r="2723" s="119" customFormat="1" x14ac:dyDescent="0.15"/>
    <row r="2724" s="119" customFormat="1" x14ac:dyDescent="0.15"/>
    <row r="2725" s="119" customFormat="1" x14ac:dyDescent="0.15"/>
    <row r="2726" s="119" customFormat="1" x14ac:dyDescent="0.15"/>
    <row r="2727" s="119" customFormat="1" x14ac:dyDescent="0.15"/>
    <row r="2728" s="119" customFormat="1" x14ac:dyDescent="0.15"/>
    <row r="2729" s="119" customFormat="1" x14ac:dyDescent="0.15"/>
    <row r="2730" s="119" customFormat="1" x14ac:dyDescent="0.15"/>
    <row r="2731" s="119" customFormat="1" x14ac:dyDescent="0.15"/>
    <row r="2732" s="119" customFormat="1" x14ac:dyDescent="0.15"/>
    <row r="2733" s="119" customFormat="1" x14ac:dyDescent="0.15"/>
    <row r="2734" s="119" customFormat="1" x14ac:dyDescent="0.15"/>
    <row r="2735" s="119" customFormat="1" x14ac:dyDescent="0.15"/>
    <row r="2736" s="119" customFormat="1" x14ac:dyDescent="0.15"/>
    <row r="2737" s="119" customFormat="1" x14ac:dyDescent="0.15"/>
    <row r="2738" s="119" customFormat="1" x14ac:dyDescent="0.15"/>
    <row r="2739" s="119" customFormat="1" x14ac:dyDescent="0.15"/>
    <row r="2740" s="119" customFormat="1" x14ac:dyDescent="0.15"/>
    <row r="2741" s="119" customFormat="1" x14ac:dyDescent="0.15"/>
    <row r="2742" s="119" customFormat="1" x14ac:dyDescent="0.15"/>
    <row r="2743" s="119" customFormat="1" x14ac:dyDescent="0.15"/>
    <row r="2744" s="119" customFormat="1" x14ac:dyDescent="0.15"/>
    <row r="2745" s="119" customFormat="1" x14ac:dyDescent="0.15"/>
    <row r="2746" s="119" customFormat="1" x14ac:dyDescent="0.15"/>
    <row r="2747" s="119" customFormat="1" x14ac:dyDescent="0.15"/>
    <row r="2748" s="119" customFormat="1" x14ac:dyDescent="0.15"/>
    <row r="2749" s="119" customFormat="1" x14ac:dyDescent="0.15"/>
    <row r="2750" s="119" customFormat="1" x14ac:dyDescent="0.15"/>
    <row r="2751" s="119" customFormat="1" x14ac:dyDescent="0.15"/>
    <row r="2752" s="119" customFormat="1" x14ac:dyDescent="0.15"/>
    <row r="2753" s="119" customFormat="1" x14ac:dyDescent="0.15"/>
    <row r="2754" s="119" customFormat="1" x14ac:dyDescent="0.15"/>
    <row r="2755" s="119" customFormat="1" x14ac:dyDescent="0.15"/>
    <row r="2756" s="119" customFormat="1" x14ac:dyDescent="0.15"/>
    <row r="2757" s="119" customFormat="1" x14ac:dyDescent="0.15"/>
    <row r="2758" s="119" customFormat="1" x14ac:dyDescent="0.15"/>
    <row r="2759" s="119" customFormat="1" x14ac:dyDescent="0.15"/>
    <row r="2760" s="119" customFormat="1" x14ac:dyDescent="0.15"/>
    <row r="2761" s="119" customFormat="1" x14ac:dyDescent="0.15"/>
    <row r="2762" s="119" customFormat="1" x14ac:dyDescent="0.15"/>
    <row r="2763" s="119" customFormat="1" x14ac:dyDescent="0.15"/>
    <row r="2764" s="119" customFormat="1" x14ac:dyDescent="0.15"/>
    <row r="2765" s="119" customFormat="1" x14ac:dyDescent="0.15"/>
    <row r="2766" s="119" customFormat="1" x14ac:dyDescent="0.15"/>
    <row r="2767" s="119" customFormat="1" x14ac:dyDescent="0.15"/>
    <row r="2768" s="119" customFormat="1" x14ac:dyDescent="0.15"/>
    <row r="2769" s="119" customFormat="1" x14ac:dyDescent="0.15"/>
    <row r="2770" s="119" customFormat="1" x14ac:dyDescent="0.15"/>
    <row r="2771" s="119" customFormat="1" x14ac:dyDescent="0.15"/>
    <row r="2772" s="119" customFormat="1" x14ac:dyDescent="0.15"/>
    <row r="2773" s="119" customFormat="1" x14ac:dyDescent="0.15"/>
    <row r="2774" s="119" customFormat="1" x14ac:dyDescent="0.15"/>
    <row r="2775" s="119" customFormat="1" x14ac:dyDescent="0.15"/>
    <row r="2776" s="119" customFormat="1" x14ac:dyDescent="0.15"/>
    <row r="2777" s="119" customFormat="1" x14ac:dyDescent="0.15"/>
    <row r="2778" s="119" customFormat="1" x14ac:dyDescent="0.15"/>
    <row r="2779" s="119" customFormat="1" x14ac:dyDescent="0.15"/>
    <row r="2780" s="119" customFormat="1" x14ac:dyDescent="0.15"/>
    <row r="2781" s="119" customFormat="1" x14ac:dyDescent="0.15"/>
    <row r="2782" s="119" customFormat="1" x14ac:dyDescent="0.15"/>
    <row r="2783" s="119" customFormat="1" x14ac:dyDescent="0.15"/>
    <row r="2784" s="119" customFormat="1" x14ac:dyDescent="0.15"/>
    <row r="2785" s="119" customFormat="1" x14ac:dyDescent="0.15"/>
    <row r="2786" s="119" customFormat="1" x14ac:dyDescent="0.15"/>
    <row r="2787" s="119" customFormat="1" x14ac:dyDescent="0.15"/>
    <row r="2788" s="119" customFormat="1" x14ac:dyDescent="0.15"/>
    <row r="2789" s="119" customFormat="1" x14ac:dyDescent="0.15"/>
    <row r="2790" s="119" customFormat="1" x14ac:dyDescent="0.15"/>
    <row r="2791" s="119" customFormat="1" x14ac:dyDescent="0.15"/>
    <row r="2792" s="119" customFormat="1" x14ac:dyDescent="0.15"/>
    <row r="2793" s="119" customFormat="1" x14ac:dyDescent="0.15"/>
    <row r="2794" s="119" customFormat="1" x14ac:dyDescent="0.15"/>
    <row r="2795" s="119" customFormat="1" x14ac:dyDescent="0.15"/>
    <row r="2796" s="119" customFormat="1" x14ac:dyDescent="0.15"/>
    <row r="2797" s="119" customFormat="1" x14ac:dyDescent="0.15"/>
    <row r="2798" s="119" customFormat="1" x14ac:dyDescent="0.15"/>
    <row r="2799" s="119" customFormat="1" x14ac:dyDescent="0.15"/>
    <row r="2800" s="119" customFormat="1" x14ac:dyDescent="0.15"/>
    <row r="2801" s="119" customFormat="1" x14ac:dyDescent="0.15"/>
    <row r="2802" s="119" customFormat="1" x14ac:dyDescent="0.15"/>
    <row r="2803" s="119" customFormat="1" x14ac:dyDescent="0.15"/>
    <row r="2804" s="119" customFormat="1" x14ac:dyDescent="0.15"/>
    <row r="2805" s="119" customFormat="1" x14ac:dyDescent="0.15"/>
    <row r="2806" s="119" customFormat="1" x14ac:dyDescent="0.15"/>
    <row r="2807" s="119" customFormat="1" x14ac:dyDescent="0.15"/>
    <row r="2808" s="119" customFormat="1" x14ac:dyDescent="0.15"/>
    <row r="2809" s="119" customFormat="1" x14ac:dyDescent="0.15"/>
    <row r="2810" s="119" customFormat="1" x14ac:dyDescent="0.15"/>
    <row r="2811" s="119" customFormat="1" x14ac:dyDescent="0.15"/>
    <row r="2812" s="119" customFormat="1" x14ac:dyDescent="0.15"/>
    <row r="2813" s="119" customFormat="1" x14ac:dyDescent="0.15"/>
    <row r="2814" s="119" customFormat="1" x14ac:dyDescent="0.15"/>
    <row r="2815" s="119" customFormat="1" x14ac:dyDescent="0.15"/>
    <row r="2816" s="119" customFormat="1" x14ac:dyDescent="0.15"/>
    <row r="2817" s="119" customFormat="1" x14ac:dyDescent="0.15"/>
    <row r="2818" s="119" customFormat="1" x14ac:dyDescent="0.15"/>
    <row r="2819" s="119" customFormat="1" x14ac:dyDescent="0.15"/>
    <row r="2820" s="119" customFormat="1" x14ac:dyDescent="0.15"/>
    <row r="2821" s="119" customFormat="1" x14ac:dyDescent="0.15"/>
    <row r="2822" s="119" customFormat="1" x14ac:dyDescent="0.15"/>
    <row r="2823" s="119" customFormat="1" x14ac:dyDescent="0.15"/>
    <row r="2824" s="119" customFormat="1" x14ac:dyDescent="0.15"/>
    <row r="2825" s="119" customFormat="1" x14ac:dyDescent="0.15"/>
    <row r="2826" s="119" customFormat="1" x14ac:dyDescent="0.15"/>
    <row r="2827" s="119" customFormat="1" x14ac:dyDescent="0.15"/>
    <row r="2828" s="119" customFormat="1" x14ac:dyDescent="0.15"/>
    <row r="2829" s="119" customFormat="1" x14ac:dyDescent="0.15"/>
    <row r="2830" s="119" customFormat="1" x14ac:dyDescent="0.15"/>
    <row r="2831" s="119" customFormat="1" x14ac:dyDescent="0.15"/>
    <row r="2832" s="119" customFormat="1" x14ac:dyDescent="0.15"/>
    <row r="2833" s="119" customFormat="1" x14ac:dyDescent="0.15"/>
    <row r="2834" s="119" customFormat="1" x14ac:dyDescent="0.15"/>
    <row r="2835" s="119" customFormat="1" x14ac:dyDescent="0.15"/>
    <row r="2836" s="119" customFormat="1" x14ac:dyDescent="0.15"/>
    <row r="2837" s="119" customFormat="1" x14ac:dyDescent="0.15"/>
    <row r="2838" s="119" customFormat="1" x14ac:dyDescent="0.15"/>
    <row r="2839" s="119" customFormat="1" x14ac:dyDescent="0.15"/>
    <row r="2840" s="119" customFormat="1" x14ac:dyDescent="0.15"/>
    <row r="2841" s="119" customFormat="1" x14ac:dyDescent="0.15"/>
    <row r="2842" s="119" customFormat="1" x14ac:dyDescent="0.15"/>
    <row r="2843" s="119" customFormat="1" x14ac:dyDescent="0.15"/>
    <row r="2844" s="119" customFormat="1" x14ac:dyDescent="0.15"/>
    <row r="2845" s="119" customFormat="1" x14ac:dyDescent="0.15"/>
    <row r="2846" s="119" customFormat="1" x14ac:dyDescent="0.15"/>
    <row r="2847" s="119" customFormat="1" x14ac:dyDescent="0.15"/>
    <row r="2848" s="119" customFormat="1" x14ac:dyDescent="0.15"/>
    <row r="2849" s="119" customFormat="1" x14ac:dyDescent="0.15"/>
    <row r="2850" s="119" customFormat="1" x14ac:dyDescent="0.15"/>
    <row r="2851" s="119" customFormat="1" x14ac:dyDescent="0.15"/>
    <row r="2852" s="119" customFormat="1" x14ac:dyDescent="0.15"/>
    <row r="2853" s="119" customFormat="1" x14ac:dyDescent="0.15"/>
    <row r="2854" s="119" customFormat="1" x14ac:dyDescent="0.15"/>
    <row r="2855" s="119" customFormat="1" x14ac:dyDescent="0.15"/>
    <row r="2856" s="119" customFormat="1" x14ac:dyDescent="0.15"/>
    <row r="2857" s="119" customFormat="1" x14ac:dyDescent="0.15"/>
    <row r="2858" s="119" customFormat="1" x14ac:dyDescent="0.15"/>
    <row r="2859" s="119" customFormat="1" x14ac:dyDescent="0.15"/>
    <row r="2860" s="119" customFormat="1" x14ac:dyDescent="0.15"/>
    <row r="2861" s="119" customFormat="1" x14ac:dyDescent="0.15"/>
    <row r="2862" s="119" customFormat="1" x14ac:dyDescent="0.15"/>
    <row r="2863" s="119" customFormat="1" x14ac:dyDescent="0.15"/>
    <row r="2864" s="119" customFormat="1" x14ac:dyDescent="0.15"/>
    <row r="2865" s="119" customFormat="1" x14ac:dyDescent="0.15"/>
    <row r="2866" s="119" customFormat="1" x14ac:dyDescent="0.15"/>
    <row r="2867" s="119" customFormat="1" x14ac:dyDescent="0.15"/>
    <row r="2868" s="119" customFormat="1" x14ac:dyDescent="0.15"/>
    <row r="2869" s="119" customFormat="1" x14ac:dyDescent="0.15"/>
    <row r="2870" s="119" customFormat="1" x14ac:dyDescent="0.15"/>
    <row r="2871" s="119" customFormat="1" x14ac:dyDescent="0.15"/>
    <row r="2872" s="119" customFormat="1" x14ac:dyDescent="0.15"/>
    <row r="2873" s="119" customFormat="1" x14ac:dyDescent="0.15"/>
    <row r="2874" s="119" customFormat="1" x14ac:dyDescent="0.15"/>
    <row r="2875" s="119" customFormat="1" x14ac:dyDescent="0.15"/>
    <row r="2876" s="119" customFormat="1" x14ac:dyDescent="0.15"/>
    <row r="2877" s="119" customFormat="1" x14ac:dyDescent="0.15"/>
    <row r="2878" s="119" customFormat="1" x14ac:dyDescent="0.15"/>
    <row r="2879" s="119" customFormat="1" x14ac:dyDescent="0.15"/>
    <row r="2880" s="119" customFormat="1" x14ac:dyDescent="0.15"/>
    <row r="2881" s="119" customFormat="1" x14ac:dyDescent="0.15"/>
    <row r="2882" s="119" customFormat="1" x14ac:dyDescent="0.15"/>
    <row r="2883" s="119" customFormat="1" x14ac:dyDescent="0.15"/>
    <row r="2884" s="119" customFormat="1" x14ac:dyDescent="0.15"/>
    <row r="2885" s="119" customFormat="1" x14ac:dyDescent="0.15"/>
    <row r="2886" s="119" customFormat="1" x14ac:dyDescent="0.15"/>
    <row r="2887" s="119" customFormat="1" x14ac:dyDescent="0.15"/>
    <row r="2888" s="119" customFormat="1" x14ac:dyDescent="0.15"/>
    <row r="2889" s="119" customFormat="1" x14ac:dyDescent="0.15"/>
    <row r="2890" s="119" customFormat="1" x14ac:dyDescent="0.15"/>
    <row r="2891" s="119" customFormat="1" x14ac:dyDescent="0.15"/>
    <row r="2892" s="119" customFormat="1" x14ac:dyDescent="0.15"/>
    <row r="2893" s="119" customFormat="1" x14ac:dyDescent="0.15"/>
    <row r="2894" s="119" customFormat="1" x14ac:dyDescent="0.15"/>
    <row r="2895" s="119" customFormat="1" x14ac:dyDescent="0.15"/>
    <row r="2896" s="119" customFormat="1" x14ac:dyDescent="0.15"/>
    <row r="2897" s="119" customFormat="1" x14ac:dyDescent="0.15"/>
    <row r="2898" s="119" customFormat="1" x14ac:dyDescent="0.15"/>
    <row r="2899" s="119" customFormat="1" x14ac:dyDescent="0.15"/>
    <row r="2900" s="119" customFormat="1" x14ac:dyDescent="0.15"/>
    <row r="2901" s="119" customFormat="1" x14ac:dyDescent="0.15"/>
    <row r="2902" s="119" customFormat="1" x14ac:dyDescent="0.15"/>
    <row r="2903" s="119" customFormat="1" x14ac:dyDescent="0.15"/>
    <row r="2904" s="119" customFormat="1" x14ac:dyDescent="0.15"/>
    <row r="2905" s="119" customFormat="1" x14ac:dyDescent="0.15"/>
    <row r="2906" s="119" customFormat="1" x14ac:dyDescent="0.15"/>
    <row r="2907" s="119" customFormat="1" x14ac:dyDescent="0.15"/>
    <row r="2908" s="119" customFormat="1" x14ac:dyDescent="0.15"/>
    <row r="2909" s="119" customFormat="1" x14ac:dyDescent="0.15"/>
    <row r="2910" s="119" customFormat="1" x14ac:dyDescent="0.15"/>
    <row r="2911" s="119" customFormat="1" x14ac:dyDescent="0.15"/>
    <row r="2912" s="119" customFormat="1" x14ac:dyDescent="0.15"/>
    <row r="2913" s="119" customFormat="1" x14ac:dyDescent="0.15"/>
    <row r="2914" s="119" customFormat="1" x14ac:dyDescent="0.15"/>
    <row r="2915" s="119" customFormat="1" x14ac:dyDescent="0.15"/>
    <row r="2916" s="119" customFormat="1" x14ac:dyDescent="0.15"/>
    <row r="2917" s="119" customFormat="1" x14ac:dyDescent="0.15"/>
    <row r="2918" s="119" customFormat="1" x14ac:dyDescent="0.15"/>
    <row r="2919" s="119" customFormat="1" x14ac:dyDescent="0.15"/>
    <row r="2920" s="119" customFormat="1" x14ac:dyDescent="0.15"/>
    <row r="2921" s="119" customFormat="1" x14ac:dyDescent="0.15"/>
    <row r="2922" s="119" customFormat="1" x14ac:dyDescent="0.15"/>
    <row r="2923" s="119" customFormat="1" x14ac:dyDescent="0.15"/>
    <row r="2924" s="119" customFormat="1" x14ac:dyDescent="0.15"/>
    <row r="2925" s="119" customFormat="1" x14ac:dyDescent="0.15"/>
    <row r="2926" s="119" customFormat="1" x14ac:dyDescent="0.15"/>
    <row r="2927" s="119" customFormat="1" x14ac:dyDescent="0.15"/>
    <row r="2928" s="119" customFormat="1" x14ac:dyDescent="0.15"/>
    <row r="2929" s="119" customFormat="1" x14ac:dyDescent="0.15"/>
    <row r="2930" s="119" customFormat="1" x14ac:dyDescent="0.15"/>
    <row r="2931" s="119" customFormat="1" x14ac:dyDescent="0.15"/>
    <row r="2932" s="119" customFormat="1" x14ac:dyDescent="0.15"/>
    <row r="2933" s="119" customFormat="1" x14ac:dyDescent="0.15"/>
    <row r="2934" s="119" customFormat="1" x14ac:dyDescent="0.15"/>
    <row r="2935" s="119" customFormat="1" x14ac:dyDescent="0.15"/>
    <row r="2936" s="119" customFormat="1" x14ac:dyDescent="0.15"/>
    <row r="2937" s="119" customFormat="1" x14ac:dyDescent="0.15"/>
    <row r="2938" s="119" customFormat="1" x14ac:dyDescent="0.15"/>
    <row r="2939" s="119" customFormat="1" x14ac:dyDescent="0.15"/>
    <row r="2940" s="119" customFormat="1" x14ac:dyDescent="0.15"/>
    <row r="2941" s="119" customFormat="1" x14ac:dyDescent="0.15"/>
    <row r="2942" s="119" customFormat="1" x14ac:dyDescent="0.15"/>
    <row r="2943" s="119" customFormat="1" x14ac:dyDescent="0.15"/>
    <row r="2944" s="119" customFormat="1" x14ac:dyDescent="0.15"/>
    <row r="2945" s="119" customFormat="1" x14ac:dyDescent="0.15"/>
    <row r="2946" s="119" customFormat="1" x14ac:dyDescent="0.15"/>
    <row r="2947" s="119" customFormat="1" x14ac:dyDescent="0.15"/>
    <row r="2948" s="119" customFormat="1" x14ac:dyDescent="0.15"/>
    <row r="2949" s="119" customFormat="1" x14ac:dyDescent="0.15"/>
    <row r="2950" s="119" customFormat="1" x14ac:dyDescent="0.15"/>
    <row r="2951" s="119" customFormat="1" x14ac:dyDescent="0.15"/>
    <row r="2952" s="119" customFormat="1" x14ac:dyDescent="0.15"/>
    <row r="2953" s="119" customFormat="1" x14ac:dyDescent="0.15"/>
    <row r="2954" s="119" customFormat="1" x14ac:dyDescent="0.15"/>
    <row r="2955" s="119" customFormat="1" x14ac:dyDescent="0.15"/>
    <row r="2956" s="119" customFormat="1" x14ac:dyDescent="0.15"/>
    <row r="2957" s="119" customFormat="1" x14ac:dyDescent="0.15"/>
    <row r="2958" s="119" customFormat="1" x14ac:dyDescent="0.15"/>
    <row r="2959" s="119" customFormat="1" x14ac:dyDescent="0.15"/>
    <row r="2960" s="119" customFormat="1" x14ac:dyDescent="0.15"/>
    <row r="2961" s="119" customFormat="1" x14ac:dyDescent="0.15"/>
    <row r="2962" s="119" customFormat="1" x14ac:dyDescent="0.15"/>
    <row r="2963" s="119" customFormat="1" x14ac:dyDescent="0.15"/>
    <row r="2964" s="119" customFormat="1" x14ac:dyDescent="0.15"/>
    <row r="2965" s="119" customFormat="1" x14ac:dyDescent="0.15"/>
    <row r="2966" s="119" customFormat="1" x14ac:dyDescent="0.15"/>
    <row r="2967" s="119" customFormat="1" x14ac:dyDescent="0.15"/>
    <row r="2968" s="119" customFormat="1" x14ac:dyDescent="0.15"/>
    <row r="2969" s="119" customFormat="1" x14ac:dyDescent="0.15"/>
    <row r="2970" s="119" customFormat="1" x14ac:dyDescent="0.15"/>
    <row r="2971" s="119" customFormat="1" x14ac:dyDescent="0.15"/>
    <row r="2972" s="119" customFormat="1" x14ac:dyDescent="0.15"/>
    <row r="2973" s="119" customFormat="1" x14ac:dyDescent="0.15"/>
    <row r="2974" s="119" customFormat="1" x14ac:dyDescent="0.15"/>
    <row r="2975" s="119" customFormat="1" x14ac:dyDescent="0.15"/>
    <row r="2976" s="119" customFormat="1" x14ac:dyDescent="0.15"/>
    <row r="2977" s="119" customFormat="1" x14ac:dyDescent="0.15"/>
    <row r="2978" s="119" customFormat="1" x14ac:dyDescent="0.15"/>
    <row r="2979" s="119" customFormat="1" x14ac:dyDescent="0.15"/>
    <row r="2980" s="119" customFormat="1" x14ac:dyDescent="0.15"/>
    <row r="2981" s="119" customFormat="1" x14ac:dyDescent="0.15"/>
    <row r="2982" s="119" customFormat="1" x14ac:dyDescent="0.15"/>
    <row r="2983" s="119" customFormat="1" x14ac:dyDescent="0.15"/>
    <row r="2984" s="119" customFormat="1" x14ac:dyDescent="0.15"/>
    <row r="2985" s="119" customFormat="1" x14ac:dyDescent="0.15"/>
    <row r="2986" s="119" customFormat="1" x14ac:dyDescent="0.15"/>
    <row r="2987" s="119" customFormat="1" x14ac:dyDescent="0.15"/>
    <row r="2988" s="119" customFormat="1" x14ac:dyDescent="0.15"/>
    <row r="2989" s="119" customFormat="1" x14ac:dyDescent="0.15"/>
    <row r="2990" s="119" customFormat="1" x14ac:dyDescent="0.15"/>
    <row r="2991" s="119" customFormat="1" x14ac:dyDescent="0.15"/>
    <row r="2992" s="119" customFormat="1" x14ac:dyDescent="0.15"/>
    <row r="2993" s="119" customFormat="1" x14ac:dyDescent="0.15"/>
    <row r="2994" s="119" customFormat="1" x14ac:dyDescent="0.15"/>
    <row r="2995" s="119" customFormat="1" x14ac:dyDescent="0.15"/>
    <row r="2996" s="119" customFormat="1" x14ac:dyDescent="0.15"/>
    <row r="2997" s="119" customFormat="1" x14ac:dyDescent="0.15"/>
    <row r="2998" s="119" customFormat="1" x14ac:dyDescent="0.15"/>
    <row r="2999" s="119" customFormat="1" x14ac:dyDescent="0.15"/>
    <row r="3000" s="119" customFormat="1" x14ac:dyDescent="0.15"/>
    <row r="3001" s="119" customFormat="1" x14ac:dyDescent="0.15"/>
    <row r="3002" s="119" customFormat="1" x14ac:dyDescent="0.15"/>
    <row r="3003" s="119" customFormat="1" x14ac:dyDescent="0.15"/>
    <row r="3004" s="119" customFormat="1" x14ac:dyDescent="0.15"/>
    <row r="3005" s="119" customFormat="1" x14ac:dyDescent="0.15"/>
    <row r="3006" s="119" customFormat="1" x14ac:dyDescent="0.15"/>
    <row r="3007" s="119" customFormat="1" x14ac:dyDescent="0.15"/>
    <row r="3008" s="119" customFormat="1" x14ac:dyDescent="0.15"/>
    <row r="3009" s="119" customFormat="1" x14ac:dyDescent="0.15"/>
    <row r="3010" s="119" customFormat="1" x14ac:dyDescent="0.15"/>
    <row r="3011" s="119" customFormat="1" x14ac:dyDescent="0.15"/>
    <row r="3012" s="119" customFormat="1" x14ac:dyDescent="0.15"/>
  </sheetData>
  <sheetProtection algorithmName="SHA-512" hashValue="LTEYi8rCmGYrkIGPLv+r6yc9v4RSYvLsLxRqPFKht+HXYbeBp4eMmCINlbwZ+uWuDHaJ2PcrFiuvG4yDszhDaQ==" saltValue="f/0hFHMPxR3rh/xDdKa+CQ==" spinCount="100000" sheet="1" objects="1" scenarios="1"/>
  <mergeCells count="1205">
    <mergeCell ref="A222:A223"/>
    <mergeCell ref="B222:C223"/>
    <mergeCell ref="D222:D223"/>
    <mergeCell ref="E222:G222"/>
    <mergeCell ref="H222:H223"/>
    <mergeCell ref="I222:I223"/>
    <mergeCell ref="J222:J223"/>
    <mergeCell ref="A241:J241"/>
    <mergeCell ref="B239:C239"/>
    <mergeCell ref="B240:C240"/>
    <mergeCell ref="B235:C235"/>
    <mergeCell ref="B236:C236"/>
    <mergeCell ref="B237:C237"/>
    <mergeCell ref="B238:C238"/>
    <mergeCell ref="B224:C224"/>
    <mergeCell ref="B225:C225"/>
    <mergeCell ref="B226:C226"/>
    <mergeCell ref="A227:J227"/>
    <mergeCell ref="A228:Q228"/>
    <mergeCell ref="B229:N229"/>
    <mergeCell ref="P229:Q229"/>
    <mergeCell ref="A230:Q230"/>
    <mergeCell ref="A231:A232"/>
    <mergeCell ref="B231:C232"/>
    <mergeCell ref="D231:D232"/>
    <mergeCell ref="E231:G231"/>
    <mergeCell ref="H231:H232"/>
    <mergeCell ref="I231:I232"/>
    <mergeCell ref="J231:J232"/>
    <mergeCell ref="B233:C233"/>
    <mergeCell ref="B234:C234"/>
    <mergeCell ref="B162:C162"/>
    <mergeCell ref="B200:C200"/>
    <mergeCell ref="B203:C203"/>
    <mergeCell ref="B201:C201"/>
    <mergeCell ref="B204:C204"/>
    <mergeCell ref="B205:C205"/>
    <mergeCell ref="B206:C206"/>
    <mergeCell ref="B202:C202"/>
    <mergeCell ref="A208:Q208"/>
    <mergeCell ref="B209:N209"/>
    <mergeCell ref="P209:Q209"/>
    <mergeCell ref="A210:Q210"/>
    <mergeCell ref="A211:A212"/>
    <mergeCell ref="B211:C212"/>
    <mergeCell ref="D211:D212"/>
    <mergeCell ref="E211:G211"/>
    <mergeCell ref="H211:H212"/>
    <mergeCell ref="I211:I212"/>
    <mergeCell ref="J211:J212"/>
    <mergeCell ref="A187:Q187"/>
    <mergeCell ref="B188:N188"/>
    <mergeCell ref="P188:Q188"/>
    <mergeCell ref="A164:Q164"/>
    <mergeCell ref="B165:N165"/>
    <mergeCell ref="P165:Q165"/>
    <mergeCell ref="B169:C169"/>
    <mergeCell ref="A171:J171"/>
    <mergeCell ref="A166:Q166"/>
    <mergeCell ref="A167:A168"/>
    <mergeCell ref="B167:C168"/>
    <mergeCell ref="D167:D168"/>
    <mergeCell ref="E167:G167"/>
    <mergeCell ref="B130:N130"/>
    <mergeCell ref="P130:Q130"/>
    <mergeCell ref="A5:Q5"/>
    <mergeCell ref="A114:Q114"/>
    <mergeCell ref="B115:N115"/>
    <mergeCell ref="P115:Q115"/>
    <mergeCell ref="I9:I10"/>
    <mergeCell ref="J9:J10"/>
    <mergeCell ref="L9:Q12"/>
    <mergeCell ref="B11:C11"/>
    <mergeCell ref="A12:J12"/>
    <mergeCell ref="A6:Q6"/>
    <mergeCell ref="B7:N7"/>
    <mergeCell ref="P7:Q7"/>
    <mergeCell ref="A8:Q8"/>
    <mergeCell ref="A9:A10"/>
    <mergeCell ref="B9:C10"/>
    <mergeCell ref="A120:J120"/>
    <mergeCell ref="P21:Q21"/>
    <mergeCell ref="A22:Q22"/>
    <mergeCell ref="A23:A24"/>
    <mergeCell ref="B23:C24"/>
    <mergeCell ref="D23:D24"/>
    <mergeCell ref="E23:G23"/>
    <mergeCell ref="I23:I24"/>
    <mergeCell ref="J23:J24"/>
    <mergeCell ref="L23:Q26"/>
    <mergeCell ref="B25:C25"/>
    <mergeCell ref="A26:J26"/>
    <mergeCell ref="A20:Q20"/>
    <mergeCell ref="B21:N21"/>
    <mergeCell ref="H23:H24"/>
    <mergeCell ref="D9:D10"/>
    <mergeCell ref="E9:G9"/>
    <mergeCell ref="H9:H10"/>
    <mergeCell ref="A13:Q13"/>
    <mergeCell ref="B14:N14"/>
    <mergeCell ref="P14:Q14"/>
    <mergeCell ref="A15:Q15"/>
    <mergeCell ref="A16:A17"/>
    <mergeCell ref="B16:C17"/>
    <mergeCell ref="D16:D17"/>
    <mergeCell ref="E16:G16"/>
    <mergeCell ref="H16:H17"/>
    <mergeCell ref="I16:I17"/>
    <mergeCell ref="J16:J17"/>
    <mergeCell ref="L16:Q19"/>
    <mergeCell ref="B18:C18"/>
    <mergeCell ref="A19:J19"/>
    <mergeCell ref="B39:C39"/>
    <mergeCell ref="E39:F39"/>
    <mergeCell ref="B40:C40"/>
    <mergeCell ref="E40:F40"/>
    <mergeCell ref="A36:Q36"/>
    <mergeCell ref="A37:A38"/>
    <mergeCell ref="B37:C38"/>
    <mergeCell ref="D37:D38"/>
    <mergeCell ref="E37:G37"/>
    <mergeCell ref="H37:H38"/>
    <mergeCell ref="I37:I38"/>
    <mergeCell ref="J37:J38"/>
    <mergeCell ref="L37:Q41"/>
    <mergeCell ref="E38:F38"/>
    <mergeCell ref="A34:Q34"/>
    <mergeCell ref="B35:N35"/>
    <mergeCell ref="P35:Q35"/>
    <mergeCell ref="B47:C47"/>
    <mergeCell ref="B49:C49"/>
    <mergeCell ref="B50:C50"/>
    <mergeCell ref="B58:C58"/>
    <mergeCell ref="B59:C59"/>
    <mergeCell ref="B43:N43"/>
    <mergeCell ref="P43:Q43"/>
    <mergeCell ref="A44:Q44"/>
    <mergeCell ref="A45:A46"/>
    <mergeCell ref="B45:C46"/>
    <mergeCell ref="D45:D46"/>
    <mergeCell ref="E45:G45"/>
    <mergeCell ref="H45:H46"/>
    <mergeCell ref="I45:I46"/>
    <mergeCell ref="J45:J46"/>
    <mergeCell ref="A41:J41"/>
    <mergeCell ref="A42:Q42"/>
    <mergeCell ref="B48:C48"/>
    <mergeCell ref="B51:C51"/>
    <mergeCell ref="B55:C55"/>
    <mergeCell ref="B56:C56"/>
    <mergeCell ref="B53:C53"/>
    <mergeCell ref="J64:J65"/>
    <mergeCell ref="B66:C66"/>
    <mergeCell ref="B68:C68"/>
    <mergeCell ref="A69:J69"/>
    <mergeCell ref="A70:Q70"/>
    <mergeCell ref="A64:A65"/>
    <mergeCell ref="B64:C65"/>
    <mergeCell ref="D64:D65"/>
    <mergeCell ref="E64:G64"/>
    <mergeCell ref="H64:H65"/>
    <mergeCell ref="I64:I65"/>
    <mergeCell ref="A60:J60"/>
    <mergeCell ref="A61:Q61"/>
    <mergeCell ref="B62:N62"/>
    <mergeCell ref="P62:Q62"/>
    <mergeCell ref="A63:Q63"/>
    <mergeCell ref="A83:Q83"/>
    <mergeCell ref="B67:C67"/>
    <mergeCell ref="B84:N84"/>
    <mergeCell ref="P84:Q84"/>
    <mergeCell ref="A85:Q85"/>
    <mergeCell ref="M73:Q82"/>
    <mergeCell ref="B75:C75"/>
    <mergeCell ref="B78:C78"/>
    <mergeCell ref="B80:C80"/>
    <mergeCell ref="A82:K82"/>
    <mergeCell ref="B71:N71"/>
    <mergeCell ref="P71:Q71"/>
    <mergeCell ref="A72:Q72"/>
    <mergeCell ref="A73:A74"/>
    <mergeCell ref="B73:C74"/>
    <mergeCell ref="D73:G73"/>
    <mergeCell ref="H73:H74"/>
    <mergeCell ref="I73:I74"/>
    <mergeCell ref="J73:J74"/>
    <mergeCell ref="K73:K74"/>
    <mergeCell ref="B79:C79"/>
    <mergeCell ref="B76:C76"/>
    <mergeCell ref="B77:C77"/>
    <mergeCell ref="B81:C81"/>
    <mergeCell ref="B95:C95"/>
    <mergeCell ref="B98:C98"/>
    <mergeCell ref="A99:J99"/>
    <mergeCell ref="A100:Q100"/>
    <mergeCell ref="A92:Q92"/>
    <mergeCell ref="A93:A94"/>
    <mergeCell ref="B93:C94"/>
    <mergeCell ref="D93:D94"/>
    <mergeCell ref="E93:G93"/>
    <mergeCell ref="H93:H94"/>
    <mergeCell ref="I93:I94"/>
    <mergeCell ref="J93:J94"/>
    <mergeCell ref="J86:J87"/>
    <mergeCell ref="L86:Q89"/>
    <mergeCell ref="B88:C88"/>
    <mergeCell ref="A89:J89"/>
    <mergeCell ref="A90:Q90"/>
    <mergeCell ref="B91:N91"/>
    <mergeCell ref="P91:Q91"/>
    <mergeCell ref="A86:A87"/>
    <mergeCell ref="B86:C87"/>
    <mergeCell ref="D86:D87"/>
    <mergeCell ref="E86:G86"/>
    <mergeCell ref="H86:H87"/>
    <mergeCell ref="I86:I87"/>
    <mergeCell ref="B96:C96"/>
    <mergeCell ref="B97:C97"/>
    <mergeCell ref="B101:N101"/>
    <mergeCell ref="P101:Q101"/>
    <mergeCell ref="A102:Q102"/>
    <mergeCell ref="A103:A104"/>
    <mergeCell ref="B103:C104"/>
    <mergeCell ref="D103:D104"/>
    <mergeCell ref="E103:G103"/>
    <mergeCell ref="H103:H104"/>
    <mergeCell ref="I103:I104"/>
    <mergeCell ref="J103:J104"/>
    <mergeCell ref="A116:Q116"/>
    <mergeCell ref="A117:A118"/>
    <mergeCell ref="B117:C118"/>
    <mergeCell ref="D117:D118"/>
    <mergeCell ref="E117:G117"/>
    <mergeCell ref="H117:H118"/>
    <mergeCell ref="I117:I118"/>
    <mergeCell ref="J117:J118"/>
    <mergeCell ref="A107:Q107"/>
    <mergeCell ref="B108:N108"/>
    <mergeCell ref="P108:Q108"/>
    <mergeCell ref="A109:Q109"/>
    <mergeCell ref="A110:A111"/>
    <mergeCell ref="B110:C111"/>
    <mergeCell ref="D110:D111"/>
    <mergeCell ref="E110:G110"/>
    <mergeCell ref="H110:H111"/>
    <mergeCell ref="I110:I111"/>
    <mergeCell ref="J110:J111"/>
    <mergeCell ref="B112:C112"/>
    <mergeCell ref="A131:Q131"/>
    <mergeCell ref="A132:A133"/>
    <mergeCell ref="B132:C133"/>
    <mergeCell ref="D132:D133"/>
    <mergeCell ref="E132:G132"/>
    <mergeCell ref="H132:H133"/>
    <mergeCell ref="I132:I133"/>
    <mergeCell ref="J132:J133"/>
    <mergeCell ref="B139:C139"/>
    <mergeCell ref="B134:C134"/>
    <mergeCell ref="B135:C135"/>
    <mergeCell ref="B136:C136"/>
    <mergeCell ref="B137:C137"/>
    <mergeCell ref="A128:J128"/>
    <mergeCell ref="A141:Q141"/>
    <mergeCell ref="B105:C105"/>
    <mergeCell ref="A106:J106"/>
    <mergeCell ref="A113:J113"/>
    <mergeCell ref="A121:Q121"/>
    <mergeCell ref="B122:N122"/>
    <mergeCell ref="P122:Q122"/>
    <mergeCell ref="A123:Q123"/>
    <mergeCell ref="A124:A125"/>
    <mergeCell ref="B124:C125"/>
    <mergeCell ref="D124:D125"/>
    <mergeCell ref="E124:G124"/>
    <mergeCell ref="H124:H125"/>
    <mergeCell ref="I124:I125"/>
    <mergeCell ref="J124:J125"/>
    <mergeCell ref="B126:C126"/>
    <mergeCell ref="B127:C127"/>
    <mergeCell ref="A129:Q129"/>
    <mergeCell ref="H167:H168"/>
    <mergeCell ref="I167:I168"/>
    <mergeCell ref="J167:J168"/>
    <mergeCell ref="B170:C170"/>
    <mergeCell ref="A179:Q179"/>
    <mergeCell ref="B180:N180"/>
    <mergeCell ref="P180:Q180"/>
    <mergeCell ref="A181:Q181"/>
    <mergeCell ref="A182:A183"/>
    <mergeCell ref="B182:C183"/>
    <mergeCell ref="D182:D183"/>
    <mergeCell ref="E182:G182"/>
    <mergeCell ref="H182:H183"/>
    <mergeCell ref="I182:I183"/>
    <mergeCell ref="J182:J183"/>
    <mergeCell ref="B184:C184"/>
    <mergeCell ref="B177:C177"/>
    <mergeCell ref="A178:J178"/>
    <mergeCell ref="B185:C185"/>
    <mergeCell ref="B192:C192"/>
    <mergeCell ref="A193:J193"/>
    <mergeCell ref="A189:Q189"/>
    <mergeCell ref="A190:A191"/>
    <mergeCell ref="B190:C191"/>
    <mergeCell ref="D190:D191"/>
    <mergeCell ref="E190:G190"/>
    <mergeCell ref="H190:H191"/>
    <mergeCell ref="I190:I191"/>
    <mergeCell ref="J190:J191"/>
    <mergeCell ref="A250:Q250"/>
    <mergeCell ref="D253:D254"/>
    <mergeCell ref="E253:G253"/>
    <mergeCell ref="H253:H254"/>
    <mergeCell ref="I253:I254"/>
    <mergeCell ref="J253:J254"/>
    <mergeCell ref="B251:N251"/>
    <mergeCell ref="P251:Q251"/>
    <mergeCell ref="A194:Q194"/>
    <mergeCell ref="B195:N195"/>
    <mergeCell ref="A186:J186"/>
    <mergeCell ref="B213:C213"/>
    <mergeCell ref="B215:C215"/>
    <mergeCell ref="B216:C216"/>
    <mergeCell ref="A218:J218"/>
    <mergeCell ref="B214:C214"/>
    <mergeCell ref="B217:C217"/>
    <mergeCell ref="A219:Q219"/>
    <mergeCell ref="B220:N220"/>
    <mergeCell ref="P220:Q220"/>
    <mergeCell ref="A221:Q221"/>
    <mergeCell ref="B255:C255"/>
    <mergeCell ref="A256:J256"/>
    <mergeCell ref="A252:Q252"/>
    <mergeCell ref="A253:A254"/>
    <mergeCell ref="B253:C254"/>
    <mergeCell ref="B265:C265"/>
    <mergeCell ref="B269:C269"/>
    <mergeCell ref="A270:J270"/>
    <mergeCell ref="A271:Q271"/>
    <mergeCell ref="B272:N272"/>
    <mergeCell ref="P272:Q272"/>
    <mergeCell ref="A259:Q259"/>
    <mergeCell ref="A260:A261"/>
    <mergeCell ref="B260:C261"/>
    <mergeCell ref="D260:D261"/>
    <mergeCell ref="E260:G260"/>
    <mergeCell ref="H260:H261"/>
    <mergeCell ref="I260:I261"/>
    <mergeCell ref="J260:J261"/>
    <mergeCell ref="A257:Q257"/>
    <mergeCell ref="B258:N258"/>
    <mergeCell ref="P258:Q258"/>
    <mergeCell ref="A284:J284"/>
    <mergeCell ref="A295:Q295"/>
    <mergeCell ref="B296:N296"/>
    <mergeCell ref="P296:Q296"/>
    <mergeCell ref="A273:Q273"/>
    <mergeCell ref="A274:A275"/>
    <mergeCell ref="B274:C275"/>
    <mergeCell ref="D274:D275"/>
    <mergeCell ref="E274:G274"/>
    <mergeCell ref="H274:H275"/>
    <mergeCell ref="I274:I275"/>
    <mergeCell ref="J274:J275"/>
    <mergeCell ref="A285:Q285"/>
    <mergeCell ref="B291:C291"/>
    <mergeCell ref="B290:C290"/>
    <mergeCell ref="B292:C292"/>
    <mergeCell ref="A294:J294"/>
    <mergeCell ref="B286:N286"/>
    <mergeCell ref="A309:J309"/>
    <mergeCell ref="A310:Q310"/>
    <mergeCell ref="A297:Q297"/>
    <mergeCell ref="A298:A299"/>
    <mergeCell ref="B298:C299"/>
    <mergeCell ref="D298:D299"/>
    <mergeCell ref="E298:G298"/>
    <mergeCell ref="H298:H299"/>
    <mergeCell ref="I298:I299"/>
    <mergeCell ref="J298:J299"/>
    <mergeCell ref="B315:C315"/>
    <mergeCell ref="B316:C316"/>
    <mergeCell ref="B318:C318"/>
    <mergeCell ref="B319:C319"/>
    <mergeCell ref="B320:C320"/>
    <mergeCell ref="B321:C321"/>
    <mergeCell ref="B307:C307"/>
    <mergeCell ref="B308:C308"/>
    <mergeCell ref="B304:C304"/>
    <mergeCell ref="B305:C305"/>
    <mergeCell ref="B306:C306"/>
    <mergeCell ref="A332:Q332"/>
    <mergeCell ref="B333:N333"/>
    <mergeCell ref="P333:Q333"/>
    <mergeCell ref="A327:Q327"/>
    <mergeCell ref="A328:A329"/>
    <mergeCell ref="B328:C329"/>
    <mergeCell ref="D328:D329"/>
    <mergeCell ref="E328:G328"/>
    <mergeCell ref="H328:H329"/>
    <mergeCell ref="I328:I329"/>
    <mergeCell ref="J328:J329"/>
    <mergeCell ref="B330:C330"/>
    <mergeCell ref="A324:J324"/>
    <mergeCell ref="A325:Q325"/>
    <mergeCell ref="B326:N326"/>
    <mergeCell ref="P326:Q326"/>
    <mergeCell ref="B311:N311"/>
    <mergeCell ref="P311:Q311"/>
    <mergeCell ref="A312:Q312"/>
    <mergeCell ref="A313:A314"/>
    <mergeCell ref="B313:C314"/>
    <mergeCell ref="D313:D314"/>
    <mergeCell ref="E313:G313"/>
    <mergeCell ref="H313:H314"/>
    <mergeCell ref="I313:I314"/>
    <mergeCell ref="J313:J314"/>
    <mergeCell ref="B322:C322"/>
    <mergeCell ref="B323:C323"/>
    <mergeCell ref="B317:C317"/>
    <mergeCell ref="A429:J429"/>
    <mergeCell ref="E425:G425"/>
    <mergeCell ref="H425:H426"/>
    <mergeCell ref="I425:I426"/>
    <mergeCell ref="J425:J426"/>
    <mergeCell ref="J342:J343"/>
    <mergeCell ref="B344:C344"/>
    <mergeCell ref="A345:J345"/>
    <mergeCell ref="A346:Q346"/>
    <mergeCell ref="B347:N347"/>
    <mergeCell ref="P347:Q347"/>
    <mergeCell ref="A342:A343"/>
    <mergeCell ref="B342:C343"/>
    <mergeCell ref="D342:D343"/>
    <mergeCell ref="E342:G342"/>
    <mergeCell ref="H342:H343"/>
    <mergeCell ref="I342:I343"/>
    <mergeCell ref="B367:C367"/>
    <mergeCell ref="A368:J368"/>
    <mergeCell ref="A402:A403"/>
    <mergeCell ref="B402:C403"/>
    <mergeCell ref="D402:D403"/>
    <mergeCell ref="E402:G402"/>
    <mergeCell ref="H402:H403"/>
    <mergeCell ref="I402:I403"/>
    <mergeCell ref="A399:Q399"/>
    <mergeCell ref="B400:N400"/>
    <mergeCell ref="P400:Q400"/>
    <mergeCell ref="A401:Q401"/>
    <mergeCell ref="A406:Q406"/>
    <mergeCell ref="B407:N407"/>
    <mergeCell ref="P407:Q407"/>
    <mergeCell ref="A408:Q408"/>
    <mergeCell ref="J402:J403"/>
    <mergeCell ref="B404:C404"/>
    <mergeCell ref="A405:J405"/>
    <mergeCell ref="E489:G489"/>
    <mergeCell ref="H489:H490"/>
    <mergeCell ref="I489:I490"/>
    <mergeCell ref="J489:J490"/>
    <mergeCell ref="J468:J469"/>
    <mergeCell ref="B470:C470"/>
    <mergeCell ref="A471:J471"/>
    <mergeCell ref="A479:Q479"/>
    <mergeCell ref="B480:N480"/>
    <mergeCell ref="P480:Q480"/>
    <mergeCell ref="A481:Q481"/>
    <mergeCell ref="A482:A483"/>
    <mergeCell ref="E433:G433"/>
    <mergeCell ref="H433:H434"/>
    <mergeCell ref="I433:I434"/>
    <mergeCell ref="J433:J434"/>
    <mergeCell ref="A430:Q430"/>
    <mergeCell ref="B431:N431"/>
    <mergeCell ref="P431:Q431"/>
    <mergeCell ref="D433:D434"/>
    <mergeCell ref="A458:Q458"/>
    <mergeCell ref="B459:N459"/>
    <mergeCell ref="P459:Q459"/>
    <mergeCell ref="A460:Q460"/>
    <mergeCell ref="A461:A462"/>
    <mergeCell ref="B461:C462"/>
    <mergeCell ref="D461:D462"/>
    <mergeCell ref="E461:G461"/>
    <mergeCell ref="A539:Q539"/>
    <mergeCell ref="B540:N540"/>
    <mergeCell ref="P540:Q540"/>
    <mergeCell ref="J535:J536"/>
    <mergeCell ref="B537:C537"/>
    <mergeCell ref="A538:J538"/>
    <mergeCell ref="A535:A536"/>
    <mergeCell ref="B535:C536"/>
    <mergeCell ref="D535:D536"/>
    <mergeCell ref="E535:G535"/>
    <mergeCell ref="H535:H536"/>
    <mergeCell ref="I535:I536"/>
    <mergeCell ref="A532:Q532"/>
    <mergeCell ref="B533:N533"/>
    <mergeCell ref="P533:Q533"/>
    <mergeCell ref="A534:Q534"/>
    <mergeCell ref="B463:C463"/>
    <mergeCell ref="A464:J464"/>
    <mergeCell ref="A465:Q465"/>
    <mergeCell ref="B466:N466"/>
    <mergeCell ref="P466:Q466"/>
    <mergeCell ref="A467:Q467"/>
    <mergeCell ref="A468:A469"/>
    <mergeCell ref="B484:C484"/>
    <mergeCell ref="A485:J485"/>
    <mergeCell ref="A486:Q486"/>
    <mergeCell ref="B487:N487"/>
    <mergeCell ref="P487:Q487"/>
    <mergeCell ref="A488:Q488"/>
    <mergeCell ref="A489:A490"/>
    <mergeCell ref="B489:C490"/>
    <mergeCell ref="D489:D490"/>
    <mergeCell ref="D549:D550"/>
    <mergeCell ref="E549:G549"/>
    <mergeCell ref="H549:H550"/>
    <mergeCell ref="I549:I550"/>
    <mergeCell ref="B544:C544"/>
    <mergeCell ref="A545:J545"/>
    <mergeCell ref="A546:Q546"/>
    <mergeCell ref="B547:N547"/>
    <mergeCell ref="P547:Q547"/>
    <mergeCell ref="A548:Q548"/>
    <mergeCell ref="B554:N554"/>
    <mergeCell ref="P554:Q554"/>
    <mergeCell ref="A549:A550"/>
    <mergeCell ref="B549:C550"/>
    <mergeCell ref="A541:Q541"/>
    <mergeCell ref="A542:A543"/>
    <mergeCell ref="B542:C543"/>
    <mergeCell ref="D542:D543"/>
    <mergeCell ref="E542:G542"/>
    <mergeCell ref="H542:H543"/>
    <mergeCell ref="I542:I543"/>
    <mergeCell ref="J542:J543"/>
    <mergeCell ref="A576:J576"/>
    <mergeCell ref="A577:Q577"/>
    <mergeCell ref="B578:N578"/>
    <mergeCell ref="B580:C581"/>
    <mergeCell ref="D580:D581"/>
    <mergeCell ref="E580:G580"/>
    <mergeCell ref="H580:H581"/>
    <mergeCell ref="I580:I581"/>
    <mergeCell ref="J580:J581"/>
    <mergeCell ref="A555:Q555"/>
    <mergeCell ref="A556:A557"/>
    <mergeCell ref="B556:C557"/>
    <mergeCell ref="D556:D557"/>
    <mergeCell ref="E556:G556"/>
    <mergeCell ref="H556:H557"/>
    <mergeCell ref="I556:I557"/>
    <mergeCell ref="J556:J557"/>
    <mergeCell ref="A560:Q560"/>
    <mergeCell ref="B561:N561"/>
    <mergeCell ref="P561:Q561"/>
    <mergeCell ref="A562:Q562"/>
    <mergeCell ref="J563:J564"/>
    <mergeCell ref="B565:C565"/>
    <mergeCell ref="A566:J566"/>
    <mergeCell ref="A563:A564"/>
    <mergeCell ref="B563:C564"/>
    <mergeCell ref="D563:D564"/>
    <mergeCell ref="E563:G563"/>
    <mergeCell ref="H563:H564"/>
    <mergeCell ref="I563:I564"/>
    <mergeCell ref="B572:C572"/>
    <mergeCell ref="B573:C573"/>
    <mergeCell ref="B574:C574"/>
    <mergeCell ref="B575:C575"/>
    <mergeCell ref="B381:C381"/>
    <mergeCell ref="B382:C382"/>
    <mergeCell ref="B625:C625"/>
    <mergeCell ref="B693:C693"/>
    <mergeCell ref="A695:J695"/>
    <mergeCell ref="A681:Q681"/>
    <mergeCell ref="B682:N682"/>
    <mergeCell ref="P682:Q682"/>
    <mergeCell ref="A683:Q683"/>
    <mergeCell ref="J652:J653"/>
    <mergeCell ref="B654:C654"/>
    <mergeCell ref="A656:J656"/>
    <mergeCell ref="A652:A653"/>
    <mergeCell ref="B652:C653"/>
    <mergeCell ref="D652:D653"/>
    <mergeCell ref="E652:G652"/>
    <mergeCell ref="H652:H653"/>
    <mergeCell ref="I652:I653"/>
    <mergeCell ref="A642:Q642"/>
    <mergeCell ref="B643:N643"/>
    <mergeCell ref="P643:Q643"/>
    <mergeCell ref="A657:Q657"/>
    <mergeCell ref="B658:N658"/>
    <mergeCell ref="P658:Q658"/>
    <mergeCell ref="A659:Q659"/>
    <mergeCell ref="A660:A661"/>
    <mergeCell ref="B660:C661"/>
    <mergeCell ref="D660:D661"/>
    <mergeCell ref="E660:G660"/>
    <mergeCell ref="H660:H661"/>
    <mergeCell ref="B647:C647"/>
    <mergeCell ref="A648:J648"/>
    <mergeCell ref="H245:H246"/>
    <mergeCell ref="I245:I246"/>
    <mergeCell ref="J245:J246"/>
    <mergeCell ref="B262:C262"/>
    <mergeCell ref="P286:Q286"/>
    <mergeCell ref="A287:Q287"/>
    <mergeCell ref="A288:A289"/>
    <mergeCell ref="B288:C289"/>
    <mergeCell ref="D288:D289"/>
    <mergeCell ref="E288:G288"/>
    <mergeCell ref="H288:H289"/>
    <mergeCell ref="I288:I289"/>
    <mergeCell ref="J288:J289"/>
    <mergeCell ref="H372:H373"/>
    <mergeCell ref="I372:I373"/>
    <mergeCell ref="J372:J373"/>
    <mergeCell ref="B379:C379"/>
    <mergeCell ref="B337:C337"/>
    <mergeCell ref="A338:J338"/>
    <mergeCell ref="A339:Q339"/>
    <mergeCell ref="B340:N340"/>
    <mergeCell ref="P340:Q340"/>
    <mergeCell ref="A341:Q341"/>
    <mergeCell ref="A334:Q334"/>
    <mergeCell ref="A335:A336"/>
    <mergeCell ref="B335:C336"/>
    <mergeCell ref="D335:D336"/>
    <mergeCell ref="E335:G335"/>
    <mergeCell ref="H335:H336"/>
    <mergeCell ref="I335:I336"/>
    <mergeCell ref="J335:J336"/>
    <mergeCell ref="A331:J331"/>
    <mergeCell ref="J699:J700"/>
    <mergeCell ref="B701:C701"/>
    <mergeCell ref="A702:J702"/>
    <mergeCell ref="A703:Q703"/>
    <mergeCell ref="B52:C52"/>
    <mergeCell ref="B54:C54"/>
    <mergeCell ref="B57:C57"/>
    <mergeCell ref="A699:A700"/>
    <mergeCell ref="B699:C700"/>
    <mergeCell ref="D699:D700"/>
    <mergeCell ref="E699:G699"/>
    <mergeCell ref="H699:H700"/>
    <mergeCell ref="I699:I700"/>
    <mergeCell ref="B694:C694"/>
    <mergeCell ref="A696:Q696"/>
    <mergeCell ref="B697:N697"/>
    <mergeCell ref="P697:Q697"/>
    <mergeCell ref="A698:Q698"/>
    <mergeCell ref="J684:J685"/>
    <mergeCell ref="B686:C686"/>
    <mergeCell ref="B247:C247"/>
    <mergeCell ref="A249:J249"/>
    <mergeCell ref="B248:C248"/>
    <mergeCell ref="B263:C263"/>
    <mergeCell ref="B199:C199"/>
    <mergeCell ref="A207:J207"/>
    <mergeCell ref="A242:Q242"/>
    <mergeCell ref="B243:N243"/>
    <mergeCell ref="P243:Q243"/>
    <mergeCell ref="A244:Q244"/>
    <mergeCell ref="A245:A246"/>
    <mergeCell ref="P650:Q650"/>
    <mergeCell ref="B354:N354"/>
    <mergeCell ref="B358:C358"/>
    <mergeCell ref="A359:J359"/>
    <mergeCell ref="A369:Q369"/>
    <mergeCell ref="B370:N370"/>
    <mergeCell ref="P370:Q370"/>
    <mergeCell ref="A371:Q371"/>
    <mergeCell ref="A372:A373"/>
    <mergeCell ref="B372:C373"/>
    <mergeCell ref="D372:D373"/>
    <mergeCell ref="E372:G372"/>
    <mergeCell ref="P354:Q354"/>
    <mergeCell ref="A355:Q355"/>
    <mergeCell ref="A356:A357"/>
    <mergeCell ref="B356:C357"/>
    <mergeCell ref="D356:D357"/>
    <mergeCell ref="E356:G356"/>
    <mergeCell ref="H356:H357"/>
    <mergeCell ref="I356:I357"/>
    <mergeCell ref="D425:D426"/>
    <mergeCell ref="J356:J357"/>
    <mergeCell ref="B351:C351"/>
    <mergeCell ref="A352:J352"/>
    <mergeCell ref="A353:Q353"/>
    <mergeCell ref="A348:Q348"/>
    <mergeCell ref="B389:C389"/>
    <mergeCell ref="B396:C396"/>
    <mergeCell ref="B397:C397"/>
    <mergeCell ref="A349:A350"/>
    <mergeCell ref="B349:C350"/>
    <mergeCell ref="A384:Q384"/>
    <mergeCell ref="D349:D350"/>
    <mergeCell ref="E349:G349"/>
    <mergeCell ref="H349:H350"/>
    <mergeCell ref="I349:I350"/>
    <mergeCell ref="J349:J350"/>
    <mergeCell ref="B385:N385"/>
    <mergeCell ref="P385:Q385"/>
    <mergeCell ref="A386:Q386"/>
    <mergeCell ref="A387:A388"/>
    <mergeCell ref="B387:C388"/>
    <mergeCell ref="D387:D388"/>
    <mergeCell ref="E387:G387"/>
    <mergeCell ref="H387:H388"/>
    <mergeCell ref="I387:I388"/>
    <mergeCell ref="J387:J388"/>
    <mergeCell ref="B374:C374"/>
    <mergeCell ref="B376:C376"/>
    <mergeCell ref="B377:C377"/>
    <mergeCell ref="A383:J383"/>
    <mergeCell ref="B380:C380"/>
    <mergeCell ref="B378:C378"/>
    <mergeCell ref="B375:C375"/>
    <mergeCell ref="I409:I410"/>
    <mergeCell ref="J409:J410"/>
    <mergeCell ref="B411:C411"/>
    <mergeCell ref="A413:J413"/>
    <mergeCell ref="B427:C427"/>
    <mergeCell ref="B428:C428"/>
    <mergeCell ref="A414:Q414"/>
    <mergeCell ref="B415:N415"/>
    <mergeCell ref="P415:Q415"/>
    <mergeCell ref="A416:Q416"/>
    <mergeCell ref="A417:A418"/>
    <mergeCell ref="B417:C418"/>
    <mergeCell ref="B419:C419"/>
    <mergeCell ref="A421:J421"/>
    <mergeCell ref="A422:Q422"/>
    <mergeCell ref="B423:N423"/>
    <mergeCell ref="P423:Q423"/>
    <mergeCell ref="A424:Q424"/>
    <mergeCell ref="A425:A426"/>
    <mergeCell ref="B425:C426"/>
    <mergeCell ref="H461:H462"/>
    <mergeCell ref="I461:I462"/>
    <mergeCell ref="J461:J462"/>
    <mergeCell ref="B442:C442"/>
    <mergeCell ref="A443:J443"/>
    <mergeCell ref="A439:Q439"/>
    <mergeCell ref="A440:A441"/>
    <mergeCell ref="B440:C441"/>
    <mergeCell ref="D440:D441"/>
    <mergeCell ref="E440:G440"/>
    <mergeCell ref="H440:H441"/>
    <mergeCell ref="I440:I441"/>
    <mergeCell ref="J440:J441"/>
    <mergeCell ref="B482:C483"/>
    <mergeCell ref="D482:D483"/>
    <mergeCell ref="E482:G482"/>
    <mergeCell ref="H482:H483"/>
    <mergeCell ref="I482:I483"/>
    <mergeCell ref="J482:J483"/>
    <mergeCell ref="B468:C469"/>
    <mergeCell ref="D468:D469"/>
    <mergeCell ref="E468:G468"/>
    <mergeCell ref="H468:H469"/>
    <mergeCell ref="I468:I469"/>
    <mergeCell ref="A453:Q453"/>
    <mergeCell ref="A510:A511"/>
    <mergeCell ref="B510:C511"/>
    <mergeCell ref="D510:D511"/>
    <mergeCell ref="E510:G510"/>
    <mergeCell ref="A499:J499"/>
    <mergeCell ref="A500:Q500"/>
    <mergeCell ref="B501:N501"/>
    <mergeCell ref="P501:Q501"/>
    <mergeCell ref="A502:Q502"/>
    <mergeCell ref="A503:A504"/>
    <mergeCell ref="B503:C504"/>
    <mergeCell ref="D503:D504"/>
    <mergeCell ref="E503:G503"/>
    <mergeCell ref="H503:H504"/>
    <mergeCell ref="I503:I504"/>
    <mergeCell ref="J503:J504"/>
    <mergeCell ref="B491:C491"/>
    <mergeCell ref="A492:J492"/>
    <mergeCell ref="A493:Q493"/>
    <mergeCell ref="B494:N494"/>
    <mergeCell ref="P494:Q494"/>
    <mergeCell ref="A495:Q495"/>
    <mergeCell ref="A496:A497"/>
    <mergeCell ref="B496:C497"/>
    <mergeCell ref="D496:D497"/>
    <mergeCell ref="E496:G496"/>
    <mergeCell ref="H496:H497"/>
    <mergeCell ref="I496:I497"/>
    <mergeCell ref="J496:J497"/>
    <mergeCell ref="B582:C582"/>
    <mergeCell ref="B583:C583"/>
    <mergeCell ref="A584:J584"/>
    <mergeCell ref="H510:H511"/>
    <mergeCell ref="I510:I511"/>
    <mergeCell ref="J510:J511"/>
    <mergeCell ref="B498:C498"/>
    <mergeCell ref="A567:Q567"/>
    <mergeCell ref="B568:N568"/>
    <mergeCell ref="P568:Q568"/>
    <mergeCell ref="A569:Q569"/>
    <mergeCell ref="A570:A571"/>
    <mergeCell ref="B570:C571"/>
    <mergeCell ref="D570:D571"/>
    <mergeCell ref="E570:G570"/>
    <mergeCell ref="H570:H571"/>
    <mergeCell ref="I570:I571"/>
    <mergeCell ref="J570:J571"/>
    <mergeCell ref="B522:C522"/>
    <mergeCell ref="A523:J523"/>
    <mergeCell ref="A524:Q524"/>
    <mergeCell ref="B525:N525"/>
    <mergeCell ref="P525:Q525"/>
    <mergeCell ref="J549:J550"/>
    <mergeCell ref="B551:C551"/>
    <mergeCell ref="A552:J552"/>
    <mergeCell ref="A553:Q553"/>
    <mergeCell ref="P578:Q578"/>
    <mergeCell ref="A579:Q579"/>
    <mergeCell ref="A580:A581"/>
    <mergeCell ref="B558:C558"/>
    <mergeCell ref="A559:J559"/>
    <mergeCell ref="B597:C597"/>
    <mergeCell ref="A598:J598"/>
    <mergeCell ref="B590:C590"/>
    <mergeCell ref="A591:J591"/>
    <mergeCell ref="A592:Q592"/>
    <mergeCell ref="B593:N593"/>
    <mergeCell ref="P593:Q593"/>
    <mergeCell ref="A594:Q594"/>
    <mergeCell ref="A595:A596"/>
    <mergeCell ref="B595:C596"/>
    <mergeCell ref="D595:D596"/>
    <mergeCell ref="E595:G595"/>
    <mergeCell ref="H595:H596"/>
    <mergeCell ref="I595:I596"/>
    <mergeCell ref="J595:J596"/>
    <mergeCell ref="A585:Q585"/>
    <mergeCell ref="B586:N586"/>
    <mergeCell ref="P586:Q586"/>
    <mergeCell ref="A587:Q587"/>
    <mergeCell ref="A588:A589"/>
    <mergeCell ref="B588:C589"/>
    <mergeCell ref="D588:D589"/>
    <mergeCell ref="E588:G588"/>
    <mergeCell ref="H588:H589"/>
    <mergeCell ref="I588:I589"/>
    <mergeCell ref="J588:J589"/>
    <mergeCell ref="A620:Q620"/>
    <mergeCell ref="B621:N621"/>
    <mergeCell ref="P621:Q621"/>
    <mergeCell ref="A622:P622"/>
    <mergeCell ref="B604:C604"/>
    <mergeCell ref="A605:J605"/>
    <mergeCell ref="A599:Q599"/>
    <mergeCell ref="B600:N600"/>
    <mergeCell ref="P600:Q600"/>
    <mergeCell ref="A601:Q601"/>
    <mergeCell ref="A602:A603"/>
    <mergeCell ref="B602:C603"/>
    <mergeCell ref="D602:D603"/>
    <mergeCell ref="E602:G602"/>
    <mergeCell ref="H602:H603"/>
    <mergeCell ref="I602:I603"/>
    <mergeCell ref="J602:J603"/>
    <mergeCell ref="B611:C611"/>
    <mergeCell ref="A612:J612"/>
    <mergeCell ref="A613:Q613"/>
    <mergeCell ref="B614:N614"/>
    <mergeCell ref="P614:Q614"/>
    <mergeCell ref="A615:Q615"/>
    <mergeCell ref="A616:A617"/>
    <mergeCell ref="B616:C617"/>
    <mergeCell ref="D616:D617"/>
    <mergeCell ref="E616:G616"/>
    <mergeCell ref="H616:H617"/>
    <mergeCell ref="I616:I617"/>
    <mergeCell ref="J616:J617"/>
    <mergeCell ref="A606:Q606"/>
    <mergeCell ref="B607:N607"/>
    <mergeCell ref="P607:Q607"/>
    <mergeCell ref="A608:Q608"/>
    <mergeCell ref="A609:A610"/>
    <mergeCell ref="B609:C610"/>
    <mergeCell ref="D609:D610"/>
    <mergeCell ref="E609:G609"/>
    <mergeCell ref="H609:H610"/>
    <mergeCell ref="I609:I610"/>
    <mergeCell ref="J609:J610"/>
    <mergeCell ref="E645:G645"/>
    <mergeCell ref="H645:H646"/>
    <mergeCell ref="I645:I646"/>
    <mergeCell ref="J645:J646"/>
    <mergeCell ref="B640:C640"/>
    <mergeCell ref="A641:J641"/>
    <mergeCell ref="A638:A639"/>
    <mergeCell ref="B638:C639"/>
    <mergeCell ref="D638:G638"/>
    <mergeCell ref="H638:H639"/>
    <mergeCell ref="I638:I639"/>
    <mergeCell ref="J638:J639"/>
    <mergeCell ref="A635:Q635"/>
    <mergeCell ref="B636:N636"/>
    <mergeCell ref="P636:Q636"/>
    <mergeCell ref="A637:Q637"/>
    <mergeCell ref="J623:J624"/>
    <mergeCell ref="A626:J626"/>
    <mergeCell ref="A623:A624"/>
    <mergeCell ref="B623:C624"/>
    <mergeCell ref="D623:D624"/>
    <mergeCell ref="E623:G623"/>
    <mergeCell ref="H623:H624"/>
    <mergeCell ref="I623:I624"/>
    <mergeCell ref="A634:J634"/>
    <mergeCell ref="B632:C632"/>
    <mergeCell ref="B633:C633"/>
    <mergeCell ref="A690:Q690"/>
    <mergeCell ref="A691:A692"/>
    <mergeCell ref="B691:C692"/>
    <mergeCell ref="D691:D692"/>
    <mergeCell ref="E691:G691"/>
    <mergeCell ref="H691:H692"/>
    <mergeCell ref="I691:I692"/>
    <mergeCell ref="J691:J692"/>
    <mergeCell ref="A669:Q669"/>
    <mergeCell ref="A670:A671"/>
    <mergeCell ref="B670:C671"/>
    <mergeCell ref="D670:D671"/>
    <mergeCell ref="E670:G670"/>
    <mergeCell ref="H670:H671"/>
    <mergeCell ref="I670:I671"/>
    <mergeCell ref="J670:J671"/>
    <mergeCell ref="B672:C672"/>
    <mergeCell ref="A687:J687"/>
    <mergeCell ref="A684:A685"/>
    <mergeCell ref="B684:C685"/>
    <mergeCell ref="D684:D685"/>
    <mergeCell ref="E684:G684"/>
    <mergeCell ref="H684:H685"/>
    <mergeCell ref="I684:I685"/>
    <mergeCell ref="A673:J673"/>
    <mergeCell ref="A688:Q688"/>
    <mergeCell ref="A649:Q649"/>
    <mergeCell ref="B650:N650"/>
    <mergeCell ref="B689:N689"/>
    <mergeCell ref="P689:Q689"/>
    <mergeCell ref="I660:I661"/>
    <mergeCell ref="J660:J661"/>
    <mergeCell ref="B662:C662"/>
    <mergeCell ref="B663:C663"/>
    <mergeCell ref="B664:C664"/>
    <mergeCell ref="A666:J666"/>
    <mergeCell ref="A667:Q667"/>
    <mergeCell ref="B668:N668"/>
    <mergeCell ref="P668:Q668"/>
    <mergeCell ref="B618:C618"/>
    <mergeCell ref="A619:J619"/>
    <mergeCell ref="A627:Q627"/>
    <mergeCell ref="B628:N628"/>
    <mergeCell ref="P628:Q628"/>
    <mergeCell ref="A629:P629"/>
    <mergeCell ref="A630:A631"/>
    <mergeCell ref="B630:C631"/>
    <mergeCell ref="D630:D631"/>
    <mergeCell ref="E630:G630"/>
    <mergeCell ref="H630:H631"/>
    <mergeCell ref="I630:I631"/>
    <mergeCell ref="J630:J631"/>
    <mergeCell ref="A651:Q651"/>
    <mergeCell ref="A644:Q644"/>
    <mergeCell ref="A645:A646"/>
    <mergeCell ref="B645:C646"/>
    <mergeCell ref="D645:D646"/>
    <mergeCell ref="A677:A678"/>
    <mergeCell ref="B677:C678"/>
    <mergeCell ref="D677:D678"/>
    <mergeCell ref="K30:K31"/>
    <mergeCell ref="M30:Q33"/>
    <mergeCell ref="B32:C32"/>
    <mergeCell ref="A33:K33"/>
    <mergeCell ref="A155:Q155"/>
    <mergeCell ref="B156:N156"/>
    <mergeCell ref="P156:Q156"/>
    <mergeCell ref="A157:Q157"/>
    <mergeCell ref="A158:A159"/>
    <mergeCell ref="B158:C159"/>
    <mergeCell ref="D158:D159"/>
    <mergeCell ref="E158:G158"/>
    <mergeCell ref="H158:H159"/>
    <mergeCell ref="I158:I159"/>
    <mergeCell ref="J158:J159"/>
    <mergeCell ref="B161:C161"/>
    <mergeCell ref="A163:J163"/>
    <mergeCell ref="B119:C119"/>
    <mergeCell ref="B153:C153"/>
    <mergeCell ref="A154:J154"/>
    <mergeCell ref="A150:Q150"/>
    <mergeCell ref="A151:A152"/>
    <mergeCell ref="B151:C152"/>
    <mergeCell ref="D151:D152"/>
    <mergeCell ref="E151:G151"/>
    <mergeCell ref="H151:H152"/>
    <mergeCell ref="I151:I152"/>
    <mergeCell ref="J151:J152"/>
    <mergeCell ref="B138:C138"/>
    <mergeCell ref="A140:J140"/>
    <mergeCell ref="A148:Q148"/>
    <mergeCell ref="B149:N149"/>
    <mergeCell ref="A27:Q27"/>
    <mergeCell ref="B28:N28"/>
    <mergeCell ref="P28:Q28"/>
    <mergeCell ref="A29:Q29"/>
    <mergeCell ref="A30:A31"/>
    <mergeCell ref="B30:C31"/>
    <mergeCell ref="D30:G30"/>
    <mergeCell ref="H30:H31"/>
    <mergeCell ref="I30:I31"/>
    <mergeCell ref="J30:J31"/>
    <mergeCell ref="B160:C160"/>
    <mergeCell ref="A172:Q172"/>
    <mergeCell ref="B173:N173"/>
    <mergeCell ref="P173:Q173"/>
    <mergeCell ref="A174:Q174"/>
    <mergeCell ref="A175:A176"/>
    <mergeCell ref="B175:C176"/>
    <mergeCell ref="D175:D176"/>
    <mergeCell ref="E175:G175"/>
    <mergeCell ref="H175:H176"/>
    <mergeCell ref="I175:I176"/>
    <mergeCell ref="J175:J176"/>
    <mergeCell ref="B142:N142"/>
    <mergeCell ref="P142:Q142"/>
    <mergeCell ref="A143:Q143"/>
    <mergeCell ref="A144:A145"/>
    <mergeCell ref="B144:C145"/>
    <mergeCell ref="D144:D145"/>
    <mergeCell ref="E144:G144"/>
    <mergeCell ref="H144:H145"/>
    <mergeCell ref="I144:I145"/>
    <mergeCell ref="J144:J145"/>
    <mergeCell ref="B146:C146"/>
    <mergeCell ref="A147:J147"/>
    <mergeCell ref="P149:Q149"/>
    <mergeCell ref="B266:C266"/>
    <mergeCell ref="B267:C267"/>
    <mergeCell ref="B268:C268"/>
    <mergeCell ref="B276:C276"/>
    <mergeCell ref="B277:C277"/>
    <mergeCell ref="B279:C279"/>
    <mergeCell ref="B280:C280"/>
    <mergeCell ref="B281:C281"/>
    <mergeCell ref="B282:C282"/>
    <mergeCell ref="B283:C283"/>
    <mergeCell ref="B293:C293"/>
    <mergeCell ref="B300:C300"/>
    <mergeCell ref="B301:C301"/>
    <mergeCell ref="B303:C303"/>
    <mergeCell ref="B264:C264"/>
    <mergeCell ref="B278:C278"/>
    <mergeCell ref="B302:C302"/>
    <mergeCell ref="P195:Q195"/>
    <mergeCell ref="A196:Q196"/>
    <mergeCell ref="A197:A198"/>
    <mergeCell ref="B197:C198"/>
    <mergeCell ref="D197:D198"/>
    <mergeCell ref="E197:G197"/>
    <mergeCell ref="H197:H198"/>
    <mergeCell ref="I197:I198"/>
    <mergeCell ref="J197:J198"/>
    <mergeCell ref="B245:C246"/>
    <mergeCell ref="D245:D246"/>
    <mergeCell ref="E245:G245"/>
    <mergeCell ref="B394:C394"/>
    <mergeCell ref="B395:C395"/>
    <mergeCell ref="B390:C390"/>
    <mergeCell ref="B391:C391"/>
    <mergeCell ref="B392:C392"/>
    <mergeCell ref="B393:C393"/>
    <mergeCell ref="B412:C412"/>
    <mergeCell ref="B420:C420"/>
    <mergeCell ref="A360:Q360"/>
    <mergeCell ref="B361:N361"/>
    <mergeCell ref="P361:Q361"/>
    <mergeCell ref="A362:Q362"/>
    <mergeCell ref="A363:A364"/>
    <mergeCell ref="B363:C364"/>
    <mergeCell ref="D363:D364"/>
    <mergeCell ref="E363:G363"/>
    <mergeCell ref="H363:H364"/>
    <mergeCell ref="I363:I364"/>
    <mergeCell ref="J363:J364"/>
    <mergeCell ref="B365:C365"/>
    <mergeCell ref="B366:C366"/>
    <mergeCell ref="A398:J398"/>
    <mergeCell ref="D417:D418"/>
    <mergeCell ref="E417:G417"/>
    <mergeCell ref="H417:H418"/>
    <mergeCell ref="I417:I418"/>
    <mergeCell ref="J417:J418"/>
    <mergeCell ref="A409:A410"/>
    <mergeCell ref="B409:C410"/>
    <mergeCell ref="D409:D410"/>
    <mergeCell ref="E409:G409"/>
    <mergeCell ref="H409:H410"/>
    <mergeCell ref="A437:Q437"/>
    <mergeCell ref="B438:N438"/>
    <mergeCell ref="P438:Q438"/>
    <mergeCell ref="B435:C435"/>
    <mergeCell ref="A436:J436"/>
    <mergeCell ref="A432:Q432"/>
    <mergeCell ref="A433:A434"/>
    <mergeCell ref="B433:C434"/>
    <mergeCell ref="H454:H455"/>
    <mergeCell ref="I454:I455"/>
    <mergeCell ref="J454:J455"/>
    <mergeCell ref="B456:C456"/>
    <mergeCell ref="A457:J457"/>
    <mergeCell ref="A517:Q517"/>
    <mergeCell ref="B518:N518"/>
    <mergeCell ref="P518:Q518"/>
    <mergeCell ref="A519:Q519"/>
    <mergeCell ref="B513:C513"/>
    <mergeCell ref="B514:C514"/>
    <mergeCell ref="A516:J516"/>
    <mergeCell ref="A472:Q472"/>
    <mergeCell ref="B473:N473"/>
    <mergeCell ref="P473:Q473"/>
    <mergeCell ref="A474:Q474"/>
    <mergeCell ref="A475:A476"/>
    <mergeCell ref="B475:C476"/>
    <mergeCell ref="D475:D476"/>
    <mergeCell ref="E475:G475"/>
    <mergeCell ref="H475:H476"/>
    <mergeCell ref="I475:I476"/>
    <mergeCell ref="J475:J476"/>
    <mergeCell ref="B477:C477"/>
    <mergeCell ref="A520:A521"/>
    <mergeCell ref="B520:C521"/>
    <mergeCell ref="D520:D521"/>
    <mergeCell ref="E520:G520"/>
    <mergeCell ref="H520:H521"/>
    <mergeCell ref="I520:I521"/>
    <mergeCell ref="J520:J521"/>
    <mergeCell ref="A444:Q444"/>
    <mergeCell ref="B445:N445"/>
    <mergeCell ref="P445:Q445"/>
    <mergeCell ref="A446:Q446"/>
    <mergeCell ref="A447:A448"/>
    <mergeCell ref="B447:C448"/>
    <mergeCell ref="D447:D448"/>
    <mergeCell ref="E447:G447"/>
    <mergeCell ref="H447:H448"/>
    <mergeCell ref="I447:I448"/>
    <mergeCell ref="J447:J448"/>
    <mergeCell ref="B449:C449"/>
    <mergeCell ref="A450:J450"/>
    <mergeCell ref="A451:Q451"/>
    <mergeCell ref="B452:N452"/>
    <mergeCell ref="P452:Q452"/>
    <mergeCell ref="A478:J478"/>
    <mergeCell ref="B512:C512"/>
    <mergeCell ref="B515:C515"/>
    <mergeCell ref="B505:C505"/>
    <mergeCell ref="A506:J506"/>
    <mergeCell ref="A507:Q507"/>
    <mergeCell ref="B508:N508"/>
    <mergeCell ref="P508:Q508"/>
    <mergeCell ref="A509:Q509"/>
    <mergeCell ref="E677:G677"/>
    <mergeCell ref="H677:H678"/>
    <mergeCell ref="I677:I678"/>
    <mergeCell ref="J677:J678"/>
    <mergeCell ref="B679:C679"/>
    <mergeCell ref="A680:J680"/>
    <mergeCell ref="A1:N1"/>
    <mergeCell ref="O1:Q4"/>
    <mergeCell ref="A2:N2"/>
    <mergeCell ref="A3:N3"/>
    <mergeCell ref="A4:N4"/>
    <mergeCell ref="A526:Q526"/>
    <mergeCell ref="A527:A528"/>
    <mergeCell ref="B527:C528"/>
    <mergeCell ref="D527:D528"/>
    <mergeCell ref="E527:G527"/>
    <mergeCell ref="H527:H528"/>
    <mergeCell ref="I527:I528"/>
    <mergeCell ref="J527:J528"/>
    <mergeCell ref="B529:C529"/>
    <mergeCell ref="A531:J531"/>
    <mergeCell ref="B530:C530"/>
    <mergeCell ref="B655:C655"/>
    <mergeCell ref="B665:C665"/>
    <mergeCell ref="A674:Q674"/>
    <mergeCell ref="B675:N675"/>
    <mergeCell ref="P675:Q675"/>
    <mergeCell ref="A676:Q676"/>
    <mergeCell ref="A454:A455"/>
    <mergeCell ref="B454:C455"/>
    <mergeCell ref="D454:D455"/>
    <mergeCell ref="E454:G454"/>
  </mergeCells>
  <pageMargins left="0.39370078740157483" right="0.27559055118110237" top="0.6692913385826772" bottom="0.55118110236220474" header="0.31496062992125984" footer="0.31496062992125984"/>
  <pageSetup scale="7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0">
    <tabColor rgb="FF66FF33"/>
  </sheetPr>
  <dimension ref="A1:O281"/>
  <sheetViews>
    <sheetView view="pageBreakPreview" zoomScale="115" zoomScaleNormal="115" zoomScaleSheetLayoutView="115" workbookViewId="0">
      <selection activeCell="A62" sqref="A62:E67"/>
    </sheetView>
  </sheetViews>
  <sheetFormatPr baseColWidth="10" defaultRowHeight="13" x14ac:dyDescent="0.15"/>
  <cols>
    <col min="2" max="2" width="13.33203125" customWidth="1"/>
    <col min="5" max="5" width="12.6640625" customWidth="1"/>
    <col min="7" max="7" width="12.6640625" customWidth="1"/>
    <col min="8" max="8" width="17.1640625" customWidth="1"/>
    <col min="10" max="11" width="12.83203125" bestFit="1" customWidth="1"/>
    <col min="13" max="13" width="12.83203125" bestFit="1" customWidth="1"/>
    <col min="19" max="19" width="14.83203125" bestFit="1" customWidth="1"/>
  </cols>
  <sheetData>
    <row r="1" spans="1:8" s="90" customFormat="1" ht="21.75" customHeight="1" x14ac:dyDescent="0.2">
      <c r="A1" s="607" t="s">
        <v>1065</v>
      </c>
      <c r="B1" s="608"/>
      <c r="C1" s="608"/>
      <c r="D1" s="608"/>
      <c r="E1" s="609"/>
      <c r="F1" s="89"/>
      <c r="G1" s="600" t="s">
        <v>20</v>
      </c>
      <c r="H1" s="601"/>
    </row>
    <row r="2" spans="1:8" s="90" customFormat="1" ht="21" customHeight="1" x14ac:dyDescent="0.2">
      <c r="A2" s="604" t="s">
        <v>446</v>
      </c>
      <c r="B2" s="605"/>
      <c r="C2" s="605"/>
      <c r="D2" s="605"/>
      <c r="E2" s="606"/>
      <c r="F2" s="91"/>
      <c r="G2" s="602"/>
      <c r="H2" s="603"/>
    </row>
    <row r="3" spans="1:8" s="90" customFormat="1" ht="15" customHeight="1" x14ac:dyDescent="0.2">
      <c r="A3" s="610" t="s">
        <v>447</v>
      </c>
      <c r="B3" s="611"/>
      <c r="C3" s="611"/>
      <c r="D3" s="611"/>
      <c r="E3" s="612"/>
      <c r="F3" s="91"/>
      <c r="G3" s="616" t="s">
        <v>472</v>
      </c>
      <c r="H3" s="617"/>
    </row>
    <row r="4" spans="1:8" s="90" customFormat="1" ht="15.75" customHeight="1" thickBot="1" x14ac:dyDescent="0.25">
      <c r="A4" s="613"/>
      <c r="B4" s="614"/>
      <c r="C4" s="614"/>
      <c r="D4" s="614"/>
      <c r="E4" s="615"/>
      <c r="F4" s="89"/>
      <c r="G4" s="618"/>
      <c r="H4" s="617"/>
    </row>
    <row r="5" spans="1:8" ht="13.5" customHeight="1" thickBot="1" x14ac:dyDescent="0.2">
      <c r="A5" s="15"/>
      <c r="B5" s="16"/>
      <c r="C5" s="1"/>
      <c r="D5" s="1"/>
      <c r="E5" s="1"/>
      <c r="F5" s="1"/>
      <c r="G5" s="618"/>
      <c r="H5" s="617"/>
    </row>
    <row r="6" spans="1:8" ht="15.75" customHeight="1" x14ac:dyDescent="0.15">
      <c r="A6" s="619" t="s">
        <v>890</v>
      </c>
      <c r="B6" s="620"/>
      <c r="C6" s="620"/>
      <c r="D6" s="620"/>
      <c r="E6" s="621"/>
      <c r="F6" s="1"/>
      <c r="G6" s="618"/>
      <c r="H6" s="617"/>
    </row>
    <row r="7" spans="1:8" ht="15.75" customHeight="1" x14ac:dyDescent="0.15">
      <c r="A7" s="622"/>
      <c r="B7" s="623"/>
      <c r="C7" s="623"/>
      <c r="D7" s="623"/>
      <c r="E7" s="624"/>
      <c r="F7" s="1"/>
      <c r="G7" s="618"/>
      <c r="H7" s="617"/>
    </row>
    <row r="8" spans="1:8" ht="15.75" customHeight="1" x14ac:dyDescent="0.15">
      <c r="A8" s="622"/>
      <c r="B8" s="623"/>
      <c r="C8" s="623"/>
      <c r="D8" s="623"/>
      <c r="E8" s="624"/>
      <c r="F8" s="1"/>
      <c r="G8" s="618"/>
      <c r="H8" s="617"/>
    </row>
    <row r="9" spans="1:8" ht="12.75" customHeight="1" x14ac:dyDescent="0.15">
      <c r="A9" s="622"/>
      <c r="B9" s="623"/>
      <c r="C9" s="623"/>
      <c r="D9" s="623"/>
      <c r="E9" s="624"/>
      <c r="G9" s="618"/>
      <c r="H9" s="617"/>
    </row>
    <row r="10" spans="1:8" ht="12.75" customHeight="1" x14ac:dyDescent="0.15">
      <c r="A10" s="622"/>
      <c r="B10" s="623"/>
      <c r="C10" s="623"/>
      <c r="D10" s="623"/>
      <c r="E10" s="624"/>
      <c r="F10" s="11"/>
      <c r="G10" s="618"/>
      <c r="H10" s="617"/>
    </row>
    <row r="11" spans="1:8" ht="13.5" customHeight="1" thickBot="1" x14ac:dyDescent="0.2">
      <c r="A11" s="625"/>
      <c r="B11" s="626"/>
      <c r="C11" s="626"/>
      <c r="D11" s="626"/>
      <c r="E11" s="627"/>
      <c r="G11" s="64" t="s">
        <v>45</v>
      </c>
      <c r="H11" s="17" t="s">
        <v>6</v>
      </c>
    </row>
    <row r="12" spans="1:8" x14ac:dyDescent="0.15">
      <c r="A12" s="18"/>
      <c r="B12" s="18"/>
      <c r="C12" s="1"/>
      <c r="D12" s="18"/>
      <c r="E12" s="18"/>
      <c r="F12" s="18"/>
      <c r="G12" s="18"/>
      <c r="H12" s="1"/>
    </row>
    <row r="13" spans="1:8" ht="14" thickBot="1" x14ac:dyDescent="0.2">
      <c r="A13" s="12" t="s">
        <v>21</v>
      </c>
      <c r="B13" s="12"/>
      <c r="C13" s="1"/>
      <c r="D13" s="1"/>
      <c r="E13" s="1"/>
      <c r="F13" s="1"/>
      <c r="G13" s="1"/>
      <c r="H13" s="1"/>
    </row>
    <row r="14" spans="1:8" x14ac:dyDescent="0.15">
      <c r="A14" s="628" t="s">
        <v>22</v>
      </c>
      <c r="B14" s="629"/>
      <c r="C14" s="630"/>
      <c r="D14" s="205" t="s">
        <v>23</v>
      </c>
      <c r="E14" s="205" t="s">
        <v>221</v>
      </c>
      <c r="F14" s="205" t="s">
        <v>24</v>
      </c>
      <c r="G14" s="204" t="s">
        <v>25</v>
      </c>
      <c r="H14" s="43"/>
    </row>
    <row r="15" spans="1:8" x14ac:dyDescent="0.15">
      <c r="A15" s="631" t="s">
        <v>57</v>
      </c>
      <c r="B15" s="632"/>
      <c r="C15" s="633"/>
      <c r="D15" s="5"/>
      <c r="E15" s="178">
        <f>'HERRAMIENTAS Y EQUIPOS'!C21</f>
        <v>100000</v>
      </c>
      <c r="F15" s="58">
        <v>8</v>
      </c>
      <c r="G15" s="163">
        <f>+E15/F15</f>
        <v>12500</v>
      </c>
      <c r="H15" s="44"/>
    </row>
    <row r="16" spans="1:8" x14ac:dyDescent="0.15">
      <c r="A16" s="631" t="s">
        <v>49</v>
      </c>
      <c r="B16" s="632"/>
      <c r="C16" s="633"/>
      <c r="D16" s="5"/>
      <c r="E16" s="162"/>
      <c r="F16" s="20"/>
      <c r="G16" s="163">
        <v>15000</v>
      </c>
      <c r="H16" s="44"/>
    </row>
    <row r="17" spans="1:15" ht="14" thickBot="1" x14ac:dyDescent="0.2">
      <c r="A17" s="634"/>
      <c r="B17" s="635"/>
      <c r="C17" s="636"/>
      <c r="D17" s="21"/>
      <c r="E17" s="22"/>
      <c r="F17" s="23"/>
      <c r="G17" s="47"/>
      <c r="H17" s="48"/>
    </row>
    <row r="18" spans="1:15" ht="14" thickBot="1" x14ac:dyDescent="0.2">
      <c r="A18" s="1"/>
      <c r="B18" s="1"/>
      <c r="C18" s="1"/>
      <c r="D18" s="1"/>
      <c r="E18" s="1"/>
      <c r="F18" s="1"/>
      <c r="G18" s="37" t="s">
        <v>26</v>
      </c>
      <c r="H18" s="161">
        <f>SUM(G15:G17)</f>
        <v>27500</v>
      </c>
    </row>
    <row r="19" spans="1:15" ht="14" thickBot="1" x14ac:dyDescent="0.2">
      <c r="A19" s="12" t="s">
        <v>27</v>
      </c>
      <c r="B19" s="12"/>
      <c r="C19" s="1"/>
      <c r="D19" s="1"/>
      <c r="E19" s="1"/>
      <c r="F19" s="1"/>
      <c r="G19" s="1"/>
      <c r="H19" s="1"/>
    </row>
    <row r="20" spans="1:15" x14ac:dyDescent="0.15">
      <c r="A20" s="628" t="s">
        <v>22</v>
      </c>
      <c r="B20" s="629"/>
      <c r="C20" s="630"/>
      <c r="D20" s="205" t="s">
        <v>28</v>
      </c>
      <c r="E20" s="205" t="s">
        <v>29</v>
      </c>
      <c r="F20" s="205" t="s">
        <v>30</v>
      </c>
      <c r="G20" s="204" t="s">
        <v>25</v>
      </c>
      <c r="H20" s="43"/>
    </row>
    <row r="21" spans="1:15" x14ac:dyDescent="0.15">
      <c r="A21" s="4" t="s">
        <v>101</v>
      </c>
      <c r="B21" s="24"/>
      <c r="C21" s="6"/>
      <c r="D21" s="3" t="s">
        <v>186</v>
      </c>
      <c r="E21" s="178">
        <f>MATERIALES!F10</f>
        <v>850</v>
      </c>
      <c r="F21" s="65">
        <f>8.3*50</f>
        <v>415.00000000000006</v>
      </c>
      <c r="G21" s="179">
        <f t="shared" ref="G21:G25" si="0">F21*E21</f>
        <v>352750.00000000006</v>
      </c>
      <c r="H21" s="44"/>
    </row>
    <row r="22" spans="1:15" x14ac:dyDescent="0.15">
      <c r="A22" s="4" t="s">
        <v>470</v>
      </c>
      <c r="B22" s="24"/>
      <c r="C22" s="6"/>
      <c r="D22" s="3" t="s">
        <v>6</v>
      </c>
      <c r="E22" s="164">
        <f>MATERIALES!C12</f>
        <v>162000</v>
      </c>
      <c r="F22" s="180">
        <v>0.77400000000000002</v>
      </c>
      <c r="G22" s="179">
        <f t="shared" si="0"/>
        <v>125388</v>
      </c>
      <c r="H22" s="44"/>
    </row>
    <row r="23" spans="1:15" x14ac:dyDescent="0.15">
      <c r="A23" s="4" t="s">
        <v>471</v>
      </c>
      <c r="B23" s="24"/>
      <c r="C23" s="6"/>
      <c r="D23" s="3" t="s">
        <v>6</v>
      </c>
      <c r="E23" s="164">
        <f>MATERIALES!F14</f>
        <v>81000</v>
      </c>
      <c r="F23" s="180">
        <v>0.48799999999999999</v>
      </c>
      <c r="G23" s="179">
        <f t="shared" si="0"/>
        <v>39528</v>
      </c>
      <c r="H23" s="44"/>
      <c r="O23" s="303"/>
    </row>
    <row r="24" spans="1:15" x14ac:dyDescent="0.15">
      <c r="A24" s="4" t="s">
        <v>60</v>
      </c>
      <c r="B24" s="24"/>
      <c r="C24" s="6"/>
      <c r="D24" s="5" t="s">
        <v>134</v>
      </c>
      <c r="E24" s="178">
        <f>MATERIALES!F16</f>
        <v>50</v>
      </c>
      <c r="F24" s="65">
        <f>25*8.3</f>
        <v>207.50000000000003</v>
      </c>
      <c r="G24" s="181">
        <f t="shared" si="0"/>
        <v>10375.000000000002</v>
      </c>
      <c r="H24" s="44"/>
      <c r="O24" s="303"/>
    </row>
    <row r="25" spans="1:15" ht="14" thickBot="1" x14ac:dyDescent="0.2">
      <c r="A25" s="33" t="s">
        <v>161</v>
      </c>
      <c r="B25" s="34"/>
      <c r="C25" s="54"/>
      <c r="D25" s="21"/>
      <c r="E25" s="182">
        <f>SUM(G21:G24)</f>
        <v>528041.00000000012</v>
      </c>
      <c r="F25" s="23">
        <v>0.05</v>
      </c>
      <c r="G25" s="183">
        <f t="shared" si="0"/>
        <v>26402.050000000007</v>
      </c>
      <c r="H25" s="48"/>
    </row>
    <row r="26" spans="1:15" ht="14" thickBot="1" x14ac:dyDescent="0.2">
      <c r="A26" s="1"/>
      <c r="B26" s="1"/>
      <c r="C26" s="1"/>
      <c r="D26" s="1"/>
      <c r="E26" s="1"/>
      <c r="F26" s="1"/>
      <c r="G26" s="37" t="s">
        <v>26</v>
      </c>
      <c r="H26" s="175">
        <f>SUM(G21:G25)</f>
        <v>554443.05000000016</v>
      </c>
    </row>
    <row r="27" spans="1:15" ht="14" thickBot="1" x14ac:dyDescent="0.2">
      <c r="A27" s="28" t="s">
        <v>31</v>
      </c>
      <c r="B27" s="28"/>
      <c r="C27" s="26"/>
      <c r="D27" s="1"/>
      <c r="E27" s="1"/>
      <c r="F27" s="1"/>
      <c r="G27" s="1"/>
      <c r="H27" s="1"/>
    </row>
    <row r="28" spans="1:15" x14ac:dyDescent="0.15">
      <c r="A28" s="51" t="s">
        <v>32</v>
      </c>
      <c r="B28" s="52"/>
      <c r="C28" s="96" t="s">
        <v>33</v>
      </c>
      <c r="D28" s="205" t="s">
        <v>34</v>
      </c>
      <c r="E28" s="205" t="s">
        <v>35</v>
      </c>
      <c r="F28" s="205" t="s">
        <v>36</v>
      </c>
      <c r="G28" s="59" t="s">
        <v>25</v>
      </c>
      <c r="H28" s="43"/>
    </row>
    <row r="29" spans="1:15" x14ac:dyDescent="0.15">
      <c r="A29" s="4" t="s">
        <v>204</v>
      </c>
      <c r="B29" s="6"/>
      <c r="C29" s="60">
        <v>0.45500000000000002</v>
      </c>
      <c r="D29" s="60">
        <v>15</v>
      </c>
      <c r="E29" s="60">
        <f>D29*C29</f>
        <v>6.8250000000000002</v>
      </c>
      <c r="F29" s="160">
        <v>1100</v>
      </c>
      <c r="G29" s="55">
        <f>F29*E29</f>
        <v>7507.5</v>
      </c>
      <c r="H29" s="44"/>
    </row>
    <row r="30" spans="1:15" x14ac:dyDescent="0.15">
      <c r="A30" s="4" t="s">
        <v>148</v>
      </c>
      <c r="B30" s="6"/>
      <c r="C30" s="60">
        <f>F22</f>
        <v>0.77400000000000002</v>
      </c>
      <c r="D30" s="60">
        <v>15</v>
      </c>
      <c r="E30" s="60">
        <f>D30*C30</f>
        <v>11.61</v>
      </c>
      <c r="F30" s="160">
        <v>1100</v>
      </c>
      <c r="G30" s="55">
        <f>F30*E30</f>
        <v>12771</v>
      </c>
      <c r="H30" s="44"/>
    </row>
    <row r="31" spans="1:15" x14ac:dyDescent="0.15">
      <c r="A31" s="4" t="s">
        <v>59</v>
      </c>
      <c r="B31" s="6"/>
      <c r="C31" s="60">
        <f>F23</f>
        <v>0.48799999999999999</v>
      </c>
      <c r="D31" s="60">
        <v>15</v>
      </c>
      <c r="E31" s="60">
        <f>D31*C31</f>
        <v>7.32</v>
      </c>
      <c r="F31" s="160">
        <v>1100</v>
      </c>
      <c r="G31" s="55">
        <f>F31*E31</f>
        <v>8052</v>
      </c>
      <c r="H31" s="44"/>
    </row>
    <row r="32" spans="1:15" ht="14" thickBot="1" x14ac:dyDescent="0.2">
      <c r="A32" s="33" t="s">
        <v>60</v>
      </c>
      <c r="B32" s="54"/>
      <c r="C32" s="208">
        <v>0.2</v>
      </c>
      <c r="D32" s="208">
        <v>15</v>
      </c>
      <c r="E32" s="208">
        <f>D32*C32</f>
        <v>3</v>
      </c>
      <c r="F32" s="165">
        <v>1100</v>
      </c>
      <c r="G32" s="87">
        <f>F32*E32</f>
        <v>3300</v>
      </c>
      <c r="H32" s="48"/>
    </row>
    <row r="33" spans="1:14" ht="14" thickBot="1" x14ac:dyDescent="0.2">
      <c r="A33" s="1"/>
      <c r="B33" s="1"/>
      <c r="C33" s="1"/>
      <c r="D33" s="1"/>
      <c r="E33" s="1"/>
      <c r="F33" s="1"/>
      <c r="G33" s="37" t="s">
        <v>26</v>
      </c>
      <c r="H33" s="109">
        <f>SUM(G29:G32)</f>
        <v>31630.5</v>
      </c>
    </row>
    <row r="34" spans="1:14" ht="14" thickBot="1" x14ac:dyDescent="0.2">
      <c r="A34" s="28" t="s">
        <v>37</v>
      </c>
      <c r="B34" s="28"/>
      <c r="C34" s="1"/>
      <c r="D34" s="1"/>
      <c r="E34" s="1"/>
      <c r="F34" s="1"/>
      <c r="G34" s="1"/>
      <c r="H34" s="1"/>
    </row>
    <row r="35" spans="1:14" x14ac:dyDescent="0.15">
      <c r="A35" s="51" t="s">
        <v>38</v>
      </c>
      <c r="B35" s="86"/>
      <c r="C35" s="31" t="s">
        <v>39</v>
      </c>
      <c r="D35" s="205" t="s">
        <v>40</v>
      </c>
      <c r="E35" s="19" t="s">
        <v>41</v>
      </c>
      <c r="F35" s="31" t="s">
        <v>24</v>
      </c>
      <c r="G35" s="204" t="s">
        <v>25</v>
      </c>
      <c r="H35" s="43"/>
    </row>
    <row r="36" spans="1:14" x14ac:dyDescent="0.15">
      <c r="A36" s="4"/>
      <c r="B36" s="24"/>
      <c r="C36" s="32"/>
      <c r="D36" s="166"/>
      <c r="E36" s="162"/>
      <c r="F36" s="20"/>
      <c r="G36" s="167"/>
      <c r="H36" s="44"/>
    </row>
    <row r="37" spans="1:14" ht="14" thickBot="1" x14ac:dyDescent="0.2">
      <c r="A37" s="33"/>
      <c r="B37" s="34"/>
      <c r="C37" s="110"/>
      <c r="D37" s="206"/>
      <c r="E37" s="165"/>
      <c r="F37" s="23"/>
      <c r="G37" s="207"/>
      <c r="H37" s="48"/>
    </row>
    <row r="38" spans="1:14" ht="14" thickBot="1" x14ac:dyDescent="0.2">
      <c r="A38" s="1"/>
      <c r="B38" s="1"/>
      <c r="C38" s="1"/>
      <c r="D38" s="1"/>
      <c r="E38" s="1"/>
      <c r="F38" s="1"/>
      <c r="G38" s="37" t="s">
        <v>26</v>
      </c>
      <c r="H38" s="175">
        <f>SUM(G36:G37)</f>
        <v>0</v>
      </c>
    </row>
    <row r="39" spans="1:14" ht="14" thickBot="1" x14ac:dyDescent="0.2">
      <c r="A39" s="1"/>
      <c r="B39" s="1"/>
      <c r="C39" s="1"/>
      <c r="D39" s="1"/>
      <c r="E39" s="1"/>
      <c r="F39" s="1"/>
      <c r="G39" s="61"/>
      <c r="H39" s="1"/>
      <c r="N39" t="s">
        <v>524</v>
      </c>
    </row>
    <row r="40" spans="1:14" ht="15" thickBot="1" x14ac:dyDescent="0.2">
      <c r="A40" s="1"/>
      <c r="B40" s="1"/>
      <c r="C40" s="1"/>
      <c r="D40" s="1"/>
      <c r="E40" s="35" t="s">
        <v>43</v>
      </c>
      <c r="F40" s="36"/>
      <c r="G40" s="185"/>
      <c r="H40" s="168">
        <f>ROUND((H18+H26+H33+H38),0)</f>
        <v>613574</v>
      </c>
    </row>
    <row r="41" spans="1:14" x14ac:dyDescent="0.15">
      <c r="A41" s="12"/>
      <c r="B41" s="12"/>
      <c r="C41" s="1"/>
      <c r="D41" s="1"/>
      <c r="E41" s="1"/>
      <c r="F41" s="1"/>
      <c r="G41" s="1"/>
      <c r="H41" s="1"/>
    </row>
    <row r="42" spans="1:14" x14ac:dyDescent="0.15">
      <c r="A42" s="16"/>
      <c r="B42" s="16"/>
      <c r="C42" s="16"/>
      <c r="D42" s="16"/>
      <c r="E42" s="16"/>
      <c r="F42" s="61"/>
      <c r="G42" s="61"/>
      <c r="H42" s="1"/>
    </row>
    <row r="43" spans="1:14" x14ac:dyDescent="0.15">
      <c r="A43" s="1"/>
      <c r="B43" s="1"/>
      <c r="C43" s="1"/>
      <c r="D43" s="1"/>
      <c r="E43" s="1"/>
      <c r="F43" s="159"/>
      <c r="G43" s="170"/>
      <c r="H43" s="170"/>
    </row>
    <row r="44" spans="1:14" x14ac:dyDescent="0.15">
      <c r="A44" s="1"/>
      <c r="B44" s="1"/>
      <c r="C44" s="1"/>
      <c r="D44" s="1"/>
      <c r="E44" s="1"/>
      <c r="F44" s="159"/>
      <c r="G44" s="170"/>
      <c r="H44" s="170"/>
    </row>
    <row r="45" spans="1:14" x14ac:dyDescent="0.15">
      <c r="A45" s="1"/>
      <c r="B45" s="1"/>
      <c r="C45" s="1"/>
      <c r="D45" s="1"/>
      <c r="E45" s="1"/>
      <c r="F45" s="159"/>
      <c r="G45" s="170"/>
      <c r="H45" s="170"/>
    </row>
    <row r="46" spans="1:14" x14ac:dyDescent="0.15">
      <c r="A46" s="1"/>
      <c r="B46" s="1"/>
      <c r="C46" s="1"/>
      <c r="D46" s="1"/>
      <c r="E46" s="1"/>
      <c r="F46" s="1"/>
      <c r="G46" s="37"/>
      <c r="H46" s="170"/>
    </row>
    <row r="47" spans="1:14" ht="14" x14ac:dyDescent="0.15">
      <c r="A47" s="101"/>
      <c r="B47" s="83"/>
      <c r="C47" s="84"/>
      <c r="D47" s="83"/>
      <c r="E47" s="83"/>
      <c r="F47" s="102"/>
      <c r="G47" s="83"/>
      <c r="H47" s="85"/>
      <c r="I47" s="85"/>
    </row>
    <row r="48" spans="1:14" ht="14" x14ac:dyDescent="0.15">
      <c r="A48" s="83"/>
      <c r="B48" s="83"/>
      <c r="C48" s="84"/>
      <c r="D48" s="83"/>
      <c r="E48" s="83"/>
      <c r="F48" s="103"/>
      <c r="G48" s="83"/>
      <c r="H48" s="85"/>
      <c r="I48" s="85"/>
    </row>
    <row r="49" spans="1:9" x14ac:dyDescent="0.15">
      <c r="C49" s="1"/>
      <c r="D49" s="15"/>
      <c r="E49" s="16"/>
      <c r="F49" s="16"/>
      <c r="G49" s="16"/>
      <c r="H49" s="169"/>
    </row>
    <row r="50" spans="1:9" x14ac:dyDescent="0.15">
      <c r="C50" s="1"/>
      <c r="D50" s="15"/>
      <c r="E50" s="16"/>
      <c r="F50" s="16"/>
      <c r="G50" s="16"/>
      <c r="H50" s="169"/>
    </row>
    <row r="51" spans="1:9" x14ac:dyDescent="0.15">
      <c r="C51" s="1"/>
      <c r="D51" s="15"/>
      <c r="E51" s="16"/>
      <c r="F51" s="16"/>
      <c r="G51" s="16"/>
      <c r="H51" s="169"/>
    </row>
    <row r="52" spans="1:9" x14ac:dyDescent="0.15">
      <c r="C52" s="1"/>
      <c r="D52" s="15"/>
      <c r="E52" s="16"/>
      <c r="F52" s="16"/>
      <c r="G52" s="16"/>
      <c r="H52" s="169"/>
    </row>
    <row r="53" spans="1:9" x14ac:dyDescent="0.15">
      <c r="C53" s="1"/>
      <c r="D53" s="15"/>
      <c r="E53" s="16"/>
      <c r="F53" s="16"/>
      <c r="G53" s="16"/>
      <c r="H53" s="169"/>
    </row>
    <row r="55" spans="1:9" ht="14" x14ac:dyDescent="0.15">
      <c r="A55" s="83"/>
      <c r="B55" s="83"/>
      <c r="C55" s="84"/>
      <c r="D55" s="83"/>
      <c r="E55" s="83"/>
      <c r="F55" s="103"/>
      <c r="G55" s="83"/>
      <c r="H55" s="85"/>
      <c r="I55" s="85"/>
    </row>
    <row r="56" spans="1:9" ht="14" thickBot="1" x14ac:dyDescent="0.2">
      <c r="C56" s="1"/>
      <c r="D56" s="15"/>
      <c r="E56" s="16"/>
      <c r="F56" s="16"/>
      <c r="G56" s="16"/>
      <c r="H56" s="169"/>
    </row>
    <row r="57" spans="1:9" s="90" customFormat="1" ht="21.75" customHeight="1" x14ac:dyDescent="0.2">
      <c r="A57" s="607" t="s">
        <v>1065</v>
      </c>
      <c r="B57" s="608"/>
      <c r="C57" s="608"/>
      <c r="D57" s="608"/>
      <c r="E57" s="609"/>
      <c r="F57" s="89"/>
      <c r="G57" s="600" t="s">
        <v>20</v>
      </c>
      <c r="H57" s="601"/>
    </row>
    <row r="58" spans="1:9" s="90" customFormat="1" ht="21" customHeight="1" x14ac:dyDescent="0.2">
      <c r="A58" s="604" t="s">
        <v>446</v>
      </c>
      <c r="B58" s="605"/>
      <c r="C58" s="605"/>
      <c r="D58" s="605"/>
      <c r="E58" s="606"/>
      <c r="F58" s="91"/>
      <c r="G58" s="602"/>
      <c r="H58" s="603"/>
    </row>
    <row r="59" spans="1:9" s="90" customFormat="1" ht="15" customHeight="1" x14ac:dyDescent="0.2">
      <c r="A59" s="610" t="s">
        <v>447</v>
      </c>
      <c r="B59" s="611"/>
      <c r="C59" s="611"/>
      <c r="D59" s="611"/>
      <c r="E59" s="612"/>
      <c r="F59" s="91"/>
      <c r="G59" s="616" t="s">
        <v>110</v>
      </c>
      <c r="H59" s="617"/>
    </row>
    <row r="60" spans="1:9" s="90" customFormat="1" ht="15.75" customHeight="1" thickBot="1" x14ac:dyDescent="0.25">
      <c r="A60" s="613"/>
      <c r="B60" s="614"/>
      <c r="C60" s="614"/>
      <c r="D60" s="614"/>
      <c r="E60" s="615"/>
      <c r="F60" s="89"/>
      <c r="G60" s="618"/>
      <c r="H60" s="617"/>
    </row>
    <row r="61" spans="1:9" ht="14" thickBot="1" x14ac:dyDescent="0.2">
      <c r="A61" s="15"/>
      <c r="B61" s="16"/>
      <c r="C61" s="1"/>
      <c r="D61" s="1"/>
      <c r="E61" s="1"/>
      <c r="F61" s="1"/>
      <c r="G61" s="618"/>
      <c r="H61" s="617"/>
    </row>
    <row r="62" spans="1:9" ht="15.75" customHeight="1" x14ac:dyDescent="0.15">
      <c r="A62" s="619" t="s">
        <v>890</v>
      </c>
      <c r="B62" s="620"/>
      <c r="C62" s="620"/>
      <c r="D62" s="620"/>
      <c r="E62" s="621"/>
      <c r="F62" s="1"/>
      <c r="G62" s="618"/>
      <c r="H62" s="617"/>
    </row>
    <row r="63" spans="1:9" ht="15.75" customHeight="1" x14ac:dyDescent="0.15">
      <c r="A63" s="622"/>
      <c r="B63" s="623"/>
      <c r="C63" s="623"/>
      <c r="D63" s="623"/>
      <c r="E63" s="624"/>
      <c r="F63" s="1"/>
      <c r="G63" s="618"/>
      <c r="H63" s="617"/>
    </row>
    <row r="64" spans="1:9" ht="15.75" customHeight="1" x14ac:dyDescent="0.15">
      <c r="A64" s="622"/>
      <c r="B64" s="623"/>
      <c r="C64" s="623"/>
      <c r="D64" s="623"/>
      <c r="E64" s="624"/>
      <c r="F64" s="1"/>
      <c r="G64" s="618"/>
      <c r="H64" s="617"/>
    </row>
    <row r="65" spans="1:11" ht="12.75" customHeight="1" x14ac:dyDescent="0.15">
      <c r="A65" s="622"/>
      <c r="B65" s="623"/>
      <c r="C65" s="623"/>
      <c r="D65" s="623"/>
      <c r="E65" s="624"/>
      <c r="G65" s="618"/>
      <c r="H65" s="617"/>
      <c r="J65" s="172"/>
    </row>
    <row r="66" spans="1:11" ht="12.75" customHeight="1" x14ac:dyDescent="0.15">
      <c r="A66" s="622"/>
      <c r="B66" s="623"/>
      <c r="C66" s="623"/>
      <c r="D66" s="623"/>
      <c r="E66" s="624"/>
      <c r="F66" s="11"/>
      <c r="G66" s="618"/>
      <c r="H66" s="617"/>
    </row>
    <row r="67" spans="1:11" ht="13.5" customHeight="1" thickBot="1" x14ac:dyDescent="0.2">
      <c r="A67" s="625"/>
      <c r="B67" s="626"/>
      <c r="C67" s="626"/>
      <c r="D67" s="626"/>
      <c r="E67" s="627"/>
      <c r="G67" s="64" t="s">
        <v>45</v>
      </c>
      <c r="H67" s="17" t="s">
        <v>6</v>
      </c>
    </row>
    <row r="68" spans="1:11" x14ac:dyDescent="0.15">
      <c r="A68" s="18"/>
      <c r="B68" s="18"/>
      <c r="C68" s="1"/>
      <c r="D68" s="18"/>
      <c r="E68" s="18"/>
      <c r="F68" s="18"/>
      <c r="G68" s="18"/>
      <c r="H68" s="1"/>
      <c r="J68" s="172"/>
      <c r="K68" s="105"/>
    </row>
    <row r="69" spans="1:11" ht="14" thickBot="1" x14ac:dyDescent="0.2">
      <c r="A69" s="12" t="s">
        <v>21</v>
      </c>
      <c r="B69" s="12"/>
      <c r="C69" s="1"/>
      <c r="D69" s="1"/>
      <c r="E69" s="1"/>
      <c r="F69" s="1"/>
      <c r="G69" s="1"/>
      <c r="H69" s="1"/>
    </row>
    <row r="70" spans="1:11" x14ac:dyDescent="0.15">
      <c r="A70" s="628" t="s">
        <v>22</v>
      </c>
      <c r="B70" s="629"/>
      <c r="C70" s="630"/>
      <c r="D70" s="205" t="s">
        <v>23</v>
      </c>
      <c r="E70" s="19" t="s">
        <v>108</v>
      </c>
      <c r="F70" s="205" t="s">
        <v>24</v>
      </c>
      <c r="G70" s="204" t="s">
        <v>25</v>
      </c>
      <c r="H70" s="43"/>
    </row>
    <row r="71" spans="1:11" x14ac:dyDescent="0.15">
      <c r="A71" s="631" t="s">
        <v>57</v>
      </c>
      <c r="B71" s="632"/>
      <c r="C71" s="633"/>
      <c r="D71" s="5"/>
      <c r="E71" s="178">
        <f>'[2]HERRAMIENTAS Y EQUIPOS'!C20</f>
        <v>100000</v>
      </c>
      <c r="F71" s="58">
        <v>8</v>
      </c>
      <c r="G71" s="163">
        <f>+E71/F71</f>
        <v>12500</v>
      </c>
      <c r="H71" s="44"/>
    </row>
    <row r="72" spans="1:11" x14ac:dyDescent="0.15">
      <c r="A72" s="631" t="s">
        <v>49</v>
      </c>
      <c r="B72" s="632"/>
      <c r="C72" s="633"/>
      <c r="D72" s="5"/>
      <c r="E72" s="162"/>
      <c r="F72" s="20"/>
      <c r="G72" s="163">
        <v>15000</v>
      </c>
      <c r="H72" s="44"/>
    </row>
    <row r="73" spans="1:11" ht="14" thickBot="1" x14ac:dyDescent="0.2">
      <c r="A73" s="634"/>
      <c r="B73" s="635"/>
      <c r="C73" s="636"/>
      <c r="D73" s="21"/>
      <c r="E73" s="22"/>
      <c r="F73" s="23"/>
      <c r="G73" s="47"/>
      <c r="H73" s="48"/>
    </row>
    <row r="74" spans="1:11" ht="14" thickBot="1" x14ac:dyDescent="0.2">
      <c r="A74" s="1"/>
      <c r="B74" s="1"/>
      <c r="C74" s="1"/>
      <c r="D74" s="1"/>
      <c r="E74" s="1"/>
      <c r="F74" s="1"/>
      <c r="G74" s="37" t="s">
        <v>26</v>
      </c>
      <c r="H74" s="161">
        <f>SUM(G71:G73)</f>
        <v>27500</v>
      </c>
    </row>
    <row r="75" spans="1:11" ht="14" thickBot="1" x14ac:dyDescent="0.2">
      <c r="A75" s="12" t="s">
        <v>27</v>
      </c>
      <c r="B75" s="12"/>
      <c r="C75" s="1"/>
      <c r="D75" s="1"/>
      <c r="E75" s="1"/>
      <c r="F75" s="1"/>
      <c r="G75" s="1"/>
      <c r="H75" s="1"/>
    </row>
    <row r="76" spans="1:11" x14ac:dyDescent="0.15">
      <c r="A76" s="628" t="s">
        <v>22</v>
      </c>
      <c r="B76" s="629"/>
      <c r="C76" s="630"/>
      <c r="D76" s="205" t="s">
        <v>28</v>
      </c>
      <c r="E76" s="205" t="s">
        <v>29</v>
      </c>
      <c r="F76" s="205" t="s">
        <v>30</v>
      </c>
      <c r="G76" s="204" t="s">
        <v>25</v>
      </c>
      <c r="H76" s="43"/>
    </row>
    <row r="77" spans="1:11" x14ac:dyDescent="0.15">
      <c r="A77" s="4" t="s">
        <v>101</v>
      </c>
      <c r="B77" s="24"/>
      <c r="C77" s="6"/>
      <c r="D77" s="3" t="s">
        <v>186</v>
      </c>
      <c r="E77" s="178">
        <f>MATERIALES!F10</f>
        <v>850</v>
      </c>
      <c r="F77" s="65">
        <f>7.6*50</f>
        <v>380</v>
      </c>
      <c r="G77" s="179">
        <f>F77*E77</f>
        <v>323000</v>
      </c>
      <c r="H77" s="44"/>
    </row>
    <row r="78" spans="1:11" x14ac:dyDescent="0.15">
      <c r="A78" s="4" t="s">
        <v>470</v>
      </c>
      <c r="B78" s="24"/>
      <c r="C78" s="6"/>
      <c r="D78" s="3" t="s">
        <v>6</v>
      </c>
      <c r="E78" s="164">
        <f>MATERIALES!C12</f>
        <v>162000</v>
      </c>
      <c r="F78" s="65">
        <v>0.77</v>
      </c>
      <c r="G78" s="179">
        <f>F78*E78</f>
        <v>124740</v>
      </c>
      <c r="H78" s="44"/>
    </row>
    <row r="79" spans="1:11" x14ac:dyDescent="0.15">
      <c r="A79" s="4" t="s">
        <v>471</v>
      </c>
      <c r="B79" s="24"/>
      <c r="C79" s="6"/>
      <c r="D79" s="3" t="s">
        <v>6</v>
      </c>
      <c r="E79" s="164">
        <f>MATERIALES!F14</f>
        <v>81000</v>
      </c>
      <c r="F79" s="180">
        <v>0.52300000000000002</v>
      </c>
      <c r="G79" s="179">
        <f>F79*E79</f>
        <v>42363</v>
      </c>
      <c r="H79" s="44"/>
    </row>
    <row r="80" spans="1:11" x14ac:dyDescent="0.15">
      <c r="A80" s="4" t="s">
        <v>60</v>
      </c>
      <c r="B80" s="24"/>
      <c r="C80" s="6"/>
      <c r="D80" s="5" t="s">
        <v>134</v>
      </c>
      <c r="E80" s="178">
        <f>MATERIALES!F16</f>
        <v>50</v>
      </c>
      <c r="F80" s="65">
        <f>29*7.6</f>
        <v>220.39999999999998</v>
      </c>
      <c r="G80" s="181">
        <f>F80*E80</f>
        <v>11019.999999999998</v>
      </c>
      <c r="H80" s="44"/>
    </row>
    <row r="81" spans="1:8" ht="14" thickBot="1" x14ac:dyDescent="0.2">
      <c r="A81" s="33" t="s">
        <v>161</v>
      </c>
      <c r="B81" s="34"/>
      <c r="C81" s="54"/>
      <c r="D81" s="21"/>
      <c r="E81" s="182">
        <f>SUM(G77:G80)</f>
        <v>501123</v>
      </c>
      <c r="F81" s="23">
        <v>0.05</v>
      </c>
      <c r="G81" s="183">
        <f>F81*E81</f>
        <v>25056.15</v>
      </c>
      <c r="H81" s="48"/>
    </row>
    <row r="82" spans="1:8" ht="14" thickBot="1" x14ac:dyDescent="0.2">
      <c r="A82" s="1"/>
      <c r="B82" s="1"/>
      <c r="C82" s="1"/>
      <c r="D82" s="1"/>
      <c r="E82" s="1"/>
      <c r="F82" s="1"/>
      <c r="G82" s="37" t="s">
        <v>26</v>
      </c>
      <c r="H82" s="175">
        <f>SUM(G77:G81)</f>
        <v>526179.15</v>
      </c>
    </row>
    <row r="83" spans="1:8" ht="14" thickBot="1" x14ac:dyDescent="0.2">
      <c r="A83" s="28" t="s">
        <v>31</v>
      </c>
      <c r="B83" s="28"/>
      <c r="C83" s="26"/>
      <c r="D83" s="1"/>
      <c r="E83" s="1"/>
      <c r="F83" s="1"/>
      <c r="G83" s="1"/>
      <c r="H83" s="1"/>
    </row>
    <row r="84" spans="1:8" x14ac:dyDescent="0.15">
      <c r="A84" s="51" t="s">
        <v>32</v>
      </c>
      <c r="B84" s="52"/>
      <c r="C84" s="96" t="s">
        <v>33</v>
      </c>
      <c r="D84" s="205" t="s">
        <v>34</v>
      </c>
      <c r="E84" s="205" t="s">
        <v>35</v>
      </c>
      <c r="F84" s="205" t="s">
        <v>36</v>
      </c>
      <c r="G84" s="59" t="s">
        <v>25</v>
      </c>
      <c r="H84" s="43"/>
    </row>
    <row r="85" spans="1:8" x14ac:dyDescent="0.15">
      <c r="A85" s="4" t="s">
        <v>204</v>
      </c>
      <c r="B85" s="6"/>
      <c r="C85" s="60">
        <v>0.45500000000000002</v>
      </c>
      <c r="D85" s="60">
        <v>15</v>
      </c>
      <c r="E85" s="2">
        <f>D85*C85</f>
        <v>6.8250000000000002</v>
      </c>
      <c r="F85" s="160">
        <v>1100</v>
      </c>
      <c r="G85" s="55">
        <f>F85*E85</f>
        <v>7507.5</v>
      </c>
      <c r="H85" s="44"/>
    </row>
    <row r="86" spans="1:8" x14ac:dyDescent="0.15">
      <c r="A86" s="4" t="s">
        <v>148</v>
      </c>
      <c r="B86" s="6"/>
      <c r="C86" s="60">
        <f>F78</f>
        <v>0.77</v>
      </c>
      <c r="D86" s="60">
        <v>15</v>
      </c>
      <c r="E86" s="2">
        <f>D86*C86</f>
        <v>11.55</v>
      </c>
      <c r="F86" s="160">
        <v>1100</v>
      </c>
      <c r="G86" s="55">
        <f>F86*E86</f>
        <v>12705</v>
      </c>
      <c r="H86" s="44"/>
    </row>
    <row r="87" spans="1:8" x14ac:dyDescent="0.15">
      <c r="A87" s="4" t="s">
        <v>59</v>
      </c>
      <c r="B87" s="6"/>
      <c r="C87" s="60">
        <f>F79</f>
        <v>0.52300000000000002</v>
      </c>
      <c r="D87" s="60">
        <v>15</v>
      </c>
      <c r="E87" s="2">
        <f>D87*C87</f>
        <v>7.8450000000000006</v>
      </c>
      <c r="F87" s="160">
        <v>1100</v>
      </c>
      <c r="G87" s="55">
        <f>F87*E87</f>
        <v>8629.5</v>
      </c>
      <c r="H87" s="44"/>
    </row>
    <row r="88" spans="1:8" ht="14" thickBot="1" x14ac:dyDescent="0.2">
      <c r="A88" s="33" t="s">
        <v>60</v>
      </c>
      <c r="B88" s="54"/>
      <c r="C88" s="107">
        <v>0.2</v>
      </c>
      <c r="D88" s="208">
        <v>15</v>
      </c>
      <c r="E88" s="108">
        <f>D88*C88</f>
        <v>3</v>
      </c>
      <c r="F88" s="165">
        <v>1100</v>
      </c>
      <c r="G88" s="87">
        <f>F88*E88</f>
        <v>3300</v>
      </c>
      <c r="H88" s="48"/>
    </row>
    <row r="89" spans="1:8" ht="14" thickBot="1" x14ac:dyDescent="0.2">
      <c r="A89" s="1"/>
      <c r="B89" s="1"/>
      <c r="C89" s="1"/>
      <c r="D89" s="1"/>
      <c r="E89" s="1"/>
      <c r="F89" s="1"/>
      <c r="G89" s="37" t="s">
        <v>26</v>
      </c>
      <c r="H89" s="109">
        <f>SUM(G85:G88)</f>
        <v>32142</v>
      </c>
    </row>
    <row r="90" spans="1:8" ht="14" thickBot="1" x14ac:dyDescent="0.2">
      <c r="A90" s="28" t="s">
        <v>37</v>
      </c>
      <c r="B90" s="28"/>
      <c r="C90" s="1"/>
      <c r="D90" s="1"/>
      <c r="E90" s="1"/>
      <c r="F90" s="1"/>
      <c r="G90" s="1"/>
      <c r="H90" s="1"/>
    </row>
    <row r="91" spans="1:8" x14ac:dyDescent="0.15">
      <c r="A91" s="51" t="s">
        <v>38</v>
      </c>
      <c r="B91" s="86"/>
      <c r="C91" s="31" t="s">
        <v>39</v>
      </c>
      <c r="D91" s="205" t="s">
        <v>40</v>
      </c>
      <c r="E91" s="19" t="s">
        <v>41</v>
      </c>
      <c r="F91" s="31" t="s">
        <v>24</v>
      </c>
      <c r="G91" s="204" t="s">
        <v>25</v>
      </c>
      <c r="H91" s="43"/>
    </row>
    <row r="92" spans="1:8" x14ac:dyDescent="0.15">
      <c r="A92" s="4"/>
      <c r="B92" s="24"/>
      <c r="C92" s="32"/>
      <c r="D92" s="166"/>
      <c r="E92" s="162"/>
      <c r="F92" s="20"/>
      <c r="G92" s="167"/>
      <c r="H92" s="44"/>
    </row>
    <row r="93" spans="1:8" ht="14" thickBot="1" x14ac:dyDescent="0.2">
      <c r="A93" s="33"/>
      <c r="B93" s="34"/>
      <c r="C93" s="110"/>
      <c r="D93" s="206"/>
      <c r="E93" s="165"/>
      <c r="F93" s="23"/>
      <c r="G93" s="207"/>
      <c r="H93" s="48"/>
    </row>
    <row r="94" spans="1:8" ht="14" thickBot="1" x14ac:dyDescent="0.2">
      <c r="A94" s="1"/>
      <c r="B94" s="1"/>
      <c r="C94" s="1"/>
      <c r="D94" s="1"/>
      <c r="E94" s="1"/>
      <c r="F94" s="1"/>
      <c r="G94" s="37" t="s">
        <v>26</v>
      </c>
      <c r="H94" s="175">
        <f>SUM(G92:G93)</f>
        <v>0</v>
      </c>
    </row>
    <row r="95" spans="1:8" ht="14" thickBot="1" x14ac:dyDescent="0.2">
      <c r="A95" s="1"/>
      <c r="B95" s="1"/>
      <c r="C95" s="1"/>
      <c r="D95" s="1"/>
      <c r="E95" s="1"/>
      <c r="F95" s="1"/>
      <c r="G95" s="61"/>
      <c r="H95" s="1"/>
    </row>
    <row r="96" spans="1:8" ht="15" thickBot="1" x14ac:dyDescent="0.2">
      <c r="A96" s="1"/>
      <c r="B96" s="1"/>
      <c r="C96" s="1"/>
      <c r="D96" s="1"/>
      <c r="E96" s="35" t="s">
        <v>43</v>
      </c>
      <c r="F96" s="36"/>
      <c r="G96" s="185"/>
      <c r="H96" s="168">
        <f>ROUND((H74+H82+H89+H94),0)</f>
        <v>585821</v>
      </c>
    </row>
    <row r="97" spans="1:9" x14ac:dyDescent="0.15">
      <c r="A97" s="12"/>
      <c r="B97" s="12"/>
      <c r="C97" s="1"/>
      <c r="D97" s="1"/>
      <c r="E97" s="1"/>
      <c r="F97" s="1"/>
      <c r="G97" s="1"/>
      <c r="H97" s="1"/>
    </row>
    <row r="98" spans="1:9" x14ac:dyDescent="0.15">
      <c r="A98" s="16"/>
      <c r="B98" s="16"/>
      <c r="C98" s="16"/>
      <c r="D98" s="16"/>
      <c r="E98" s="16"/>
      <c r="F98" s="61"/>
      <c r="G98" s="61"/>
      <c r="H98" s="1"/>
    </row>
    <row r="99" spans="1:9" x14ac:dyDescent="0.15">
      <c r="A99" s="1"/>
      <c r="B99" s="1"/>
      <c r="C99" s="1"/>
      <c r="D99" s="1"/>
      <c r="E99" s="1"/>
      <c r="F99" s="159"/>
      <c r="G99" s="170"/>
      <c r="H99" s="170"/>
    </row>
    <row r="100" spans="1:9" x14ac:dyDescent="0.15">
      <c r="A100" s="1"/>
      <c r="B100" s="1"/>
      <c r="C100" s="1"/>
      <c r="D100" s="1"/>
      <c r="E100" s="1"/>
      <c r="F100" s="159"/>
      <c r="G100" s="170"/>
      <c r="H100" s="170"/>
    </row>
    <row r="101" spans="1:9" x14ac:dyDescent="0.15">
      <c r="A101" s="1"/>
      <c r="B101" s="1"/>
      <c r="C101" s="1"/>
      <c r="D101" s="1"/>
      <c r="E101" s="1"/>
      <c r="F101" s="159"/>
      <c r="G101" s="170"/>
      <c r="H101" s="170"/>
    </row>
    <row r="102" spans="1:9" x14ac:dyDescent="0.15">
      <c r="A102" s="1"/>
      <c r="B102" s="1"/>
      <c r="C102" s="1"/>
      <c r="D102" s="1"/>
      <c r="E102" s="1"/>
      <c r="F102" s="1"/>
      <c r="G102" s="37"/>
      <c r="H102" s="170"/>
    </row>
    <row r="103" spans="1:9" ht="14" x14ac:dyDescent="0.15">
      <c r="A103" s="101"/>
      <c r="B103" s="83"/>
      <c r="C103" s="84"/>
      <c r="D103" s="83"/>
      <c r="E103" s="83"/>
      <c r="F103" s="102"/>
      <c r="G103" s="83"/>
      <c r="H103" s="85"/>
      <c r="I103" s="85"/>
    </row>
    <row r="104" spans="1:9" ht="14" x14ac:dyDescent="0.15">
      <c r="A104" s="83"/>
      <c r="B104" s="83"/>
      <c r="C104" s="84"/>
      <c r="D104" s="83"/>
      <c r="E104" s="83"/>
      <c r="F104" s="103"/>
      <c r="G104" s="83"/>
      <c r="H104" s="85"/>
      <c r="I104" s="85"/>
    </row>
    <row r="105" spans="1:9" x14ac:dyDescent="0.15">
      <c r="C105" s="1"/>
      <c r="D105" s="15"/>
      <c r="E105" s="16"/>
      <c r="F105" s="16"/>
      <c r="G105" s="16"/>
      <c r="H105" s="169"/>
    </row>
    <row r="106" spans="1:9" ht="14" x14ac:dyDescent="0.15">
      <c r="A106" s="83"/>
      <c r="B106" s="83"/>
      <c r="C106" s="84"/>
      <c r="D106" s="83"/>
      <c r="E106" s="83"/>
      <c r="F106" s="103"/>
      <c r="G106" s="83"/>
      <c r="H106" s="85"/>
      <c r="I106" s="85"/>
    </row>
    <row r="107" spans="1:9" x14ac:dyDescent="0.15">
      <c r="C107" s="1"/>
      <c r="D107" s="15"/>
      <c r="E107" s="16"/>
      <c r="F107" s="16"/>
      <c r="G107" s="16"/>
      <c r="H107" s="169"/>
    </row>
    <row r="108" spans="1:9" x14ac:dyDescent="0.15">
      <c r="C108" s="1"/>
      <c r="D108" s="15"/>
      <c r="E108" s="16"/>
      <c r="F108" s="16"/>
      <c r="G108" s="16"/>
      <c r="H108" s="169"/>
    </row>
    <row r="109" spans="1:9" ht="14" x14ac:dyDescent="0.15">
      <c r="A109" s="83"/>
      <c r="B109" s="83"/>
      <c r="C109" s="84"/>
      <c r="D109" s="83"/>
      <c r="E109" s="83"/>
      <c r="F109" s="103"/>
      <c r="G109" s="83"/>
      <c r="H109" s="85"/>
      <c r="I109" s="85"/>
    </row>
    <row r="110" spans="1:9" ht="14" x14ac:dyDescent="0.15">
      <c r="A110" s="83"/>
      <c r="B110" s="83"/>
      <c r="C110" s="84"/>
      <c r="D110" s="83"/>
      <c r="E110" s="83"/>
      <c r="F110" s="103"/>
      <c r="G110" s="83"/>
      <c r="H110" s="85"/>
      <c r="I110" s="85"/>
    </row>
    <row r="112" spans="1:9" ht="14" thickBot="1" x14ac:dyDescent="0.2">
      <c r="C112" s="1"/>
      <c r="D112" s="15"/>
      <c r="E112" s="16"/>
      <c r="F112" s="16"/>
      <c r="G112" s="16"/>
      <c r="H112" s="169"/>
    </row>
    <row r="113" spans="1:8" ht="21" customHeight="1" x14ac:dyDescent="0.15">
      <c r="A113" s="607" t="s">
        <v>1065</v>
      </c>
      <c r="B113" s="608"/>
      <c r="C113" s="608"/>
      <c r="D113" s="608"/>
      <c r="E113" s="609"/>
      <c r="F113" s="1"/>
      <c r="G113" s="638" t="s">
        <v>20</v>
      </c>
      <c r="H113" s="639"/>
    </row>
    <row r="114" spans="1:8" ht="16.5" customHeight="1" x14ac:dyDescent="0.15">
      <c r="A114" s="604" t="s">
        <v>446</v>
      </c>
      <c r="B114" s="605"/>
      <c r="C114" s="605"/>
      <c r="D114" s="605"/>
      <c r="E114" s="606"/>
      <c r="F114" s="63"/>
      <c r="G114" s="640"/>
      <c r="H114" s="641"/>
    </row>
    <row r="115" spans="1:8" ht="12.75" customHeight="1" x14ac:dyDescent="0.15">
      <c r="A115" s="610" t="s">
        <v>447</v>
      </c>
      <c r="B115" s="611"/>
      <c r="C115" s="611"/>
      <c r="D115" s="611"/>
      <c r="E115" s="612"/>
      <c r="F115" s="63"/>
      <c r="G115" s="642"/>
      <c r="H115" s="643"/>
    </row>
    <row r="116" spans="1:8" ht="16.5" customHeight="1" thickBot="1" x14ac:dyDescent="0.2">
      <c r="A116" s="613"/>
      <c r="B116" s="614"/>
      <c r="C116" s="614"/>
      <c r="D116" s="614"/>
      <c r="E116" s="615"/>
      <c r="F116" s="1"/>
      <c r="G116" s="644" t="s">
        <v>201</v>
      </c>
      <c r="H116" s="645"/>
    </row>
    <row r="117" spans="1:8" ht="14" thickBot="1" x14ac:dyDescent="0.2">
      <c r="A117" s="15"/>
      <c r="B117" s="16"/>
      <c r="C117" s="1"/>
      <c r="D117" s="1"/>
      <c r="E117" s="1"/>
      <c r="F117" s="1"/>
      <c r="G117" s="646"/>
      <c r="H117" s="647"/>
    </row>
    <row r="118" spans="1:8" ht="12.75" customHeight="1" x14ac:dyDescent="0.15">
      <c r="A118" s="619" t="s">
        <v>890</v>
      </c>
      <c r="B118" s="620"/>
      <c r="C118" s="620"/>
      <c r="D118" s="620"/>
      <c r="E118" s="621"/>
      <c r="F118" s="1"/>
      <c r="G118" s="646"/>
      <c r="H118" s="647"/>
    </row>
    <row r="119" spans="1:8" ht="12.75" customHeight="1" x14ac:dyDescent="0.15">
      <c r="A119" s="622"/>
      <c r="B119" s="623"/>
      <c r="C119" s="623"/>
      <c r="D119" s="623"/>
      <c r="E119" s="624"/>
      <c r="F119" s="1"/>
      <c r="G119" s="646"/>
      <c r="H119" s="647"/>
    </row>
    <row r="120" spans="1:8" ht="12.75" customHeight="1" x14ac:dyDescent="0.15">
      <c r="A120" s="622"/>
      <c r="B120" s="623"/>
      <c r="C120" s="623"/>
      <c r="D120" s="623"/>
      <c r="E120" s="624"/>
      <c r="F120" s="1"/>
      <c r="G120" s="646"/>
      <c r="H120" s="647"/>
    </row>
    <row r="121" spans="1:8" ht="12.75" customHeight="1" x14ac:dyDescent="0.15">
      <c r="A121" s="622"/>
      <c r="B121" s="623"/>
      <c r="C121" s="623"/>
      <c r="D121" s="623"/>
      <c r="E121" s="624"/>
      <c r="G121" s="646"/>
      <c r="H121" s="647"/>
    </row>
    <row r="122" spans="1:8" ht="13.5" customHeight="1" x14ac:dyDescent="0.15">
      <c r="A122" s="622"/>
      <c r="B122" s="623"/>
      <c r="C122" s="623"/>
      <c r="D122" s="623"/>
      <c r="E122" s="624"/>
      <c r="F122" s="11"/>
      <c r="G122" s="648"/>
      <c r="H122" s="649"/>
    </row>
    <row r="123" spans="1:8" ht="21.75" customHeight="1" thickBot="1" x14ac:dyDescent="0.2">
      <c r="A123" s="625"/>
      <c r="B123" s="626"/>
      <c r="C123" s="626"/>
      <c r="D123" s="626"/>
      <c r="E123" s="627"/>
      <c r="G123" s="64" t="s">
        <v>45</v>
      </c>
      <c r="H123" s="17" t="s">
        <v>6</v>
      </c>
    </row>
    <row r="124" spans="1:8" x14ac:dyDescent="0.15">
      <c r="A124" s="18"/>
      <c r="B124" s="18"/>
      <c r="C124" s="1"/>
      <c r="D124" s="18"/>
      <c r="E124" s="18"/>
      <c r="F124" s="18"/>
      <c r="G124" s="18"/>
      <c r="H124" s="1"/>
    </row>
    <row r="125" spans="1:8" ht="14" thickBot="1" x14ac:dyDescent="0.2">
      <c r="A125" s="12" t="s">
        <v>21</v>
      </c>
      <c r="B125" s="12"/>
      <c r="C125" s="1"/>
      <c r="D125" s="1"/>
      <c r="E125" s="1"/>
      <c r="F125" s="1"/>
      <c r="G125" s="1"/>
      <c r="H125" s="1"/>
    </row>
    <row r="126" spans="1:8" ht="15.75" customHeight="1" x14ac:dyDescent="0.15">
      <c r="A126" s="628" t="s">
        <v>22</v>
      </c>
      <c r="B126" s="629"/>
      <c r="C126" s="630"/>
      <c r="D126" s="205" t="s">
        <v>23</v>
      </c>
      <c r="E126" s="19" t="s">
        <v>108</v>
      </c>
      <c r="F126" s="205" t="s">
        <v>24</v>
      </c>
      <c r="G126" s="204" t="s">
        <v>25</v>
      </c>
      <c r="H126" s="43"/>
    </row>
    <row r="127" spans="1:8" x14ac:dyDescent="0.15">
      <c r="A127" s="631" t="s">
        <v>57</v>
      </c>
      <c r="B127" s="632"/>
      <c r="C127" s="633"/>
      <c r="D127" s="5"/>
      <c r="E127" s="178">
        <f>'HERRAMIENTAS Y EQUIPOS'!C21</f>
        <v>100000</v>
      </c>
      <c r="F127" s="58">
        <v>8</v>
      </c>
      <c r="G127" s="163">
        <f>+E127/F127</f>
        <v>12500</v>
      </c>
      <c r="H127" s="44"/>
    </row>
    <row r="128" spans="1:8" x14ac:dyDescent="0.15">
      <c r="A128" s="631"/>
      <c r="B128" s="632"/>
      <c r="C128" s="633"/>
      <c r="D128" s="5"/>
      <c r="E128" s="160"/>
      <c r="F128" s="58"/>
      <c r="G128" s="163"/>
      <c r="H128" s="44"/>
    </row>
    <row r="129" spans="1:8" ht="14" thickBot="1" x14ac:dyDescent="0.2">
      <c r="A129" s="634"/>
      <c r="B129" s="635"/>
      <c r="C129" s="636"/>
      <c r="D129" s="21"/>
      <c r="E129" s="22"/>
      <c r="F129" s="23"/>
      <c r="G129" s="47"/>
      <c r="H129" s="48"/>
    </row>
    <row r="130" spans="1:8" ht="14" thickBot="1" x14ac:dyDescent="0.2">
      <c r="A130" s="1"/>
      <c r="B130" s="1"/>
      <c r="C130" s="1"/>
      <c r="D130" s="1"/>
      <c r="E130" s="1"/>
      <c r="F130" s="1"/>
      <c r="G130" s="37" t="s">
        <v>26</v>
      </c>
      <c r="H130" s="161">
        <f>SUM(G127:G129)</f>
        <v>12500</v>
      </c>
    </row>
    <row r="131" spans="1:8" ht="14" thickBot="1" x14ac:dyDescent="0.2">
      <c r="A131" s="12" t="s">
        <v>27</v>
      </c>
      <c r="B131" s="12"/>
      <c r="C131" s="1"/>
      <c r="D131" s="1"/>
      <c r="E131" s="1"/>
      <c r="F131" s="1"/>
      <c r="G131" s="1"/>
      <c r="H131" s="1"/>
    </row>
    <row r="132" spans="1:8" x14ac:dyDescent="0.15">
      <c r="A132" s="628" t="s">
        <v>22</v>
      </c>
      <c r="B132" s="629"/>
      <c r="C132" s="630"/>
      <c r="D132" s="205" t="s">
        <v>28</v>
      </c>
      <c r="E132" s="205" t="s">
        <v>29</v>
      </c>
      <c r="F132" s="205" t="s">
        <v>30</v>
      </c>
      <c r="G132" s="204" t="s">
        <v>25</v>
      </c>
      <c r="H132" s="43"/>
    </row>
    <row r="133" spans="1:8" x14ac:dyDescent="0.15">
      <c r="A133" s="4" t="s">
        <v>101</v>
      </c>
      <c r="B133" s="24"/>
      <c r="C133" s="6"/>
      <c r="D133" s="3" t="s">
        <v>186</v>
      </c>
      <c r="E133" s="178">
        <f>MATERIALES!F10</f>
        <v>850</v>
      </c>
      <c r="F133" s="73">
        <v>364</v>
      </c>
      <c r="G133" s="163">
        <f>F133*E133</f>
        <v>309400</v>
      </c>
      <c r="H133" s="44"/>
    </row>
    <row r="134" spans="1:8" x14ac:dyDescent="0.15">
      <c r="A134" s="4" t="s">
        <v>93</v>
      </c>
      <c r="B134" s="24"/>
      <c r="C134" s="6"/>
      <c r="D134" s="3" t="s">
        <v>6</v>
      </c>
      <c r="E134" s="164">
        <f>MATERIALES!F15</f>
        <v>81000</v>
      </c>
      <c r="F134" s="73">
        <v>1.1599999999999999</v>
      </c>
      <c r="G134" s="163">
        <f>F134*E134</f>
        <v>93960</v>
      </c>
      <c r="H134" s="44"/>
    </row>
    <row r="135" spans="1:8" x14ac:dyDescent="0.15">
      <c r="A135" s="4" t="s">
        <v>60</v>
      </c>
      <c r="B135" s="24"/>
      <c r="C135" s="6"/>
      <c r="D135" s="5" t="s">
        <v>134</v>
      </c>
      <c r="E135" s="164">
        <f>MATERIALES!F16</f>
        <v>50</v>
      </c>
      <c r="F135" s="73">
        <v>220</v>
      </c>
      <c r="G135" s="184">
        <f>F135*E135</f>
        <v>11000</v>
      </c>
      <c r="H135" s="44"/>
    </row>
    <row r="136" spans="1:8" x14ac:dyDescent="0.15">
      <c r="A136" s="4" t="s">
        <v>190</v>
      </c>
      <c r="B136" s="24"/>
      <c r="C136" s="6"/>
      <c r="D136" s="5" t="s">
        <v>186</v>
      </c>
      <c r="E136" s="164">
        <f>MATERIALES!F29</f>
        <v>18200</v>
      </c>
      <c r="F136" s="73">
        <v>10.92</v>
      </c>
      <c r="G136" s="184">
        <f>F136*E136</f>
        <v>198744</v>
      </c>
      <c r="H136" s="44"/>
    </row>
    <row r="137" spans="1:8" x14ac:dyDescent="0.15">
      <c r="A137" s="4" t="s">
        <v>161</v>
      </c>
      <c r="B137" s="24"/>
      <c r="C137" s="6"/>
      <c r="D137" s="5" t="s">
        <v>62</v>
      </c>
      <c r="E137" s="162">
        <f>SUM(G133:G135)</f>
        <v>414360</v>
      </c>
      <c r="F137" s="73">
        <v>0.05</v>
      </c>
      <c r="G137" s="184">
        <f>F137*E137</f>
        <v>20718</v>
      </c>
      <c r="H137" s="44"/>
    </row>
    <row r="138" spans="1:8" ht="14" thickBot="1" x14ac:dyDescent="0.2">
      <c r="A138" s="25"/>
      <c r="B138" s="26"/>
      <c r="C138" s="27"/>
      <c r="D138" s="21"/>
      <c r="E138" s="22"/>
      <c r="F138" s="72"/>
      <c r="G138" s="47"/>
      <c r="H138" s="48"/>
    </row>
    <row r="139" spans="1:8" ht="14" thickBot="1" x14ac:dyDescent="0.2">
      <c r="A139" s="1"/>
      <c r="B139" s="1"/>
      <c r="C139" s="1"/>
      <c r="D139" s="1"/>
      <c r="E139" s="1"/>
      <c r="F139" s="1"/>
      <c r="G139" s="37" t="s">
        <v>26</v>
      </c>
      <c r="H139" s="161">
        <f>SUM(G133:G138)</f>
        <v>633822</v>
      </c>
    </row>
    <row r="140" spans="1:8" ht="14" thickBot="1" x14ac:dyDescent="0.2">
      <c r="A140" s="28" t="s">
        <v>31</v>
      </c>
      <c r="B140" s="28"/>
      <c r="C140" s="26"/>
      <c r="D140" s="1"/>
      <c r="E140" s="1"/>
      <c r="F140" s="1"/>
      <c r="G140" s="1"/>
      <c r="H140" s="1"/>
    </row>
    <row r="141" spans="1:8" x14ac:dyDescent="0.15">
      <c r="A141" s="51" t="s">
        <v>32</v>
      </c>
      <c r="B141" s="86"/>
      <c r="C141" s="96" t="s">
        <v>33</v>
      </c>
      <c r="D141" s="205" t="s">
        <v>34</v>
      </c>
      <c r="E141" s="205" t="s">
        <v>35</v>
      </c>
      <c r="F141" s="205" t="s">
        <v>36</v>
      </c>
      <c r="G141" s="59" t="s">
        <v>25</v>
      </c>
      <c r="H141" s="43"/>
    </row>
    <row r="142" spans="1:8" x14ac:dyDescent="0.15">
      <c r="A142" s="4" t="s">
        <v>101</v>
      </c>
      <c r="B142" s="6"/>
      <c r="C142" s="60">
        <v>0.45500000000000002</v>
      </c>
      <c r="D142" s="2">
        <v>15</v>
      </c>
      <c r="E142" s="2">
        <f>D142*C142</f>
        <v>6.8250000000000002</v>
      </c>
      <c r="F142" s="160">
        <v>1100</v>
      </c>
      <c r="G142" s="55">
        <f>F142*E142</f>
        <v>7507.5</v>
      </c>
      <c r="H142" s="44"/>
    </row>
    <row r="143" spans="1:8" x14ac:dyDescent="0.15">
      <c r="A143" s="4" t="s">
        <v>93</v>
      </c>
      <c r="B143" s="6"/>
      <c r="C143" s="60">
        <f>+F134</f>
        <v>1.1599999999999999</v>
      </c>
      <c r="D143" s="60">
        <v>15</v>
      </c>
      <c r="E143" s="2">
        <f>+C143*D143</f>
        <v>17.399999999999999</v>
      </c>
      <c r="F143" s="160">
        <v>1100</v>
      </c>
      <c r="G143" s="162">
        <f>F143*E143</f>
        <v>19140</v>
      </c>
      <c r="H143" s="44"/>
    </row>
    <row r="144" spans="1:8" x14ac:dyDescent="0.15">
      <c r="A144" s="4" t="s">
        <v>60</v>
      </c>
      <c r="B144" s="6"/>
      <c r="C144" s="60">
        <v>0.2</v>
      </c>
      <c r="D144" s="2">
        <v>15</v>
      </c>
      <c r="E144" s="2">
        <f>+C144*D144</f>
        <v>3</v>
      </c>
      <c r="F144" s="160">
        <v>1100</v>
      </c>
      <c r="G144" s="162">
        <f>F144*E144</f>
        <v>3300</v>
      </c>
      <c r="H144" s="44"/>
    </row>
    <row r="145" spans="1:8" x14ac:dyDescent="0.15">
      <c r="A145" s="4" t="s">
        <v>102</v>
      </c>
      <c r="B145" s="30"/>
      <c r="C145" s="60">
        <v>0.05</v>
      </c>
      <c r="D145" s="2">
        <v>15</v>
      </c>
      <c r="E145" s="2">
        <f>+C145*D145</f>
        <v>0.75</v>
      </c>
      <c r="F145" s="160">
        <v>1100</v>
      </c>
      <c r="G145" s="162">
        <f>+E145*F145</f>
        <v>825</v>
      </c>
      <c r="H145" s="44"/>
    </row>
    <row r="146" spans="1:8" ht="14" thickBot="1" x14ac:dyDescent="0.2">
      <c r="A146" s="33"/>
      <c r="B146" s="54"/>
      <c r="C146" s="21"/>
      <c r="D146" s="22"/>
      <c r="E146" s="23"/>
      <c r="F146" s="47"/>
      <c r="G146" s="21"/>
      <c r="H146" s="48"/>
    </row>
    <row r="147" spans="1:8" ht="14" thickBot="1" x14ac:dyDescent="0.2">
      <c r="A147" s="1"/>
      <c r="B147" s="1"/>
      <c r="C147" s="1"/>
      <c r="D147" s="1"/>
      <c r="E147" s="1"/>
      <c r="F147" s="1"/>
      <c r="G147" s="37" t="s">
        <v>26</v>
      </c>
      <c r="H147" s="49">
        <f>SUM(G143:G146)</f>
        <v>23265</v>
      </c>
    </row>
    <row r="148" spans="1:8" ht="14" thickBot="1" x14ac:dyDescent="0.2">
      <c r="A148" s="28" t="s">
        <v>37</v>
      </c>
      <c r="B148" s="28"/>
      <c r="C148" s="1"/>
      <c r="D148" s="1"/>
      <c r="E148" s="1"/>
      <c r="F148" s="1"/>
      <c r="G148" s="1"/>
      <c r="H148" s="1"/>
    </row>
    <row r="149" spans="1:8" x14ac:dyDescent="0.15">
      <c r="A149" s="51" t="s">
        <v>38</v>
      </c>
      <c r="B149" s="86"/>
      <c r="C149" s="31" t="s">
        <v>39</v>
      </c>
      <c r="D149" s="205" t="s">
        <v>40</v>
      </c>
      <c r="E149" s="19" t="s">
        <v>41</v>
      </c>
      <c r="F149" s="31" t="s">
        <v>24</v>
      </c>
      <c r="G149" s="204" t="s">
        <v>25</v>
      </c>
      <c r="H149" s="43"/>
    </row>
    <row r="150" spans="1:8" ht="14" thickBot="1" x14ac:dyDescent="0.2">
      <c r="A150" s="33"/>
      <c r="B150" s="34"/>
      <c r="C150" s="22"/>
      <c r="D150" s="21"/>
      <c r="E150" s="22"/>
      <c r="F150" s="23"/>
      <c r="G150" s="47"/>
      <c r="H150" s="48"/>
    </row>
    <row r="151" spans="1:8" ht="14" thickBot="1" x14ac:dyDescent="0.2">
      <c r="A151" s="1"/>
      <c r="B151" s="1"/>
      <c r="C151" s="1"/>
      <c r="D151" s="1"/>
      <c r="E151" s="1"/>
      <c r="F151" s="1"/>
      <c r="G151" s="37" t="s">
        <v>26</v>
      </c>
      <c r="H151" s="175"/>
    </row>
    <row r="152" spans="1:8" ht="14" thickBot="1" x14ac:dyDescent="0.2">
      <c r="A152" s="1"/>
      <c r="B152" s="1"/>
      <c r="C152" s="1"/>
      <c r="D152" s="1"/>
      <c r="E152" s="1"/>
      <c r="F152" s="1"/>
      <c r="G152" s="61"/>
      <c r="H152" s="1"/>
    </row>
    <row r="153" spans="1:8" ht="15" thickBot="1" x14ac:dyDescent="0.2">
      <c r="A153" s="1"/>
      <c r="B153" s="1"/>
      <c r="C153" s="1"/>
      <c r="D153" s="1"/>
      <c r="E153" s="35" t="s">
        <v>43</v>
      </c>
      <c r="F153" s="36"/>
      <c r="G153" s="185"/>
      <c r="H153" s="168">
        <f>ROUND((H130+H139+H147+H151),0)</f>
        <v>669587</v>
      </c>
    </row>
    <row r="154" spans="1:8" x14ac:dyDescent="0.15">
      <c r="A154" s="12"/>
      <c r="B154" s="12"/>
      <c r="C154" s="1"/>
      <c r="D154" s="1"/>
      <c r="E154" s="1"/>
      <c r="F154" s="1"/>
      <c r="G154" s="170"/>
      <c r="H154" s="170"/>
    </row>
    <row r="155" spans="1:8" x14ac:dyDescent="0.15">
      <c r="A155" s="16"/>
      <c r="B155" s="16"/>
      <c r="C155" s="16"/>
      <c r="D155" s="16"/>
      <c r="E155" s="16"/>
      <c r="F155" s="61"/>
      <c r="G155" s="171"/>
      <c r="H155" s="170"/>
    </row>
    <row r="156" spans="1:8" x14ac:dyDescent="0.15">
      <c r="A156" s="1"/>
      <c r="B156" s="1"/>
      <c r="C156" s="1"/>
      <c r="D156" s="1"/>
      <c r="E156" s="1"/>
      <c r="F156" s="159"/>
      <c r="G156" s="170"/>
      <c r="H156" s="170"/>
    </row>
    <row r="157" spans="1:8" x14ac:dyDescent="0.15">
      <c r="A157" s="1"/>
      <c r="B157" s="1"/>
      <c r="C157" s="1"/>
      <c r="D157" s="1"/>
      <c r="E157" s="1"/>
      <c r="F157" s="159"/>
      <c r="G157" s="170"/>
      <c r="H157" s="170"/>
    </row>
    <row r="158" spans="1:8" x14ac:dyDescent="0.15">
      <c r="A158" s="1"/>
      <c r="B158" s="1"/>
      <c r="C158" s="1"/>
      <c r="D158" s="1"/>
      <c r="E158" s="1"/>
      <c r="F158" s="159"/>
      <c r="G158" s="170"/>
      <c r="H158" s="170"/>
    </row>
    <row r="159" spans="1:8" x14ac:dyDescent="0.15">
      <c r="A159" s="1"/>
      <c r="B159" s="1"/>
      <c r="C159" s="1"/>
      <c r="D159" s="1"/>
      <c r="E159" s="1"/>
      <c r="F159" s="1"/>
      <c r="G159" s="37"/>
      <c r="H159" s="170"/>
    </row>
    <row r="160" spans="1:8" ht="14" x14ac:dyDescent="0.15">
      <c r="A160" s="101"/>
      <c r="B160" s="1"/>
      <c r="C160" s="1"/>
      <c r="D160" s="1"/>
      <c r="E160" s="1"/>
      <c r="F160" s="1"/>
      <c r="G160" s="1"/>
      <c r="H160" s="170"/>
    </row>
    <row r="161" spans="1:9" ht="14" x14ac:dyDescent="0.15">
      <c r="A161" s="83"/>
      <c r="B161" s="11"/>
      <c r="C161" s="1"/>
      <c r="D161" s="637"/>
      <c r="E161" s="637"/>
      <c r="F161" s="637"/>
      <c r="G161" s="637"/>
      <c r="H161" s="169"/>
    </row>
    <row r="162" spans="1:9" x14ac:dyDescent="0.15">
      <c r="A162" s="11"/>
      <c r="B162" s="11"/>
      <c r="C162" s="1"/>
      <c r="D162" s="153"/>
      <c r="E162" s="153"/>
      <c r="F162" s="153"/>
      <c r="G162" s="153"/>
      <c r="H162" s="169"/>
    </row>
    <row r="163" spans="1:9" x14ac:dyDescent="0.15">
      <c r="A163" s="11"/>
      <c r="B163" s="11"/>
      <c r="C163" s="1"/>
      <c r="D163" s="153"/>
      <c r="E163" s="153"/>
      <c r="F163" s="153"/>
      <c r="G163" s="153"/>
      <c r="H163" s="169"/>
    </row>
    <row r="164" spans="1:9" x14ac:dyDescent="0.15">
      <c r="A164" s="11"/>
      <c r="B164" s="11"/>
      <c r="C164" s="1"/>
      <c r="D164" s="153"/>
      <c r="E164" s="153"/>
      <c r="F164" s="153"/>
      <c r="G164" s="153"/>
      <c r="H164" s="169"/>
    </row>
    <row r="165" spans="1:9" x14ac:dyDescent="0.15">
      <c r="A165" s="11"/>
      <c r="B165" s="11"/>
      <c r="C165" s="11"/>
      <c r="D165" s="11"/>
      <c r="E165" s="11"/>
      <c r="F165" s="11"/>
      <c r="G165" s="11"/>
      <c r="H165" s="11"/>
    </row>
    <row r="166" spans="1:9" ht="14" x14ac:dyDescent="0.15">
      <c r="A166" s="83"/>
      <c r="B166" s="83"/>
      <c r="C166" s="84"/>
      <c r="D166" s="83"/>
      <c r="E166" s="83"/>
      <c r="F166" s="83"/>
      <c r="G166" s="83"/>
      <c r="H166" s="95"/>
      <c r="I166" s="95"/>
    </row>
    <row r="167" spans="1:9" ht="14" x14ac:dyDescent="0.15">
      <c r="A167" s="83"/>
      <c r="B167" s="83"/>
      <c r="C167" s="84"/>
      <c r="D167" s="83"/>
      <c r="E167" s="83"/>
      <c r="F167" s="83"/>
      <c r="G167" s="83"/>
      <c r="H167" s="95"/>
      <c r="I167" s="95"/>
    </row>
    <row r="168" spans="1:9" ht="14" thickBot="1" x14ac:dyDescent="0.2">
      <c r="A168" s="11"/>
      <c r="B168" s="11"/>
      <c r="C168" s="1"/>
      <c r="D168" s="153"/>
      <c r="E168" s="153"/>
      <c r="F168" s="153"/>
      <c r="G168" s="153"/>
      <c r="H168" s="169"/>
    </row>
    <row r="169" spans="1:9" s="90" customFormat="1" ht="21.75" customHeight="1" x14ac:dyDescent="0.2">
      <c r="A169" s="607" t="s">
        <v>1065</v>
      </c>
      <c r="B169" s="608"/>
      <c r="C169" s="608"/>
      <c r="D169" s="608"/>
      <c r="E169" s="609"/>
      <c r="F169" s="89"/>
      <c r="G169" s="600" t="s">
        <v>20</v>
      </c>
      <c r="H169" s="601"/>
    </row>
    <row r="170" spans="1:9" s="90" customFormat="1" ht="21" customHeight="1" x14ac:dyDescent="0.2">
      <c r="A170" s="604" t="s">
        <v>446</v>
      </c>
      <c r="B170" s="605"/>
      <c r="C170" s="605"/>
      <c r="D170" s="605"/>
      <c r="E170" s="606"/>
      <c r="F170" s="91"/>
      <c r="G170" s="602"/>
      <c r="H170" s="603"/>
    </row>
    <row r="171" spans="1:9" s="90" customFormat="1" ht="15" customHeight="1" x14ac:dyDescent="0.2">
      <c r="A171" s="610" t="s">
        <v>447</v>
      </c>
      <c r="B171" s="611"/>
      <c r="C171" s="611"/>
      <c r="D171" s="611"/>
      <c r="E171" s="612"/>
      <c r="F171" s="91"/>
      <c r="G171" s="616" t="s">
        <v>473</v>
      </c>
      <c r="H171" s="617"/>
    </row>
    <row r="172" spans="1:9" s="90" customFormat="1" ht="15.75" customHeight="1" thickBot="1" x14ac:dyDescent="0.25">
      <c r="A172" s="613"/>
      <c r="B172" s="614"/>
      <c r="C172" s="614"/>
      <c r="D172" s="614"/>
      <c r="E172" s="615"/>
      <c r="F172" s="89"/>
      <c r="G172" s="618"/>
      <c r="H172" s="617"/>
    </row>
    <row r="173" spans="1:9" ht="14" thickBot="1" x14ac:dyDescent="0.2">
      <c r="A173" s="15"/>
      <c r="B173" s="16"/>
      <c r="C173" s="1"/>
      <c r="D173" s="1"/>
      <c r="E173" s="1"/>
      <c r="F173" s="1"/>
      <c r="G173" s="618"/>
      <c r="H173" s="617"/>
    </row>
    <row r="174" spans="1:9" ht="15.75" customHeight="1" x14ac:dyDescent="0.15">
      <c r="A174" s="619" t="s">
        <v>890</v>
      </c>
      <c r="B174" s="620"/>
      <c r="C174" s="620"/>
      <c r="D174" s="620"/>
      <c r="E174" s="621"/>
      <c r="F174" s="1"/>
      <c r="G174" s="618"/>
      <c r="H174" s="617"/>
    </row>
    <row r="175" spans="1:9" ht="15.75" customHeight="1" x14ac:dyDescent="0.15">
      <c r="A175" s="622"/>
      <c r="B175" s="623"/>
      <c r="C175" s="623"/>
      <c r="D175" s="623"/>
      <c r="E175" s="624"/>
      <c r="F175" s="1"/>
      <c r="G175" s="618"/>
      <c r="H175" s="617"/>
    </row>
    <row r="176" spans="1:9" ht="15.75" customHeight="1" x14ac:dyDescent="0.15">
      <c r="A176" s="622"/>
      <c r="B176" s="623"/>
      <c r="C176" s="623"/>
      <c r="D176" s="623"/>
      <c r="E176" s="624"/>
      <c r="F176" s="1"/>
      <c r="G176" s="618"/>
      <c r="H176" s="617"/>
    </row>
    <row r="177" spans="1:8" ht="12.75" customHeight="1" x14ac:dyDescent="0.15">
      <c r="A177" s="622"/>
      <c r="B177" s="623"/>
      <c r="C177" s="623"/>
      <c r="D177" s="623"/>
      <c r="E177" s="624"/>
      <c r="G177" s="618"/>
      <c r="H177" s="617"/>
    </row>
    <row r="178" spans="1:8" ht="12.75" customHeight="1" x14ac:dyDescent="0.15">
      <c r="A178" s="622"/>
      <c r="B178" s="623"/>
      <c r="C178" s="623"/>
      <c r="D178" s="623"/>
      <c r="E178" s="624"/>
      <c r="F178" s="11"/>
      <c r="G178" s="618"/>
      <c r="H178" s="617"/>
    </row>
    <row r="179" spans="1:8" ht="13.5" customHeight="1" thickBot="1" x14ac:dyDescent="0.2">
      <c r="A179" s="625"/>
      <c r="B179" s="626"/>
      <c r="C179" s="626"/>
      <c r="D179" s="626"/>
      <c r="E179" s="627"/>
      <c r="G179" s="64" t="s">
        <v>45</v>
      </c>
      <c r="H179" s="17" t="s">
        <v>186</v>
      </c>
    </row>
    <row r="180" spans="1:8" x14ac:dyDescent="0.15">
      <c r="A180" s="18"/>
      <c r="B180" s="18"/>
      <c r="C180" s="1"/>
      <c r="D180" s="18"/>
      <c r="E180" s="18"/>
      <c r="F180" s="18"/>
      <c r="G180" s="18"/>
      <c r="H180" s="92"/>
    </row>
    <row r="181" spans="1:8" ht="14" thickBot="1" x14ac:dyDescent="0.2">
      <c r="A181" s="12" t="s">
        <v>21</v>
      </c>
      <c r="B181" s="12"/>
      <c r="C181" s="1"/>
      <c r="D181" s="1"/>
      <c r="E181" s="1"/>
      <c r="F181" s="1"/>
      <c r="G181" s="1"/>
      <c r="H181" s="1"/>
    </row>
    <row r="182" spans="1:8" x14ac:dyDescent="0.15">
      <c r="A182" s="628" t="s">
        <v>22</v>
      </c>
      <c r="B182" s="629"/>
      <c r="C182" s="630"/>
      <c r="D182" s="205" t="s">
        <v>23</v>
      </c>
      <c r="E182" s="19" t="s">
        <v>47</v>
      </c>
      <c r="F182" s="205" t="s">
        <v>24</v>
      </c>
      <c r="G182" s="204" t="s">
        <v>25</v>
      </c>
      <c r="H182" s="43"/>
    </row>
    <row r="183" spans="1:8" x14ac:dyDescent="0.15">
      <c r="A183" s="631" t="s">
        <v>56</v>
      </c>
      <c r="B183" s="632"/>
      <c r="C183" s="633"/>
      <c r="D183" s="5"/>
      <c r="E183" s="162"/>
      <c r="F183" s="20"/>
      <c r="G183" s="163">
        <f>H202*0.05</f>
        <v>75.833333333333343</v>
      </c>
      <c r="H183" s="44"/>
    </row>
    <row r="184" spans="1:8" x14ac:dyDescent="0.15">
      <c r="A184" s="631"/>
      <c r="B184" s="632"/>
      <c r="C184" s="633"/>
      <c r="D184" s="5"/>
      <c r="E184" s="46"/>
      <c r="F184" s="20"/>
      <c r="G184" s="56"/>
      <c r="H184" s="44"/>
    </row>
    <row r="185" spans="1:8" ht="14" thickBot="1" x14ac:dyDescent="0.2">
      <c r="A185" s="634"/>
      <c r="B185" s="635"/>
      <c r="C185" s="636"/>
      <c r="D185" s="21"/>
      <c r="E185" s="22"/>
      <c r="F185" s="23"/>
      <c r="G185" s="47"/>
      <c r="H185" s="48"/>
    </row>
    <row r="186" spans="1:8" ht="14" thickBot="1" x14ac:dyDescent="0.2">
      <c r="A186" s="1"/>
      <c r="B186" s="1"/>
      <c r="C186" s="1"/>
      <c r="D186" s="1"/>
      <c r="E186" s="1"/>
      <c r="F186" s="1"/>
      <c r="G186" s="37" t="s">
        <v>26</v>
      </c>
      <c r="H186" s="161">
        <f>SUM(G183:G185)</f>
        <v>75.833333333333343</v>
      </c>
    </row>
    <row r="187" spans="1:8" ht="14" thickBot="1" x14ac:dyDescent="0.2">
      <c r="A187" s="12" t="s">
        <v>27</v>
      </c>
      <c r="B187" s="12"/>
      <c r="C187" s="1"/>
      <c r="D187" s="1"/>
      <c r="E187" s="1"/>
      <c r="F187" s="1"/>
      <c r="G187" s="1"/>
      <c r="H187" s="1"/>
    </row>
    <row r="188" spans="1:8" x14ac:dyDescent="0.15">
      <c r="A188" s="628" t="s">
        <v>22</v>
      </c>
      <c r="B188" s="629"/>
      <c r="C188" s="630"/>
      <c r="D188" s="205" t="s">
        <v>28</v>
      </c>
      <c r="E188" s="205" t="s">
        <v>29</v>
      </c>
      <c r="F188" s="205" t="s">
        <v>30</v>
      </c>
      <c r="G188" s="204" t="s">
        <v>25</v>
      </c>
      <c r="H188" s="43"/>
    </row>
    <row r="189" spans="1:8" x14ac:dyDescent="0.15">
      <c r="A189" s="4" t="s">
        <v>96</v>
      </c>
      <c r="B189" s="24"/>
      <c r="C189" s="6"/>
      <c r="D189" s="3" t="s">
        <v>186</v>
      </c>
      <c r="E189" s="178">
        <f>MATERIALES!F17</f>
        <v>7159</v>
      </c>
      <c r="F189" s="65">
        <v>1</v>
      </c>
      <c r="G189" s="179">
        <f>F189*E189</f>
        <v>7159</v>
      </c>
      <c r="H189" s="44"/>
    </row>
    <row r="190" spans="1:8" x14ac:dyDescent="0.15">
      <c r="A190" s="4" t="s">
        <v>97</v>
      </c>
      <c r="B190" s="24"/>
      <c r="C190" s="6"/>
      <c r="D190" s="3" t="s">
        <v>186</v>
      </c>
      <c r="E190" s="93">
        <f>MATERIALES!F19</f>
        <v>9146</v>
      </c>
      <c r="F190" s="65">
        <v>0.02</v>
      </c>
      <c r="G190" s="179">
        <f>F190*E190</f>
        <v>182.92000000000002</v>
      </c>
      <c r="H190" s="44"/>
    </row>
    <row r="191" spans="1:8" ht="14" thickBot="1" x14ac:dyDescent="0.2">
      <c r="A191" s="25"/>
      <c r="B191" s="26"/>
      <c r="C191" s="27"/>
      <c r="D191" s="21"/>
      <c r="E191" s="22"/>
      <c r="F191" s="182"/>
      <c r="G191" s="47"/>
      <c r="H191" s="48"/>
    </row>
    <row r="192" spans="1:8" ht="14" thickBot="1" x14ac:dyDescent="0.2">
      <c r="A192" s="1"/>
      <c r="B192" s="1"/>
      <c r="C192" s="1"/>
      <c r="D192" s="1"/>
      <c r="E192" s="1"/>
      <c r="F192" s="1"/>
      <c r="G192" s="37" t="s">
        <v>26</v>
      </c>
      <c r="H192" s="161">
        <f>SUM(G189:G191)</f>
        <v>7341.92</v>
      </c>
    </row>
    <row r="193" spans="1:8" ht="14" thickBot="1" x14ac:dyDescent="0.2">
      <c r="A193" s="28" t="s">
        <v>31</v>
      </c>
      <c r="B193" s="28"/>
      <c r="C193" s="26"/>
      <c r="D193" s="1"/>
      <c r="E193" s="1"/>
      <c r="F193" s="1"/>
      <c r="G193" s="1"/>
      <c r="H193" s="1"/>
    </row>
    <row r="194" spans="1:8" x14ac:dyDescent="0.15">
      <c r="A194" s="51" t="s">
        <v>32</v>
      </c>
      <c r="B194" s="52"/>
      <c r="C194" s="96" t="s">
        <v>33</v>
      </c>
      <c r="D194" s="205" t="s">
        <v>34</v>
      </c>
      <c r="E194" s="205" t="s">
        <v>35</v>
      </c>
      <c r="F194" s="205" t="s">
        <v>36</v>
      </c>
      <c r="G194" s="59" t="s">
        <v>25</v>
      </c>
      <c r="H194" s="43"/>
    </row>
    <row r="195" spans="1:8" x14ac:dyDescent="0.15">
      <c r="A195" s="4" t="s">
        <v>79</v>
      </c>
      <c r="B195" s="6"/>
      <c r="C195" s="60">
        <v>1.4999999999999999E-2</v>
      </c>
      <c r="D195" s="2">
        <v>15</v>
      </c>
      <c r="E195" s="2">
        <f>D195*C195</f>
        <v>0.22499999999999998</v>
      </c>
      <c r="F195" s="160">
        <v>1100</v>
      </c>
      <c r="G195" s="55">
        <f>F195*E195</f>
        <v>247.49999999999997</v>
      </c>
      <c r="H195" s="44"/>
    </row>
    <row r="196" spans="1:8" ht="14" thickBot="1" x14ac:dyDescent="0.2">
      <c r="A196" s="33"/>
      <c r="B196" s="54"/>
      <c r="C196" s="21"/>
      <c r="D196" s="22"/>
      <c r="E196" s="23"/>
      <c r="F196" s="47"/>
      <c r="G196" s="21"/>
      <c r="H196" s="48"/>
    </row>
    <row r="197" spans="1:8" ht="14" thickBot="1" x14ac:dyDescent="0.2">
      <c r="A197" s="1"/>
      <c r="B197" s="1"/>
      <c r="C197" s="1"/>
      <c r="D197" s="1"/>
      <c r="E197" s="1"/>
      <c r="F197" s="1"/>
      <c r="G197" s="37" t="s">
        <v>26</v>
      </c>
      <c r="H197" s="161">
        <f>SUM(G195:G196)</f>
        <v>247.49999999999997</v>
      </c>
    </row>
    <row r="198" spans="1:8" ht="14" thickBot="1" x14ac:dyDescent="0.2">
      <c r="A198" s="28" t="s">
        <v>37</v>
      </c>
      <c r="B198" s="28"/>
      <c r="C198" s="1"/>
      <c r="D198" s="1"/>
      <c r="E198" s="1"/>
      <c r="F198" s="1"/>
      <c r="G198" s="1"/>
      <c r="H198" s="1"/>
    </row>
    <row r="199" spans="1:8" x14ac:dyDescent="0.15">
      <c r="A199" s="51" t="s">
        <v>38</v>
      </c>
      <c r="B199" s="86"/>
      <c r="C199" s="31" t="s">
        <v>39</v>
      </c>
      <c r="D199" s="205" t="s">
        <v>40</v>
      </c>
      <c r="E199" s="19" t="s">
        <v>41</v>
      </c>
      <c r="F199" s="31" t="s">
        <v>24</v>
      </c>
      <c r="G199" s="204" t="s">
        <v>25</v>
      </c>
      <c r="H199" s="43"/>
    </row>
    <row r="200" spans="1:8" x14ac:dyDescent="0.15">
      <c r="A200" s="4" t="s">
        <v>72</v>
      </c>
      <c r="B200" s="24"/>
      <c r="C200" s="32">
        <f>'MANO DE OBRA'!E14</f>
        <v>52000</v>
      </c>
      <c r="D200" s="166">
        <v>1.75</v>
      </c>
      <c r="E200" s="162">
        <f>+D200*C200</f>
        <v>91000</v>
      </c>
      <c r="F200" s="20">
        <v>60</v>
      </c>
      <c r="G200" s="167">
        <f>+E200/F200</f>
        <v>1516.6666666666667</v>
      </c>
      <c r="H200" s="44"/>
    </row>
    <row r="201" spans="1:8" ht="14" thickBot="1" x14ac:dyDescent="0.2">
      <c r="A201" s="33"/>
      <c r="B201" s="34"/>
      <c r="C201" s="22"/>
      <c r="D201" s="21"/>
      <c r="E201" s="22"/>
      <c r="F201" s="23"/>
      <c r="G201" s="47"/>
      <c r="H201" s="48"/>
    </row>
    <row r="202" spans="1:8" ht="14" thickBot="1" x14ac:dyDescent="0.2">
      <c r="A202" s="1"/>
      <c r="B202" s="1"/>
      <c r="C202" s="1"/>
      <c r="D202" s="1"/>
      <c r="E202" s="1"/>
      <c r="F202" s="1"/>
      <c r="G202" s="37" t="s">
        <v>26</v>
      </c>
      <c r="H202" s="175">
        <f>SUM(G200:G201)</f>
        <v>1516.6666666666667</v>
      </c>
    </row>
    <row r="203" spans="1:8" ht="14" thickBot="1" x14ac:dyDescent="0.2">
      <c r="A203" s="1"/>
      <c r="B203" s="1"/>
      <c r="C203" s="1"/>
      <c r="D203" s="1"/>
      <c r="E203" s="1"/>
      <c r="F203" s="1"/>
      <c r="G203" s="61"/>
      <c r="H203" s="1"/>
    </row>
    <row r="204" spans="1:8" ht="15" thickBot="1" x14ac:dyDescent="0.2">
      <c r="A204" s="1"/>
      <c r="B204" s="1"/>
      <c r="C204" s="1"/>
      <c r="D204" s="1"/>
      <c r="E204" s="35" t="s">
        <v>43</v>
      </c>
      <c r="F204" s="36"/>
      <c r="G204" s="185"/>
      <c r="H204" s="168">
        <f>ROUND((H186+H192+H197+H202),0)</f>
        <v>9182</v>
      </c>
    </row>
    <row r="205" spans="1:8" x14ac:dyDescent="0.15">
      <c r="A205" s="12"/>
      <c r="B205" s="12"/>
      <c r="C205" s="1"/>
      <c r="D205" s="1"/>
      <c r="E205" s="1"/>
      <c r="F205" s="1"/>
      <c r="G205" s="1"/>
      <c r="H205" s="1"/>
    </row>
    <row r="206" spans="1:8" x14ac:dyDescent="0.15">
      <c r="A206" s="16"/>
      <c r="B206" s="16"/>
      <c r="C206" s="16"/>
      <c r="D206" s="16"/>
      <c r="E206" s="16"/>
      <c r="F206" s="61"/>
      <c r="G206" s="171"/>
      <c r="H206" s="170"/>
    </row>
    <row r="207" spans="1:8" x14ac:dyDescent="0.15">
      <c r="A207" s="1"/>
      <c r="B207" s="1"/>
      <c r="C207" s="1"/>
      <c r="D207" s="1"/>
      <c r="E207" s="1"/>
      <c r="F207" s="159"/>
      <c r="G207" s="170"/>
      <c r="H207" s="170"/>
    </row>
    <row r="208" spans="1:8" x14ac:dyDescent="0.15">
      <c r="A208" s="1"/>
      <c r="B208" s="1"/>
      <c r="C208" s="1"/>
      <c r="D208" s="1"/>
      <c r="E208" s="1"/>
      <c r="F208" s="159"/>
      <c r="G208" s="170"/>
      <c r="H208" s="170"/>
    </row>
    <row r="209" spans="1:9" x14ac:dyDescent="0.15">
      <c r="A209" s="1"/>
      <c r="B209" s="1"/>
      <c r="C209" s="1"/>
      <c r="D209" s="1"/>
      <c r="E209" s="1"/>
      <c r="F209" s="159"/>
      <c r="G209" s="170"/>
      <c r="H209" s="170"/>
    </row>
    <row r="210" spans="1:9" x14ac:dyDescent="0.15">
      <c r="A210" s="1"/>
      <c r="B210" s="1"/>
      <c r="C210" s="1"/>
      <c r="D210" s="1"/>
      <c r="E210" s="1"/>
      <c r="F210" s="1"/>
      <c r="G210" s="37"/>
      <c r="H210" s="170"/>
    </row>
    <row r="211" spans="1:9" ht="14" x14ac:dyDescent="0.15">
      <c r="A211" s="101"/>
      <c r="B211" s="1"/>
      <c r="C211" s="1"/>
      <c r="D211" s="1"/>
      <c r="E211" s="1"/>
      <c r="F211" s="1"/>
      <c r="G211" s="1"/>
      <c r="H211" s="170"/>
    </row>
    <row r="212" spans="1:9" ht="14" x14ac:dyDescent="0.15">
      <c r="A212" s="83"/>
      <c r="B212" s="11"/>
      <c r="C212" s="1"/>
      <c r="D212" s="637"/>
      <c r="E212" s="637"/>
      <c r="F212" s="637"/>
      <c r="G212" s="637"/>
      <c r="H212" s="169"/>
    </row>
    <row r="213" spans="1:9" x14ac:dyDescent="0.15">
      <c r="C213" s="1"/>
      <c r="D213" s="15"/>
      <c r="E213" s="16"/>
      <c r="F213" s="16"/>
      <c r="G213" s="16"/>
      <c r="H213" s="57"/>
    </row>
    <row r="214" spans="1:9" x14ac:dyDescent="0.15">
      <c r="A214" s="11"/>
      <c r="B214" s="11"/>
      <c r="C214" s="11"/>
      <c r="D214" s="11"/>
      <c r="E214" s="11"/>
      <c r="F214" s="11"/>
      <c r="G214" s="11"/>
      <c r="H214" s="11"/>
    </row>
    <row r="215" spans="1:9" x14ac:dyDescent="0.15">
      <c r="A215" s="11"/>
      <c r="B215" s="11"/>
      <c r="C215" s="11"/>
      <c r="D215" s="11"/>
      <c r="E215" s="11"/>
      <c r="F215" s="11"/>
      <c r="G215" s="11"/>
      <c r="H215" s="11"/>
    </row>
    <row r="216" spans="1:9" x14ac:dyDescent="0.15">
      <c r="A216" s="11"/>
      <c r="B216" s="11"/>
      <c r="C216" s="11"/>
      <c r="D216" s="11"/>
      <c r="E216" s="11"/>
      <c r="F216" s="11"/>
      <c r="G216" s="11"/>
      <c r="H216" s="11"/>
    </row>
    <row r="217" spans="1:9" x14ac:dyDescent="0.15">
      <c r="A217" s="11"/>
      <c r="B217" s="11"/>
      <c r="C217" s="11"/>
      <c r="D217" s="11"/>
      <c r="E217" s="11"/>
      <c r="F217" s="11"/>
      <c r="G217" s="11"/>
      <c r="H217" s="11"/>
    </row>
    <row r="218" spans="1:9" x14ac:dyDescent="0.15">
      <c r="A218" s="11"/>
      <c r="B218" s="11"/>
      <c r="C218" s="11"/>
      <c r="D218" s="11"/>
      <c r="E218" s="11"/>
      <c r="F218" s="11"/>
      <c r="G218" s="11"/>
      <c r="H218" s="11"/>
    </row>
    <row r="219" spans="1:9" x14ac:dyDescent="0.15">
      <c r="A219" s="11"/>
      <c r="B219" s="11"/>
      <c r="C219" s="11"/>
      <c r="D219" s="11"/>
      <c r="E219" s="11"/>
      <c r="F219" s="11"/>
      <c r="G219" s="11"/>
      <c r="H219" s="11"/>
    </row>
    <row r="220" spans="1:9" ht="14" x14ac:dyDescent="0.15">
      <c r="A220" s="101"/>
      <c r="B220" s="83"/>
      <c r="C220" s="84"/>
      <c r="D220" s="83"/>
      <c r="E220" s="83"/>
      <c r="F220" s="102"/>
      <c r="G220" s="83"/>
      <c r="H220" s="85"/>
      <c r="I220" s="85"/>
    </row>
    <row r="221" spans="1:9" ht="14" x14ac:dyDescent="0.15">
      <c r="A221" s="83"/>
      <c r="B221" s="83"/>
      <c r="C221" s="84"/>
      <c r="D221" s="83"/>
      <c r="E221" s="83"/>
      <c r="F221" s="103"/>
      <c r="G221" s="83"/>
      <c r="H221" s="85"/>
      <c r="I221" s="85"/>
    </row>
    <row r="222" spans="1:9" ht="14" x14ac:dyDescent="0.15">
      <c r="A222" s="83"/>
      <c r="B222" s="83"/>
      <c r="C222" s="84"/>
      <c r="D222" s="83"/>
      <c r="E222" s="83"/>
      <c r="F222" s="103"/>
      <c r="G222" s="83"/>
      <c r="H222" s="85"/>
      <c r="I222" s="85"/>
    </row>
    <row r="223" spans="1:9" ht="14" x14ac:dyDescent="0.15">
      <c r="A223" s="83"/>
      <c r="B223" s="83"/>
      <c r="C223" s="84"/>
      <c r="D223" s="83"/>
      <c r="E223" s="83"/>
      <c r="F223" s="103"/>
      <c r="G223" s="83"/>
      <c r="H223" s="85"/>
      <c r="I223" s="85"/>
    </row>
    <row r="224" spans="1:9" ht="14" thickBot="1" x14ac:dyDescent="0.2">
      <c r="A224" s="12"/>
    </row>
    <row r="225" spans="1:8" s="90" customFormat="1" ht="21.75" customHeight="1" x14ac:dyDescent="0.2">
      <c r="A225" s="607" t="s">
        <v>1065</v>
      </c>
      <c r="B225" s="608"/>
      <c r="C225" s="608"/>
      <c r="D225" s="608"/>
      <c r="E225" s="609"/>
      <c r="F225" s="89"/>
      <c r="G225" s="600" t="s">
        <v>20</v>
      </c>
      <c r="H225" s="601"/>
    </row>
    <row r="226" spans="1:8" s="90" customFormat="1" ht="21" customHeight="1" x14ac:dyDescent="0.2">
      <c r="A226" s="604" t="s">
        <v>446</v>
      </c>
      <c r="B226" s="605"/>
      <c r="C226" s="605"/>
      <c r="D226" s="605"/>
      <c r="E226" s="606"/>
      <c r="F226" s="91"/>
      <c r="G226" s="602"/>
      <c r="H226" s="603"/>
    </row>
    <row r="227" spans="1:8" s="90" customFormat="1" ht="15" customHeight="1" x14ac:dyDescent="0.2">
      <c r="A227" s="610" t="s">
        <v>447</v>
      </c>
      <c r="B227" s="611"/>
      <c r="C227" s="611"/>
      <c r="D227" s="611"/>
      <c r="E227" s="612"/>
      <c r="F227" s="91"/>
      <c r="G227" s="616" t="s">
        <v>474</v>
      </c>
      <c r="H227" s="617"/>
    </row>
    <row r="228" spans="1:8" s="90" customFormat="1" ht="15.75" customHeight="1" thickBot="1" x14ac:dyDescent="0.25">
      <c r="A228" s="613"/>
      <c r="B228" s="614"/>
      <c r="C228" s="614"/>
      <c r="D228" s="614"/>
      <c r="E228" s="615"/>
      <c r="F228" s="89"/>
      <c r="G228" s="618"/>
      <c r="H228" s="617"/>
    </row>
    <row r="229" spans="1:8" ht="13.5" customHeight="1" thickBot="1" x14ac:dyDescent="0.2">
      <c r="A229" s="15"/>
      <c r="B229" s="16"/>
      <c r="C229" s="1"/>
      <c r="D229" s="1"/>
      <c r="E229" s="1"/>
      <c r="F229" s="1"/>
      <c r="G229" s="618"/>
      <c r="H229" s="617"/>
    </row>
    <row r="230" spans="1:8" ht="15.75" customHeight="1" x14ac:dyDescent="0.15">
      <c r="A230" s="619" t="s">
        <v>890</v>
      </c>
      <c r="B230" s="620"/>
      <c r="C230" s="620"/>
      <c r="D230" s="620"/>
      <c r="E230" s="621"/>
      <c r="F230" s="1"/>
      <c r="G230" s="618"/>
      <c r="H230" s="617"/>
    </row>
    <row r="231" spans="1:8" ht="15.75" customHeight="1" x14ac:dyDescent="0.15">
      <c r="A231" s="622"/>
      <c r="B231" s="623"/>
      <c r="C231" s="623"/>
      <c r="D231" s="623"/>
      <c r="E231" s="624"/>
      <c r="F231" s="1"/>
      <c r="G231" s="618"/>
      <c r="H231" s="617"/>
    </row>
    <row r="232" spans="1:8" ht="15.75" customHeight="1" x14ac:dyDescent="0.15">
      <c r="A232" s="622"/>
      <c r="B232" s="623"/>
      <c r="C232" s="623"/>
      <c r="D232" s="623"/>
      <c r="E232" s="624"/>
      <c r="F232" s="1"/>
      <c r="G232" s="618"/>
      <c r="H232" s="617"/>
    </row>
    <row r="233" spans="1:8" ht="12.75" customHeight="1" x14ac:dyDescent="0.15">
      <c r="A233" s="622"/>
      <c r="B233" s="623"/>
      <c r="C233" s="623"/>
      <c r="D233" s="623"/>
      <c r="E233" s="624"/>
      <c r="G233" s="618"/>
      <c r="H233" s="617"/>
    </row>
    <row r="234" spans="1:8" ht="12.75" customHeight="1" x14ac:dyDescent="0.15">
      <c r="A234" s="622"/>
      <c r="B234" s="623"/>
      <c r="C234" s="623"/>
      <c r="D234" s="623"/>
      <c r="E234" s="624"/>
      <c r="F234" s="11"/>
      <c r="G234" s="618"/>
      <c r="H234" s="617"/>
    </row>
    <row r="235" spans="1:8" ht="13.5" customHeight="1" thickBot="1" x14ac:dyDescent="0.2">
      <c r="A235" s="625"/>
      <c r="B235" s="626"/>
      <c r="C235" s="626"/>
      <c r="D235" s="626"/>
      <c r="E235" s="627"/>
      <c r="G235" s="64" t="s">
        <v>45</v>
      </c>
      <c r="H235" s="17" t="s">
        <v>186</v>
      </c>
    </row>
    <row r="236" spans="1:8" x14ac:dyDescent="0.15">
      <c r="A236" s="18"/>
      <c r="B236" s="18"/>
      <c r="C236" s="1"/>
      <c r="D236" s="18"/>
      <c r="E236" s="18"/>
      <c r="F236" s="18"/>
      <c r="G236" s="18"/>
      <c r="H236" s="92"/>
    </row>
    <row r="237" spans="1:8" ht="14" thickBot="1" x14ac:dyDescent="0.2">
      <c r="A237" s="12" t="s">
        <v>21</v>
      </c>
      <c r="B237" s="12"/>
      <c r="C237" s="1"/>
      <c r="D237" s="1"/>
      <c r="E237" s="1"/>
      <c r="F237" s="1"/>
      <c r="G237" s="1"/>
      <c r="H237" s="1"/>
    </row>
    <row r="238" spans="1:8" x14ac:dyDescent="0.15">
      <c r="A238" s="628" t="s">
        <v>22</v>
      </c>
      <c r="B238" s="629"/>
      <c r="C238" s="630"/>
      <c r="D238" s="205" t="s">
        <v>23</v>
      </c>
      <c r="E238" s="19" t="s">
        <v>47</v>
      </c>
      <c r="F238" s="205" t="s">
        <v>24</v>
      </c>
      <c r="G238" s="204" t="s">
        <v>25</v>
      </c>
      <c r="H238" s="43"/>
    </row>
    <row r="239" spans="1:8" x14ac:dyDescent="0.15">
      <c r="A239" s="631" t="s">
        <v>56</v>
      </c>
      <c r="B239" s="632"/>
      <c r="C239" s="633"/>
      <c r="D239" s="5"/>
      <c r="E239" s="162"/>
      <c r="F239" s="20"/>
      <c r="G239" s="163">
        <f>H258*0.05</f>
        <v>75.833333333333343</v>
      </c>
      <c r="H239" s="44"/>
    </row>
    <row r="240" spans="1:8" x14ac:dyDescent="0.15">
      <c r="A240" s="631"/>
      <c r="B240" s="632"/>
      <c r="C240" s="633"/>
      <c r="D240" s="5"/>
      <c r="E240" s="46"/>
      <c r="F240" s="20"/>
      <c r="G240" s="56"/>
      <c r="H240" s="44"/>
    </row>
    <row r="241" spans="1:8" ht="14" thickBot="1" x14ac:dyDescent="0.2">
      <c r="A241" s="634"/>
      <c r="B241" s="635"/>
      <c r="C241" s="636"/>
      <c r="D241" s="21"/>
      <c r="E241" s="22"/>
      <c r="F241" s="23"/>
      <c r="G241" s="47"/>
      <c r="H241" s="48"/>
    </row>
    <row r="242" spans="1:8" ht="14" thickBot="1" x14ac:dyDescent="0.2">
      <c r="A242" s="1"/>
      <c r="B242" s="1"/>
      <c r="C242" s="1"/>
      <c r="D242" s="1"/>
      <c r="E242" s="1"/>
      <c r="F242" s="1"/>
      <c r="G242" s="37" t="s">
        <v>26</v>
      </c>
      <c r="H242" s="161">
        <f>SUM(G239:G241)</f>
        <v>75.833333333333343</v>
      </c>
    </row>
    <row r="243" spans="1:8" ht="14" thickBot="1" x14ac:dyDescent="0.2">
      <c r="A243" s="12" t="s">
        <v>27</v>
      </c>
      <c r="B243" s="12"/>
      <c r="C243" s="1"/>
      <c r="D243" s="1"/>
      <c r="E243" s="1"/>
      <c r="F243" s="1"/>
      <c r="G243" s="1"/>
      <c r="H243" s="1"/>
    </row>
    <row r="244" spans="1:8" x14ac:dyDescent="0.15">
      <c r="A244" s="628" t="s">
        <v>22</v>
      </c>
      <c r="B244" s="629"/>
      <c r="C244" s="630"/>
      <c r="D244" s="205" t="s">
        <v>28</v>
      </c>
      <c r="E244" s="205" t="s">
        <v>29</v>
      </c>
      <c r="F244" s="205" t="s">
        <v>30</v>
      </c>
      <c r="G244" s="204" t="s">
        <v>25</v>
      </c>
      <c r="H244" s="43"/>
    </row>
    <row r="245" spans="1:8" x14ac:dyDescent="0.15">
      <c r="A245" s="4" t="s">
        <v>98</v>
      </c>
      <c r="B245" s="24"/>
      <c r="C245" s="6"/>
      <c r="D245" s="3" t="s">
        <v>186</v>
      </c>
      <c r="E245" s="178">
        <f>MATERIALES!F18</f>
        <v>7159</v>
      </c>
      <c r="F245" s="65">
        <v>1</v>
      </c>
      <c r="G245" s="179">
        <f>F245*E245</f>
        <v>7159</v>
      </c>
      <c r="H245" s="44"/>
    </row>
    <row r="246" spans="1:8" x14ac:dyDescent="0.15">
      <c r="A246" s="4" t="s">
        <v>97</v>
      </c>
      <c r="B246" s="24"/>
      <c r="C246" s="6"/>
      <c r="D246" s="3" t="s">
        <v>186</v>
      </c>
      <c r="E246" s="186">
        <f>MATERIALES!F19</f>
        <v>9146</v>
      </c>
      <c r="F246" s="65">
        <v>0.02</v>
      </c>
      <c r="G246" s="56">
        <f>F246*E246</f>
        <v>182.92000000000002</v>
      </c>
      <c r="H246" s="44"/>
    </row>
    <row r="247" spans="1:8" ht="14" thickBot="1" x14ac:dyDescent="0.2">
      <c r="A247" s="25"/>
      <c r="B247" s="26"/>
      <c r="C247" s="27"/>
      <c r="D247" s="21"/>
      <c r="E247" s="22"/>
      <c r="F247" s="182"/>
      <c r="G247" s="47"/>
      <c r="H247" s="48"/>
    </row>
    <row r="248" spans="1:8" ht="14" thickBot="1" x14ac:dyDescent="0.2">
      <c r="A248" s="1"/>
      <c r="B248" s="1"/>
      <c r="C248" s="1"/>
      <c r="D248" s="1"/>
      <c r="E248" s="1"/>
      <c r="F248" s="1"/>
      <c r="G248" s="37" t="s">
        <v>26</v>
      </c>
      <c r="H248" s="161">
        <f>SUM(G245:G247)</f>
        <v>7341.92</v>
      </c>
    </row>
    <row r="249" spans="1:8" ht="14" thickBot="1" x14ac:dyDescent="0.2">
      <c r="A249" s="28" t="s">
        <v>31</v>
      </c>
      <c r="B249" s="28"/>
      <c r="C249" s="26"/>
      <c r="D249" s="1"/>
      <c r="E249" s="1"/>
      <c r="F249" s="1"/>
      <c r="G249" s="1"/>
      <c r="H249" s="1"/>
    </row>
    <row r="250" spans="1:8" x14ac:dyDescent="0.15">
      <c r="A250" s="51" t="s">
        <v>32</v>
      </c>
      <c r="B250" s="52"/>
      <c r="C250" s="96" t="s">
        <v>33</v>
      </c>
      <c r="D250" s="205" t="s">
        <v>34</v>
      </c>
      <c r="E250" s="205" t="s">
        <v>35</v>
      </c>
      <c r="F250" s="205" t="s">
        <v>36</v>
      </c>
      <c r="G250" s="59" t="s">
        <v>25</v>
      </c>
      <c r="H250" s="43"/>
    </row>
    <row r="251" spans="1:8" x14ac:dyDescent="0.15">
      <c r="A251" s="4" t="s">
        <v>79</v>
      </c>
      <c r="B251" s="6"/>
      <c r="C251" s="60">
        <v>1.4999999999999999E-2</v>
      </c>
      <c r="D251" s="2">
        <v>15</v>
      </c>
      <c r="E251" s="2">
        <f>D251*C251</f>
        <v>0.22499999999999998</v>
      </c>
      <c r="F251" s="160">
        <v>1100</v>
      </c>
      <c r="G251" s="55">
        <f>F251*E251</f>
        <v>247.49999999999997</v>
      </c>
      <c r="H251" s="44"/>
    </row>
    <row r="252" spans="1:8" ht="14" thickBot="1" x14ac:dyDescent="0.2">
      <c r="A252" s="33"/>
      <c r="B252" s="54"/>
      <c r="C252" s="21"/>
      <c r="D252" s="22"/>
      <c r="E252" s="23"/>
      <c r="F252" s="47"/>
      <c r="G252" s="21"/>
      <c r="H252" s="48"/>
    </row>
    <row r="253" spans="1:8" ht="14" thickBot="1" x14ac:dyDescent="0.2">
      <c r="A253" s="1"/>
      <c r="B253" s="1"/>
      <c r="C253" s="1"/>
      <c r="D253" s="1"/>
      <c r="E253" s="1"/>
      <c r="F253" s="1"/>
      <c r="G253" s="37" t="s">
        <v>26</v>
      </c>
      <c r="H253" s="161">
        <f>SUM(G251:G252)</f>
        <v>247.49999999999997</v>
      </c>
    </row>
    <row r="254" spans="1:8" ht="14" thickBot="1" x14ac:dyDescent="0.2">
      <c r="A254" s="28" t="s">
        <v>37</v>
      </c>
      <c r="B254" s="28"/>
      <c r="C254" s="1"/>
      <c r="D254" s="1"/>
      <c r="E254" s="1"/>
      <c r="F254" s="1"/>
      <c r="G254" s="1"/>
      <c r="H254" s="1"/>
    </row>
    <row r="255" spans="1:8" x14ac:dyDescent="0.15">
      <c r="A255" s="51" t="s">
        <v>38</v>
      </c>
      <c r="B255" s="86"/>
      <c r="C255" s="31" t="s">
        <v>39</v>
      </c>
      <c r="D255" s="205" t="s">
        <v>40</v>
      </c>
      <c r="E255" s="19" t="s">
        <v>41</v>
      </c>
      <c r="F255" s="31" t="s">
        <v>24</v>
      </c>
      <c r="G255" s="204" t="s">
        <v>25</v>
      </c>
      <c r="H255" s="43"/>
    </row>
    <row r="256" spans="1:8" x14ac:dyDescent="0.15">
      <c r="A256" s="4" t="s">
        <v>72</v>
      </c>
      <c r="B256" s="24"/>
      <c r="C256" s="32">
        <f>'MANO DE OBRA'!E14</f>
        <v>52000</v>
      </c>
      <c r="D256" s="166">
        <v>1.75</v>
      </c>
      <c r="E256" s="162">
        <f>+D256*C256</f>
        <v>91000</v>
      </c>
      <c r="F256" s="20">
        <v>60</v>
      </c>
      <c r="G256" s="167">
        <f>+E256/F256</f>
        <v>1516.6666666666667</v>
      </c>
      <c r="H256" s="44"/>
    </row>
    <row r="257" spans="1:8" ht="14" thickBot="1" x14ac:dyDescent="0.2">
      <c r="A257" s="33"/>
      <c r="B257" s="34"/>
      <c r="C257" s="22"/>
      <c r="D257" s="21"/>
      <c r="E257" s="22"/>
      <c r="F257" s="23"/>
      <c r="G257" s="47"/>
      <c r="H257" s="48"/>
    </row>
    <row r="258" spans="1:8" ht="14" thickBot="1" x14ac:dyDescent="0.2">
      <c r="A258" s="1"/>
      <c r="B258" s="1"/>
      <c r="C258" s="1"/>
      <c r="D258" s="1"/>
      <c r="E258" s="1"/>
      <c r="F258" s="1"/>
      <c r="G258" s="37" t="s">
        <v>26</v>
      </c>
      <c r="H258" s="175">
        <f>SUM(G256:G257)</f>
        <v>1516.6666666666667</v>
      </c>
    </row>
    <row r="259" spans="1:8" ht="14" thickBot="1" x14ac:dyDescent="0.2">
      <c r="A259" s="1"/>
      <c r="B259" s="1"/>
      <c r="C259" s="1"/>
      <c r="D259" s="1"/>
      <c r="E259" s="1"/>
      <c r="F259" s="1"/>
      <c r="G259" s="61"/>
      <c r="H259" s="1"/>
    </row>
    <row r="260" spans="1:8" ht="15" thickBot="1" x14ac:dyDescent="0.2">
      <c r="A260" s="1"/>
      <c r="B260" s="1"/>
      <c r="C260" s="1"/>
      <c r="D260" s="1"/>
      <c r="E260" s="35" t="s">
        <v>43</v>
      </c>
      <c r="F260" s="36"/>
      <c r="G260" s="185"/>
      <c r="H260" s="168">
        <f>ROUND((H242+H248+H253+H258),0)</f>
        <v>9182</v>
      </c>
    </row>
    <row r="261" spans="1:8" x14ac:dyDescent="0.15">
      <c r="A261" s="12"/>
      <c r="B261" s="12"/>
      <c r="C261" s="1"/>
      <c r="D261" s="1"/>
      <c r="E261" s="1"/>
      <c r="F261" s="1"/>
      <c r="G261" s="1"/>
      <c r="H261" s="1"/>
    </row>
    <row r="262" spans="1:8" x14ac:dyDescent="0.15">
      <c r="A262" s="16"/>
      <c r="B262" s="16"/>
      <c r="C262" s="16"/>
      <c r="D262" s="16"/>
      <c r="E262" s="16"/>
      <c r="F262" s="61"/>
      <c r="G262" s="171"/>
      <c r="H262" s="170"/>
    </row>
    <row r="263" spans="1:8" x14ac:dyDescent="0.15">
      <c r="A263" s="1"/>
      <c r="B263" s="1"/>
      <c r="C263" s="1"/>
      <c r="D263" s="1"/>
      <c r="E263" s="1"/>
      <c r="F263" s="159"/>
      <c r="G263" s="170"/>
      <c r="H263" s="170"/>
    </row>
    <row r="264" spans="1:8" x14ac:dyDescent="0.15">
      <c r="A264" s="1"/>
      <c r="B264" s="1"/>
      <c r="C264" s="1"/>
      <c r="D264" s="1"/>
      <c r="E264" s="1"/>
      <c r="F264" s="159"/>
      <c r="G264" s="170"/>
      <c r="H264" s="170"/>
    </row>
    <row r="265" spans="1:8" x14ac:dyDescent="0.15">
      <c r="A265" s="1"/>
      <c r="B265" s="1"/>
      <c r="C265" s="1"/>
      <c r="D265" s="1"/>
      <c r="E265" s="1"/>
      <c r="F265" s="159"/>
      <c r="G265" s="170"/>
      <c r="H265" s="170"/>
    </row>
    <row r="266" spans="1:8" x14ac:dyDescent="0.15">
      <c r="A266" s="1"/>
      <c r="B266" s="1"/>
      <c r="C266" s="1"/>
      <c r="D266" s="1"/>
      <c r="E266" s="1"/>
      <c r="F266" s="1"/>
      <c r="G266" s="37"/>
      <c r="H266" s="170"/>
    </row>
    <row r="267" spans="1:8" ht="14" x14ac:dyDescent="0.15">
      <c r="A267" s="101"/>
      <c r="B267" s="1"/>
      <c r="C267" s="1"/>
      <c r="D267" s="1"/>
      <c r="E267" s="1"/>
      <c r="F267" s="1"/>
      <c r="G267" s="1"/>
      <c r="H267" s="170"/>
    </row>
    <row r="268" spans="1:8" ht="14" x14ac:dyDescent="0.15">
      <c r="A268" s="83"/>
      <c r="B268" s="11"/>
      <c r="C268" s="1"/>
      <c r="D268" s="637"/>
      <c r="E268" s="637"/>
      <c r="F268" s="637"/>
      <c r="G268" s="637"/>
      <c r="H268" s="169"/>
    </row>
    <row r="269" spans="1:8" x14ac:dyDescent="0.15">
      <c r="A269" s="11"/>
      <c r="B269" s="11"/>
      <c r="C269" s="11"/>
      <c r="D269" s="11"/>
      <c r="E269" s="11"/>
      <c r="F269" s="11"/>
      <c r="G269" s="11"/>
      <c r="H269" s="11"/>
    </row>
    <row r="270" spans="1:8" x14ac:dyDescent="0.15">
      <c r="A270" s="11"/>
      <c r="B270" s="11"/>
      <c r="C270" s="11"/>
      <c r="D270" s="11"/>
      <c r="E270" s="11"/>
      <c r="F270" s="11"/>
      <c r="G270" s="11"/>
      <c r="H270" s="11"/>
    </row>
    <row r="271" spans="1:8" x14ac:dyDescent="0.15">
      <c r="A271" s="11"/>
      <c r="B271" s="11"/>
      <c r="C271" s="11"/>
      <c r="D271" s="11"/>
      <c r="E271" s="11"/>
      <c r="F271" s="11"/>
      <c r="G271" s="11"/>
      <c r="H271" s="11"/>
    </row>
    <row r="272" spans="1:8" x14ac:dyDescent="0.15">
      <c r="A272" s="11"/>
      <c r="B272" s="11"/>
      <c r="C272" s="11"/>
      <c r="D272" s="11"/>
      <c r="E272" s="11"/>
      <c r="F272" s="11"/>
      <c r="G272" s="11"/>
      <c r="H272" s="11"/>
    </row>
    <row r="273" spans="1:9" x14ac:dyDescent="0.15">
      <c r="A273" s="11"/>
      <c r="B273" s="11"/>
      <c r="C273" s="11"/>
      <c r="D273" s="11"/>
      <c r="E273" s="11"/>
      <c r="F273" s="11"/>
      <c r="G273" s="11"/>
      <c r="H273" s="11"/>
    </row>
    <row r="274" spans="1:9" x14ac:dyDescent="0.15">
      <c r="A274" s="11"/>
      <c r="B274" s="11"/>
      <c r="C274" s="11"/>
      <c r="D274" s="11"/>
      <c r="E274" s="11"/>
      <c r="F274" s="11"/>
      <c r="G274" s="11"/>
      <c r="H274" s="11"/>
    </row>
    <row r="275" spans="1:9" ht="14" x14ac:dyDescent="0.15">
      <c r="A275" s="101"/>
      <c r="B275" s="83"/>
      <c r="C275" s="84"/>
      <c r="D275" s="83"/>
      <c r="E275" s="83"/>
      <c r="F275" s="102"/>
      <c r="G275" s="83"/>
      <c r="H275" s="85"/>
      <c r="I275" s="85"/>
    </row>
    <row r="276" spans="1:9" ht="14" x14ac:dyDescent="0.15">
      <c r="A276" s="83"/>
      <c r="B276" s="83"/>
      <c r="C276" s="84"/>
      <c r="D276" s="83"/>
      <c r="E276" s="83"/>
      <c r="F276" s="103"/>
      <c r="G276" s="83"/>
      <c r="H276" s="85"/>
      <c r="I276" s="85"/>
    </row>
    <row r="277" spans="1:9" ht="14" x14ac:dyDescent="0.15">
      <c r="A277" s="83"/>
      <c r="B277" s="83"/>
      <c r="C277" s="84"/>
      <c r="D277" s="83"/>
      <c r="E277" s="83"/>
      <c r="F277" s="103"/>
      <c r="G277" s="83"/>
      <c r="H277" s="85"/>
      <c r="I277" s="85"/>
    </row>
    <row r="278" spans="1:9" ht="14" x14ac:dyDescent="0.15">
      <c r="A278" s="83"/>
      <c r="B278" s="83"/>
      <c r="C278" s="84"/>
      <c r="D278" s="83"/>
      <c r="E278" s="83"/>
      <c r="F278" s="103"/>
      <c r="G278" s="83"/>
      <c r="H278" s="85"/>
      <c r="I278" s="85"/>
    </row>
    <row r="279" spans="1:9" ht="14" x14ac:dyDescent="0.15">
      <c r="A279" s="83"/>
      <c r="B279" s="83"/>
      <c r="C279" s="84"/>
      <c r="D279" s="83"/>
      <c r="E279" s="83"/>
      <c r="F279" s="103"/>
      <c r="G279" s="83"/>
      <c r="H279" s="85"/>
      <c r="I279" s="85"/>
    </row>
    <row r="280" spans="1:9" ht="14" x14ac:dyDescent="0.15">
      <c r="A280" s="83"/>
      <c r="B280" s="11"/>
      <c r="C280" s="1"/>
      <c r="D280" s="153"/>
      <c r="E280" s="153"/>
      <c r="F280" s="153"/>
      <c r="G280" s="153"/>
      <c r="H280" s="62"/>
    </row>
    <row r="281" spans="1:9" ht="14" x14ac:dyDescent="0.15">
      <c r="A281" s="83"/>
      <c r="B281" s="11"/>
      <c r="C281" s="1"/>
      <c r="D281" s="153"/>
      <c r="E281" s="153"/>
      <c r="F281" s="153"/>
      <c r="G281" s="153"/>
      <c r="H281" s="62"/>
    </row>
  </sheetData>
  <mergeCells count="58">
    <mergeCell ref="D268:G268"/>
    <mergeCell ref="A225:E225"/>
    <mergeCell ref="G225:H226"/>
    <mergeCell ref="A226:E226"/>
    <mergeCell ref="A227:E228"/>
    <mergeCell ref="G227:H234"/>
    <mergeCell ref="A230:E235"/>
    <mergeCell ref="A238:C238"/>
    <mergeCell ref="A239:C239"/>
    <mergeCell ref="A240:C240"/>
    <mergeCell ref="A241:C241"/>
    <mergeCell ref="A244:C244"/>
    <mergeCell ref="A129:C129"/>
    <mergeCell ref="A132:C132"/>
    <mergeCell ref="D212:G212"/>
    <mergeCell ref="A169:E169"/>
    <mergeCell ref="G169:H170"/>
    <mergeCell ref="A170:E170"/>
    <mergeCell ref="A171:E172"/>
    <mergeCell ref="G171:H178"/>
    <mergeCell ref="A174:E179"/>
    <mergeCell ref="A182:C182"/>
    <mergeCell ref="A183:C183"/>
    <mergeCell ref="A184:C184"/>
    <mergeCell ref="A185:C185"/>
    <mergeCell ref="A188:C188"/>
    <mergeCell ref="G59:H66"/>
    <mergeCell ref="A62:E67"/>
    <mergeCell ref="A70:C70"/>
    <mergeCell ref="A71:C71"/>
    <mergeCell ref="D161:G161"/>
    <mergeCell ref="A73:C73"/>
    <mergeCell ref="A76:C76"/>
    <mergeCell ref="A113:E113"/>
    <mergeCell ref="G113:H115"/>
    <mergeCell ref="A114:E114"/>
    <mergeCell ref="A115:E116"/>
    <mergeCell ref="G116:H122"/>
    <mergeCell ref="A118:E123"/>
    <mergeCell ref="A126:C126"/>
    <mergeCell ref="A127:C127"/>
    <mergeCell ref="A128:C128"/>
    <mergeCell ref="A72:C72"/>
    <mergeCell ref="A16:C16"/>
    <mergeCell ref="A17:C17"/>
    <mergeCell ref="A20:C20"/>
    <mergeCell ref="A57:E57"/>
    <mergeCell ref="A59:E60"/>
    <mergeCell ref="G57:H58"/>
    <mergeCell ref="A58:E58"/>
    <mergeCell ref="A1:E1"/>
    <mergeCell ref="G1:H2"/>
    <mergeCell ref="A2:E2"/>
    <mergeCell ref="A3:E4"/>
    <mergeCell ref="G3:H10"/>
    <mergeCell ref="A6:E11"/>
    <mergeCell ref="A14:C14"/>
    <mergeCell ref="A15:C15"/>
  </mergeCells>
  <pageMargins left="0.7" right="0.7" top="0.75" bottom="0.75" header="0.3" footer="0.3"/>
  <pageSetup scale="87" orientation="portrait" horizontalDpi="4294967292" r:id="rId1"/>
  <colBreaks count="1" manualBreakCount="1">
    <brk id="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N5060"/>
  <sheetViews>
    <sheetView tabSelected="1" view="pageBreakPreview" topLeftCell="A62" zoomScale="115" zoomScaleNormal="100" zoomScaleSheetLayoutView="115" workbookViewId="0">
      <selection activeCell="I92" sqref="I92"/>
    </sheetView>
  </sheetViews>
  <sheetFormatPr baseColWidth="10" defaultRowHeight="13" x14ac:dyDescent="0.15"/>
  <cols>
    <col min="3" max="3" width="13.33203125" customWidth="1"/>
    <col min="6" max="6" width="12.6640625" customWidth="1"/>
    <col min="8" max="8" width="12.6640625" customWidth="1"/>
    <col min="9" max="9" width="17.1640625" customWidth="1"/>
    <col min="11" max="11" width="15.5" customWidth="1"/>
    <col min="12" max="12" width="12.83203125" hidden="1" customWidth="1"/>
    <col min="13" max="13" width="12.83203125" bestFit="1" customWidth="1"/>
    <col min="14" max="14" width="18.1640625" bestFit="1" customWidth="1"/>
    <col min="15" max="15" width="15.5" bestFit="1" customWidth="1"/>
    <col min="22" max="22" width="14.83203125" bestFit="1" customWidth="1"/>
  </cols>
  <sheetData>
    <row r="1" spans="2:9" s="90" customFormat="1" ht="21.75" customHeight="1" x14ac:dyDescent="0.2">
      <c r="B1" s="607" t="s">
        <v>1065</v>
      </c>
      <c r="C1" s="608"/>
      <c r="D1" s="608"/>
      <c r="E1" s="608"/>
      <c r="F1" s="609"/>
      <c r="G1" s="89"/>
      <c r="H1" s="600" t="s">
        <v>20</v>
      </c>
      <c r="I1" s="601"/>
    </row>
    <row r="2" spans="2:9" s="90" customFormat="1" ht="21" customHeight="1" x14ac:dyDescent="0.2">
      <c r="B2" s="604" t="s">
        <v>446</v>
      </c>
      <c r="C2" s="605"/>
      <c r="D2" s="605"/>
      <c r="E2" s="605"/>
      <c r="F2" s="606"/>
      <c r="G2" s="91"/>
      <c r="H2" s="602"/>
      <c r="I2" s="603"/>
    </row>
    <row r="3" spans="2:9" s="90" customFormat="1" ht="15" customHeight="1" x14ac:dyDescent="0.2">
      <c r="B3" s="610" t="s">
        <v>447</v>
      </c>
      <c r="C3" s="611"/>
      <c r="D3" s="611"/>
      <c r="E3" s="611"/>
      <c r="F3" s="612"/>
      <c r="G3" s="91"/>
      <c r="H3" s="727" t="s">
        <v>169</v>
      </c>
      <c r="I3" s="730"/>
    </row>
    <row r="4" spans="2:9" s="90" customFormat="1" ht="15.75" customHeight="1" thickBot="1" x14ac:dyDescent="0.25">
      <c r="B4" s="613"/>
      <c r="C4" s="614"/>
      <c r="D4" s="614"/>
      <c r="E4" s="614"/>
      <c r="F4" s="615"/>
      <c r="G4" s="89"/>
      <c r="H4" s="727"/>
      <c r="I4" s="730"/>
    </row>
    <row r="5" spans="2:9" ht="15.75" customHeight="1" thickBot="1" x14ac:dyDescent="0.2">
      <c r="B5" s="15"/>
      <c r="C5" s="16"/>
      <c r="D5" s="1"/>
      <c r="E5" s="1"/>
      <c r="F5" s="1"/>
      <c r="G5" s="1"/>
      <c r="H5" s="727"/>
      <c r="I5" s="730"/>
    </row>
    <row r="6" spans="2:9" ht="15.75" customHeight="1" x14ac:dyDescent="0.15">
      <c r="B6" s="619" t="s">
        <v>890</v>
      </c>
      <c r="C6" s="620"/>
      <c r="D6" s="620"/>
      <c r="E6" s="620"/>
      <c r="F6" s="621"/>
      <c r="G6" s="1"/>
      <c r="H6" s="727"/>
      <c r="I6" s="730"/>
    </row>
    <row r="7" spans="2:9" ht="15.75" customHeight="1" x14ac:dyDescent="0.15">
      <c r="B7" s="622"/>
      <c r="C7" s="623"/>
      <c r="D7" s="623"/>
      <c r="E7" s="623"/>
      <c r="F7" s="624"/>
      <c r="H7" s="727"/>
      <c r="I7" s="730"/>
    </row>
    <row r="8" spans="2:9" ht="12.75" customHeight="1" x14ac:dyDescent="0.15">
      <c r="B8" s="622"/>
      <c r="C8" s="623"/>
      <c r="D8" s="623"/>
      <c r="E8" s="623"/>
      <c r="F8" s="624"/>
      <c r="G8" s="11"/>
      <c r="H8" s="727"/>
      <c r="I8" s="730"/>
    </row>
    <row r="9" spans="2:9" ht="13.5" customHeight="1" thickBot="1" x14ac:dyDescent="0.2">
      <c r="B9" s="625"/>
      <c r="C9" s="626"/>
      <c r="D9" s="626"/>
      <c r="E9" s="626"/>
      <c r="F9" s="627"/>
      <c r="H9" s="64" t="s">
        <v>45</v>
      </c>
      <c r="I9" s="17" t="s">
        <v>5</v>
      </c>
    </row>
    <row r="10" spans="2:9" x14ac:dyDescent="0.15">
      <c r="B10" s="18"/>
      <c r="C10" s="18"/>
      <c r="D10" s="1"/>
      <c r="E10" s="18"/>
      <c r="F10" s="18"/>
      <c r="G10" s="18"/>
      <c r="H10" s="18"/>
      <c r="I10" s="1"/>
    </row>
    <row r="11" spans="2:9" ht="14" thickBot="1" x14ac:dyDescent="0.2">
      <c r="B11" s="12" t="s">
        <v>21</v>
      </c>
      <c r="C11" s="12"/>
      <c r="D11" s="1"/>
      <c r="E11" s="1"/>
      <c r="F11" s="1"/>
      <c r="G11" s="1"/>
      <c r="H11" s="1"/>
      <c r="I11" s="1"/>
    </row>
    <row r="12" spans="2:9" x14ac:dyDescent="0.15">
      <c r="B12" s="628" t="s">
        <v>22</v>
      </c>
      <c r="C12" s="629"/>
      <c r="D12" s="630"/>
      <c r="E12" s="205" t="s">
        <v>23</v>
      </c>
      <c r="F12" s="19" t="s">
        <v>108</v>
      </c>
      <c r="G12" s="205" t="s">
        <v>24</v>
      </c>
      <c r="H12" s="204" t="s">
        <v>25</v>
      </c>
      <c r="I12" s="213"/>
    </row>
    <row r="13" spans="2:9" ht="15" customHeight="1" x14ac:dyDescent="0.15">
      <c r="B13" s="659" t="s">
        <v>48</v>
      </c>
      <c r="C13" s="660"/>
      <c r="D13" s="661"/>
      <c r="E13" s="3"/>
      <c r="F13" s="164">
        <f>'HERRAMIENTAS Y EQUIPOS'!C10</f>
        <v>75000</v>
      </c>
      <c r="G13" s="20">
        <v>300</v>
      </c>
      <c r="H13" s="163">
        <f>F13/G13</f>
        <v>250</v>
      </c>
      <c r="I13" s="189"/>
    </row>
    <row r="14" spans="2:9" x14ac:dyDescent="0.15">
      <c r="B14" s="631" t="s">
        <v>56</v>
      </c>
      <c r="C14" s="632"/>
      <c r="D14" s="633"/>
      <c r="E14" s="5"/>
      <c r="F14" s="162"/>
      <c r="G14" s="20"/>
      <c r="H14" s="163">
        <f>I35*0.05</f>
        <v>61.930458333333334</v>
      </c>
      <c r="I14" s="189"/>
    </row>
    <row r="15" spans="2:9" ht="14" thickBot="1" x14ac:dyDescent="0.2">
      <c r="B15" s="634"/>
      <c r="C15" s="635"/>
      <c r="D15" s="636"/>
      <c r="E15" s="21"/>
      <c r="F15" s="22"/>
      <c r="G15" s="23"/>
      <c r="H15" s="214"/>
      <c r="I15" s="175"/>
    </row>
    <row r="16" spans="2:9" ht="14" thickBot="1" x14ac:dyDescent="0.2">
      <c r="B16" s="1"/>
      <c r="C16" s="1"/>
      <c r="D16" s="1"/>
      <c r="E16" s="1"/>
      <c r="F16" s="1"/>
      <c r="G16" s="1"/>
      <c r="H16" s="215" t="s">
        <v>26</v>
      </c>
      <c r="I16" s="161">
        <f>SUM(H13:H15)</f>
        <v>311.93045833333332</v>
      </c>
    </row>
    <row r="17" spans="2:12" ht="14" thickBot="1" x14ac:dyDescent="0.2">
      <c r="B17" s="12" t="s">
        <v>27</v>
      </c>
      <c r="C17" s="12"/>
      <c r="D17" s="1"/>
      <c r="E17" s="1"/>
      <c r="F17" s="1"/>
      <c r="G17" s="1"/>
      <c r="H17" s="216"/>
      <c r="I17" s="216"/>
    </row>
    <row r="18" spans="2:12" x14ac:dyDescent="0.15">
      <c r="B18" s="628" t="s">
        <v>22</v>
      </c>
      <c r="C18" s="629"/>
      <c r="D18" s="630"/>
      <c r="E18" s="205" t="s">
        <v>28</v>
      </c>
      <c r="F18" s="205" t="s">
        <v>29</v>
      </c>
      <c r="G18" s="205" t="s">
        <v>30</v>
      </c>
      <c r="H18" s="217" t="s">
        <v>25</v>
      </c>
      <c r="I18" s="213"/>
    </row>
    <row r="19" spans="2:12" x14ac:dyDescent="0.15">
      <c r="B19" s="4" t="s">
        <v>50</v>
      </c>
      <c r="C19" s="24"/>
      <c r="D19" s="6"/>
      <c r="E19" s="3" t="s">
        <v>51</v>
      </c>
      <c r="F19" s="164">
        <f>MATERIALES!F8</f>
        <v>7500</v>
      </c>
      <c r="G19" s="50">
        <v>2.5000000000000001E-2</v>
      </c>
      <c r="H19" s="163">
        <f>F19*G19</f>
        <v>187.5</v>
      </c>
      <c r="I19" s="189"/>
    </row>
    <row r="20" spans="2:12" x14ac:dyDescent="0.15">
      <c r="B20" s="4" t="s">
        <v>270</v>
      </c>
      <c r="C20" s="24"/>
      <c r="D20" s="6"/>
      <c r="E20" s="3" t="s">
        <v>52</v>
      </c>
      <c r="F20" s="164">
        <f>MATERIALES!F20</f>
        <v>2100</v>
      </c>
      <c r="G20" s="50">
        <f>G19</f>
        <v>2.5000000000000001E-2</v>
      </c>
      <c r="H20" s="163">
        <f>F20*G20</f>
        <v>52.5</v>
      </c>
      <c r="I20" s="189"/>
    </row>
    <row r="21" spans="2:12" x14ac:dyDescent="0.15">
      <c r="B21" s="4" t="s">
        <v>53</v>
      </c>
      <c r="C21" s="24"/>
      <c r="D21" s="6"/>
      <c r="E21" s="5" t="s">
        <v>409</v>
      </c>
      <c r="F21" s="164">
        <f>MATERIALES!F24</f>
        <v>17500</v>
      </c>
      <c r="G21" s="50">
        <f>G19</f>
        <v>2.5000000000000001E-2</v>
      </c>
      <c r="H21" s="184">
        <f>F21*G21</f>
        <v>437.5</v>
      </c>
      <c r="I21" s="189"/>
    </row>
    <row r="22" spans="2:12" ht="14" thickBot="1" x14ac:dyDescent="0.2">
      <c r="B22" s="25"/>
      <c r="C22" s="26"/>
      <c r="D22" s="27"/>
      <c r="E22" s="21"/>
      <c r="F22" s="22"/>
      <c r="G22" s="23"/>
      <c r="H22" s="214"/>
      <c r="I22" s="175"/>
    </row>
    <row r="23" spans="2:12" ht="14" thickBot="1" x14ac:dyDescent="0.2">
      <c r="B23" s="1"/>
      <c r="C23" s="1"/>
      <c r="D23" s="1"/>
      <c r="E23" s="1"/>
      <c r="F23" s="1"/>
      <c r="G23" s="1"/>
      <c r="H23" s="215" t="s">
        <v>26</v>
      </c>
      <c r="I23" s="161">
        <f>SUM(H19:H22)</f>
        <v>677.5</v>
      </c>
    </row>
    <row r="24" spans="2:12" ht="14" thickBot="1" x14ac:dyDescent="0.2">
      <c r="B24" s="28" t="s">
        <v>31</v>
      </c>
      <c r="C24" s="28"/>
      <c r="D24" s="26"/>
      <c r="E24" s="1"/>
      <c r="F24" s="1"/>
      <c r="G24" s="1"/>
      <c r="H24" s="216"/>
      <c r="I24" s="216"/>
    </row>
    <row r="25" spans="2:12" x14ac:dyDescent="0.15">
      <c r="B25" s="51" t="s">
        <v>32</v>
      </c>
      <c r="C25" s="86"/>
      <c r="D25" s="96" t="s">
        <v>33</v>
      </c>
      <c r="E25" s="205" t="s">
        <v>34</v>
      </c>
      <c r="F25" s="205" t="s">
        <v>35</v>
      </c>
      <c r="G25" s="205" t="s">
        <v>36</v>
      </c>
      <c r="H25" s="218" t="s">
        <v>25</v>
      </c>
      <c r="I25" s="213"/>
    </row>
    <row r="26" spans="2:12" x14ac:dyDescent="0.15">
      <c r="B26" s="4" t="s">
        <v>111</v>
      </c>
      <c r="C26" s="6"/>
      <c r="D26" s="53">
        <v>3.5000000000000003E-2</v>
      </c>
      <c r="E26" s="2">
        <v>15</v>
      </c>
      <c r="F26" s="2">
        <f>E26*D26</f>
        <v>0.52500000000000002</v>
      </c>
      <c r="G26" s="160">
        <v>1100</v>
      </c>
      <c r="H26" s="20">
        <f>G26*F26</f>
        <v>577.5</v>
      </c>
      <c r="I26" s="189"/>
    </row>
    <row r="27" spans="2:12" ht="14" thickBot="1" x14ac:dyDescent="0.2">
      <c r="B27" s="33"/>
      <c r="C27" s="34"/>
      <c r="D27" s="97"/>
      <c r="E27" s="21"/>
      <c r="F27" s="98"/>
      <c r="G27" s="23"/>
      <c r="H27" s="165"/>
      <c r="I27" s="175"/>
    </row>
    <row r="28" spans="2:12" ht="14" thickBot="1" x14ac:dyDescent="0.2">
      <c r="B28" s="1"/>
      <c r="C28" s="1"/>
      <c r="D28" s="1"/>
      <c r="E28" s="1"/>
      <c r="F28" s="1"/>
      <c r="G28" s="1"/>
      <c r="H28" s="215" t="s">
        <v>26</v>
      </c>
      <c r="I28" s="175">
        <f>SUM(H26:H27)</f>
        <v>577.5</v>
      </c>
    </row>
    <row r="29" spans="2:12" ht="14" thickBot="1" x14ac:dyDescent="0.2">
      <c r="B29" s="28" t="s">
        <v>37</v>
      </c>
      <c r="C29" s="28"/>
      <c r="D29" s="1"/>
      <c r="E29" s="1"/>
      <c r="F29" s="1"/>
      <c r="G29" s="1"/>
      <c r="H29" s="216"/>
      <c r="I29" s="216"/>
    </row>
    <row r="30" spans="2:12" x14ac:dyDescent="0.15">
      <c r="B30" s="29" t="s">
        <v>38</v>
      </c>
      <c r="C30" s="30"/>
      <c r="D30" s="31" t="s">
        <v>39</v>
      </c>
      <c r="E30" s="205" t="s">
        <v>40</v>
      </c>
      <c r="F30" s="19" t="s">
        <v>41</v>
      </c>
      <c r="G30" s="31" t="s">
        <v>24</v>
      </c>
      <c r="H30" s="217" t="s">
        <v>25</v>
      </c>
      <c r="I30" s="213"/>
    </row>
    <row r="31" spans="2:12" x14ac:dyDescent="0.15">
      <c r="B31" s="4" t="s">
        <v>54</v>
      </c>
      <c r="C31" s="24"/>
      <c r="D31" s="32">
        <f>'MANO DE OBRA'!E19</f>
        <v>108333</v>
      </c>
      <c r="E31" s="166">
        <v>1.75</v>
      </c>
      <c r="F31" s="20">
        <f>+E31*D31</f>
        <v>189582.75</v>
      </c>
      <c r="G31" s="20">
        <f>G13</f>
        <v>300</v>
      </c>
      <c r="H31" s="167">
        <f>+F31/G31</f>
        <v>631.9425</v>
      </c>
      <c r="I31" s="189"/>
    </row>
    <row r="32" spans="2:12" x14ac:dyDescent="0.15">
      <c r="B32" s="4" t="s">
        <v>181</v>
      </c>
      <c r="C32" s="24"/>
      <c r="D32" s="32">
        <f>'MANO DE OBRA'!E20</f>
        <v>52000</v>
      </c>
      <c r="E32" s="166">
        <v>1.75</v>
      </c>
      <c r="F32" s="20">
        <f>+E32*D32</f>
        <v>91000</v>
      </c>
      <c r="G32" s="20">
        <f>G13</f>
        <v>300</v>
      </c>
      <c r="H32" s="167">
        <f>+F32/G32</f>
        <v>303.33333333333331</v>
      </c>
      <c r="I32" s="189"/>
      <c r="L32" s="105"/>
    </row>
    <row r="33" spans="2:9" x14ac:dyDescent="0.15">
      <c r="B33" s="4" t="s">
        <v>109</v>
      </c>
      <c r="C33" s="24"/>
      <c r="D33" s="32">
        <f>'MANO DE OBRA'!E14</f>
        <v>52000</v>
      </c>
      <c r="E33" s="166">
        <v>1.75</v>
      </c>
      <c r="F33" s="20">
        <f>+E33*D33</f>
        <v>91000</v>
      </c>
      <c r="G33" s="20">
        <f>G13</f>
        <v>300</v>
      </c>
      <c r="H33" s="167">
        <f>+F33/G33</f>
        <v>303.33333333333331</v>
      </c>
      <c r="I33" s="189"/>
    </row>
    <row r="34" spans="2:9" ht="14" thickBot="1" x14ac:dyDescent="0.2">
      <c r="B34" s="33"/>
      <c r="C34" s="34"/>
      <c r="D34" s="22"/>
      <c r="E34" s="27"/>
      <c r="F34" s="27"/>
      <c r="G34" s="27"/>
      <c r="H34" s="219"/>
      <c r="I34" s="175"/>
    </row>
    <row r="35" spans="2:9" ht="14" thickBot="1" x14ac:dyDescent="0.2">
      <c r="B35" s="1"/>
      <c r="C35" s="1"/>
      <c r="D35" s="1"/>
      <c r="E35" s="1"/>
      <c r="F35" s="1"/>
      <c r="G35" s="1"/>
      <c r="H35" s="215" t="s">
        <v>26</v>
      </c>
      <c r="I35" s="161">
        <f>SUM(H31:H34)</f>
        <v>1238.6091666666666</v>
      </c>
    </row>
    <row r="36" spans="2:9" ht="14" thickBot="1" x14ac:dyDescent="0.2">
      <c r="B36" s="1"/>
      <c r="C36" s="1"/>
      <c r="D36" s="1"/>
      <c r="E36" s="1"/>
      <c r="F36" s="1"/>
      <c r="G36" s="1"/>
      <c r="H36" s="220"/>
      <c r="I36" s="170"/>
    </row>
    <row r="37" spans="2:9" ht="15" thickBot="1" x14ac:dyDescent="0.2">
      <c r="B37" s="1"/>
      <c r="C37" s="1"/>
      <c r="D37" s="1"/>
      <c r="E37" s="1"/>
      <c r="F37" s="35" t="s">
        <v>43</v>
      </c>
      <c r="G37" s="36"/>
      <c r="H37" s="185"/>
      <c r="I37" s="222">
        <f>ROUND((I16+I23+I28+I35),0)</f>
        <v>2806</v>
      </c>
    </row>
    <row r="38" spans="2:9" x14ac:dyDescent="0.15">
      <c r="B38" s="12"/>
      <c r="C38" s="12"/>
      <c r="D38" s="1"/>
      <c r="E38" s="1"/>
      <c r="F38" s="1"/>
      <c r="G38" s="1"/>
      <c r="H38" s="170"/>
      <c r="I38" s="170"/>
    </row>
    <row r="39" spans="2:9" x14ac:dyDescent="0.15">
      <c r="B39" s="16"/>
      <c r="C39" s="16"/>
      <c r="D39" s="16"/>
      <c r="E39" s="16"/>
      <c r="F39" s="16"/>
      <c r="G39" s="61"/>
      <c r="H39" s="171"/>
      <c r="I39" s="170"/>
    </row>
    <row r="40" spans="2:9" x14ac:dyDescent="0.15">
      <c r="B40" s="1"/>
      <c r="C40" s="1"/>
      <c r="D40" s="1"/>
      <c r="E40" s="1"/>
      <c r="F40" s="1"/>
      <c r="G40" s="159"/>
      <c r="H40" s="170"/>
      <c r="I40" s="170"/>
    </row>
    <row r="41" spans="2:9" x14ac:dyDescent="0.15">
      <c r="B41" s="1"/>
      <c r="C41" s="1"/>
      <c r="D41" s="1"/>
      <c r="E41" s="1"/>
      <c r="F41" s="1"/>
      <c r="G41" s="159"/>
      <c r="H41" s="170"/>
      <c r="I41" s="170"/>
    </row>
    <row r="42" spans="2:9" x14ac:dyDescent="0.15">
      <c r="B42" s="1"/>
      <c r="C42" s="1"/>
      <c r="D42" s="1"/>
      <c r="E42" s="1"/>
      <c r="F42" s="1"/>
      <c r="G42" s="159"/>
      <c r="H42" s="170"/>
      <c r="I42" s="170"/>
    </row>
    <row r="43" spans="2:9" x14ac:dyDescent="0.15">
      <c r="B43" s="1"/>
      <c r="C43" s="1"/>
      <c r="D43" s="1"/>
      <c r="E43" s="1"/>
      <c r="F43" s="1"/>
      <c r="G43" s="1"/>
      <c r="H43" s="37"/>
      <c r="I43" s="170"/>
    </row>
    <row r="44" spans="2:9" x14ac:dyDescent="0.15">
      <c r="B44" s="1"/>
      <c r="C44" s="1"/>
      <c r="D44" s="1"/>
      <c r="E44" s="1"/>
      <c r="F44" s="1"/>
      <c r="G44" s="1"/>
      <c r="H44" s="37"/>
      <c r="I44" s="170"/>
    </row>
    <row r="45" spans="2:9" x14ac:dyDescent="0.15">
      <c r="B45" s="1"/>
      <c r="C45" s="1"/>
      <c r="D45" s="1"/>
      <c r="E45" s="1"/>
      <c r="F45" s="1"/>
      <c r="G45" s="1"/>
      <c r="H45" s="37"/>
      <c r="I45" s="170"/>
    </row>
    <row r="46" spans="2:9" x14ac:dyDescent="0.15">
      <c r="B46" s="1"/>
      <c r="C46" s="1"/>
      <c r="D46" s="1"/>
      <c r="E46" s="1"/>
      <c r="F46" s="1"/>
      <c r="G46" s="1"/>
      <c r="H46" s="37"/>
      <c r="I46" s="170"/>
    </row>
    <row r="47" spans="2:9" x14ac:dyDescent="0.15">
      <c r="B47" s="1"/>
      <c r="C47" s="1"/>
      <c r="D47" s="1"/>
      <c r="E47" s="1"/>
      <c r="F47" s="1"/>
      <c r="G47" s="1"/>
      <c r="H47" s="37"/>
      <c r="I47" s="170"/>
    </row>
    <row r="48" spans="2:9" x14ac:dyDescent="0.15">
      <c r="B48" s="1"/>
      <c r="C48" s="1"/>
      <c r="D48" s="1"/>
      <c r="E48" s="1"/>
      <c r="F48" s="1"/>
      <c r="G48" s="1"/>
      <c r="H48" s="37"/>
      <c r="I48" s="170"/>
    </row>
    <row r="49" spans="2:10" ht="14" x14ac:dyDescent="0.15">
      <c r="B49" s="101"/>
      <c r="C49" s="1"/>
      <c r="D49" s="1"/>
      <c r="E49" s="1"/>
      <c r="F49" s="1"/>
      <c r="G49" s="1"/>
      <c r="H49" s="1"/>
      <c r="I49" s="170"/>
    </row>
    <row r="50" spans="2:10" ht="14" x14ac:dyDescent="0.15">
      <c r="B50" s="83"/>
      <c r="C50" s="11"/>
      <c r="D50" s="1"/>
      <c r="E50" s="637"/>
      <c r="F50" s="637"/>
      <c r="G50" s="637"/>
      <c r="H50" s="637"/>
      <c r="I50" s="169"/>
    </row>
    <row r="51" spans="2:10" ht="14" x14ac:dyDescent="0.15">
      <c r="B51" s="101"/>
      <c r="C51" s="11"/>
      <c r="D51" s="11"/>
      <c r="E51" s="11"/>
      <c r="F51" s="11"/>
      <c r="G51" s="11"/>
      <c r="H51" s="11"/>
      <c r="I51" s="11"/>
    </row>
    <row r="52" spans="2:10" ht="14" x14ac:dyDescent="0.15">
      <c r="B52" s="83"/>
      <c r="C52" s="11"/>
      <c r="D52" s="11"/>
      <c r="E52" s="11"/>
      <c r="F52" s="11"/>
      <c r="G52" s="11"/>
      <c r="H52" s="11"/>
      <c r="I52" s="11"/>
    </row>
    <row r="53" spans="2:10" ht="14" x14ac:dyDescent="0.15">
      <c r="B53" s="83"/>
    </row>
    <row r="54" spans="2:10" ht="14" x14ac:dyDescent="0.15">
      <c r="B54" s="83"/>
    </row>
    <row r="55" spans="2:10" ht="14" x14ac:dyDescent="0.15">
      <c r="B55" s="83"/>
    </row>
    <row r="56" spans="2:10" ht="14" x14ac:dyDescent="0.15">
      <c r="B56" s="101"/>
      <c r="C56" s="83"/>
      <c r="D56" s="84"/>
      <c r="E56" s="83"/>
      <c r="F56" s="83"/>
      <c r="G56" s="102"/>
      <c r="H56" s="83"/>
      <c r="I56" s="85"/>
      <c r="J56" s="85"/>
    </row>
    <row r="57" spans="2:10" ht="14" x14ac:dyDescent="0.15">
      <c r="B57" s="83"/>
      <c r="C57" s="83"/>
      <c r="D57" s="84"/>
      <c r="E57" s="83"/>
      <c r="F57" s="83"/>
      <c r="G57" s="103"/>
      <c r="H57" s="83"/>
      <c r="I57" s="85"/>
      <c r="J57" s="85"/>
    </row>
    <row r="59" spans="2:10" ht="14" thickBot="1" x14ac:dyDescent="0.2"/>
    <row r="60" spans="2:10" s="90" customFormat="1" ht="21.75" customHeight="1" x14ac:dyDescent="0.2">
      <c r="B60" s="607" t="s">
        <v>1065</v>
      </c>
      <c r="C60" s="608"/>
      <c r="D60" s="608"/>
      <c r="E60" s="608"/>
      <c r="F60" s="609"/>
      <c r="G60" s="89"/>
      <c r="H60" s="600" t="s">
        <v>20</v>
      </c>
      <c r="I60" s="601"/>
    </row>
    <row r="61" spans="2:10" s="90" customFormat="1" ht="21" customHeight="1" x14ac:dyDescent="0.2">
      <c r="B61" s="604" t="s">
        <v>446</v>
      </c>
      <c r="C61" s="605"/>
      <c r="D61" s="605"/>
      <c r="E61" s="605"/>
      <c r="F61" s="606"/>
      <c r="G61" s="91"/>
      <c r="H61" s="602"/>
      <c r="I61" s="603"/>
    </row>
    <row r="62" spans="2:10" s="90" customFormat="1" ht="15" customHeight="1" x14ac:dyDescent="0.2">
      <c r="B62" s="610" t="s">
        <v>447</v>
      </c>
      <c r="C62" s="611"/>
      <c r="D62" s="611"/>
      <c r="E62" s="611"/>
      <c r="F62" s="612"/>
      <c r="G62" s="91"/>
      <c r="H62" s="727" t="s">
        <v>899</v>
      </c>
      <c r="I62" s="730"/>
    </row>
    <row r="63" spans="2:10" s="90" customFormat="1" ht="15.75" customHeight="1" thickBot="1" x14ac:dyDescent="0.25">
      <c r="B63" s="613"/>
      <c r="C63" s="614"/>
      <c r="D63" s="614"/>
      <c r="E63" s="614"/>
      <c r="F63" s="615"/>
      <c r="G63" s="89"/>
      <c r="H63" s="727"/>
      <c r="I63" s="730"/>
    </row>
    <row r="64" spans="2:10" ht="15.75" customHeight="1" thickBot="1" x14ac:dyDescent="0.2">
      <c r="B64" s="15"/>
      <c r="C64" s="16"/>
      <c r="D64" s="1"/>
      <c r="E64" s="1"/>
      <c r="F64" s="1"/>
      <c r="G64" s="1"/>
      <c r="H64" s="727"/>
      <c r="I64" s="730"/>
    </row>
    <row r="65" spans="2:9" ht="15.75" customHeight="1" x14ac:dyDescent="0.15">
      <c r="B65" s="650" t="s">
        <v>890</v>
      </c>
      <c r="C65" s="651"/>
      <c r="D65" s="651"/>
      <c r="E65" s="651"/>
      <c r="F65" s="652"/>
      <c r="G65" s="1"/>
      <c r="H65" s="727"/>
      <c r="I65" s="730"/>
    </row>
    <row r="66" spans="2:9" ht="15" customHeight="1" x14ac:dyDescent="0.15">
      <c r="B66" s="653"/>
      <c r="C66" s="654"/>
      <c r="D66" s="654"/>
      <c r="E66" s="654"/>
      <c r="F66" s="655"/>
      <c r="H66" s="727"/>
      <c r="I66" s="730"/>
    </row>
    <row r="67" spans="2:9" ht="15" customHeight="1" x14ac:dyDescent="0.15">
      <c r="B67" s="653"/>
      <c r="C67" s="654"/>
      <c r="D67" s="654"/>
      <c r="E67" s="654"/>
      <c r="F67" s="655"/>
      <c r="G67" s="11"/>
      <c r="H67" s="727"/>
      <c r="I67" s="730"/>
    </row>
    <row r="68" spans="2:9" ht="13.5" customHeight="1" thickBot="1" x14ac:dyDescent="0.2">
      <c r="B68" s="656"/>
      <c r="C68" s="657"/>
      <c r="D68" s="657"/>
      <c r="E68" s="657"/>
      <c r="F68" s="658"/>
      <c r="H68" s="64" t="s">
        <v>45</v>
      </c>
      <c r="I68" s="17" t="s">
        <v>5</v>
      </c>
    </row>
    <row r="69" spans="2:9" x14ac:dyDescent="0.15">
      <c r="B69" s="18"/>
      <c r="C69" s="18"/>
      <c r="D69" s="1"/>
      <c r="E69" s="18"/>
      <c r="F69" s="18"/>
      <c r="G69" s="18"/>
      <c r="H69" s="18"/>
      <c r="I69" s="1"/>
    </row>
    <row r="70" spans="2:9" ht="14" thickBot="1" x14ac:dyDescent="0.2">
      <c r="B70" s="12" t="s">
        <v>21</v>
      </c>
      <c r="C70" s="12"/>
      <c r="D70" s="1"/>
      <c r="E70" s="1"/>
      <c r="F70" s="1"/>
      <c r="G70" s="1"/>
      <c r="H70" s="1"/>
      <c r="I70" s="1"/>
    </row>
    <row r="71" spans="2:9" x14ac:dyDescent="0.15">
      <c r="B71" s="628" t="s">
        <v>22</v>
      </c>
      <c r="C71" s="629"/>
      <c r="D71" s="630"/>
      <c r="E71" s="205" t="s">
        <v>23</v>
      </c>
      <c r="F71" s="19" t="s">
        <v>522</v>
      </c>
      <c r="G71" s="205" t="s">
        <v>24</v>
      </c>
      <c r="H71" s="204" t="s">
        <v>25</v>
      </c>
      <c r="I71" s="213"/>
    </row>
    <row r="72" spans="2:9" ht="15" customHeight="1" x14ac:dyDescent="0.15">
      <c r="B72" s="631" t="s">
        <v>56</v>
      </c>
      <c r="C72" s="632"/>
      <c r="D72" s="633"/>
      <c r="E72" s="5"/>
      <c r="F72" s="162"/>
      <c r="G72" s="20"/>
      <c r="H72" s="163">
        <f>I90*0.05</f>
        <v>606.66666666666674</v>
      </c>
      <c r="I72" s="189"/>
    </row>
    <row r="73" spans="2:9" ht="14" thickBot="1" x14ac:dyDescent="0.2">
      <c r="B73" s="634"/>
      <c r="C73" s="635"/>
      <c r="D73" s="636"/>
      <c r="E73" s="21"/>
      <c r="F73" s="22"/>
      <c r="G73" s="23"/>
      <c r="H73" s="214"/>
      <c r="I73" s="175"/>
    </row>
    <row r="74" spans="2:9" ht="14" thickBot="1" x14ac:dyDescent="0.2">
      <c r="B74" s="1"/>
      <c r="C74" s="1"/>
      <c r="D74" s="1"/>
      <c r="E74" s="1"/>
      <c r="F74" s="1"/>
      <c r="G74" s="1"/>
      <c r="H74" s="215" t="s">
        <v>26</v>
      </c>
      <c r="I74" s="161">
        <f>SUM(H72:H72)</f>
        <v>606.66666666666674</v>
      </c>
    </row>
    <row r="75" spans="2:9" ht="14" thickBot="1" x14ac:dyDescent="0.2">
      <c r="B75" s="12" t="s">
        <v>27</v>
      </c>
      <c r="C75" s="12"/>
      <c r="D75" s="1"/>
      <c r="E75" s="1"/>
      <c r="F75" s="1"/>
      <c r="G75" s="1"/>
      <c r="H75" s="216"/>
      <c r="I75" s="216"/>
    </row>
    <row r="76" spans="2:9" x14ac:dyDescent="0.15">
      <c r="B76" s="628" t="s">
        <v>22</v>
      </c>
      <c r="C76" s="629"/>
      <c r="D76" s="630"/>
      <c r="E76" s="205" t="s">
        <v>28</v>
      </c>
      <c r="F76" s="205" t="s">
        <v>29</v>
      </c>
      <c r="G76" s="205" t="s">
        <v>30</v>
      </c>
      <c r="H76" s="217" t="s">
        <v>25</v>
      </c>
      <c r="I76" s="213"/>
    </row>
    <row r="77" spans="2:9" x14ac:dyDescent="0.15">
      <c r="B77" s="4"/>
      <c r="C77" s="24"/>
      <c r="D77" s="6"/>
      <c r="E77" s="3"/>
      <c r="F77" s="162"/>
      <c r="G77" s="50"/>
      <c r="H77" s="163"/>
      <c r="I77" s="189"/>
    </row>
    <row r="78" spans="2:9" x14ac:dyDescent="0.15">
      <c r="B78" s="4"/>
      <c r="C78" s="24"/>
      <c r="D78" s="6"/>
      <c r="E78" s="5"/>
      <c r="F78" s="162"/>
      <c r="G78" s="180"/>
      <c r="H78" s="184"/>
      <c r="I78" s="189"/>
    </row>
    <row r="79" spans="2:9" ht="14" thickBot="1" x14ac:dyDescent="0.2">
      <c r="B79" s="25"/>
      <c r="C79" s="26"/>
      <c r="D79" s="27"/>
      <c r="E79" s="21"/>
      <c r="F79" s="22"/>
      <c r="G79" s="23"/>
      <c r="H79" s="214"/>
      <c r="I79" s="175"/>
    </row>
    <row r="80" spans="2:9" ht="14" thickBot="1" x14ac:dyDescent="0.2">
      <c r="B80" s="1"/>
      <c r="C80" s="1"/>
      <c r="D80" s="1"/>
      <c r="E80" s="1"/>
      <c r="F80" s="1"/>
      <c r="G80" s="1"/>
      <c r="H80" s="215" t="s">
        <v>26</v>
      </c>
      <c r="I80" s="161">
        <f>SUM(H77:H79)</f>
        <v>0</v>
      </c>
    </row>
    <row r="81" spans="2:9" ht="14" thickBot="1" x14ac:dyDescent="0.2">
      <c r="B81" s="28" t="s">
        <v>31</v>
      </c>
      <c r="C81" s="28"/>
      <c r="D81" s="26"/>
      <c r="E81" s="1"/>
      <c r="F81" s="1"/>
      <c r="G81" s="1"/>
      <c r="H81" s="216"/>
      <c r="I81" s="216"/>
    </row>
    <row r="82" spans="2:9" x14ac:dyDescent="0.15">
      <c r="B82" s="51" t="s">
        <v>32</v>
      </c>
      <c r="C82" s="86"/>
      <c r="D82" s="96" t="s">
        <v>33</v>
      </c>
      <c r="E82" s="205" t="s">
        <v>34</v>
      </c>
      <c r="F82" s="205" t="s">
        <v>35</v>
      </c>
      <c r="G82" s="205" t="s">
        <v>36</v>
      </c>
      <c r="H82" s="218" t="s">
        <v>25</v>
      </c>
      <c r="I82" s="213"/>
    </row>
    <row r="83" spans="2:9" x14ac:dyDescent="0.15">
      <c r="B83" s="4"/>
      <c r="C83" s="6"/>
      <c r="D83" s="53"/>
      <c r="E83" s="2"/>
      <c r="F83" s="2"/>
      <c r="G83" s="160"/>
      <c r="H83" s="20"/>
      <c r="I83" s="189"/>
    </row>
    <row r="84" spans="2:9" ht="14" thickBot="1" x14ac:dyDescent="0.2">
      <c r="B84" s="33"/>
      <c r="C84" s="34"/>
      <c r="D84" s="97"/>
      <c r="E84" s="21"/>
      <c r="F84" s="98"/>
      <c r="G84" s="23"/>
      <c r="H84" s="165"/>
      <c r="I84" s="175"/>
    </row>
    <row r="85" spans="2:9" ht="14" thickBot="1" x14ac:dyDescent="0.2">
      <c r="B85" s="1"/>
      <c r="C85" s="1"/>
      <c r="D85" s="1"/>
      <c r="E85" s="1"/>
      <c r="F85" s="1"/>
      <c r="G85" s="1"/>
      <c r="H85" s="215" t="s">
        <v>26</v>
      </c>
      <c r="I85" s="175">
        <f>SUM(H83:H83)</f>
        <v>0</v>
      </c>
    </row>
    <row r="86" spans="2:9" ht="14" thickBot="1" x14ac:dyDescent="0.2">
      <c r="B86" s="28" t="s">
        <v>37</v>
      </c>
      <c r="C86" s="28"/>
      <c r="D86" s="1"/>
      <c r="E86" s="1"/>
      <c r="F86" s="1"/>
      <c r="G86" s="1"/>
      <c r="H86" s="216"/>
      <c r="I86" s="216"/>
    </row>
    <row r="87" spans="2:9" x14ac:dyDescent="0.15">
      <c r="B87" s="29" t="s">
        <v>38</v>
      </c>
      <c r="C87" s="30"/>
      <c r="D87" s="31" t="s">
        <v>39</v>
      </c>
      <c r="E87" s="205" t="s">
        <v>40</v>
      </c>
      <c r="F87" s="19" t="s">
        <v>41</v>
      </c>
      <c r="G87" s="31" t="s">
        <v>24</v>
      </c>
      <c r="H87" s="217" t="s">
        <v>25</v>
      </c>
      <c r="I87" s="213"/>
    </row>
    <row r="88" spans="2:9" x14ac:dyDescent="0.15">
      <c r="B88" s="4" t="s">
        <v>442</v>
      </c>
      <c r="C88" s="24"/>
      <c r="D88" s="32">
        <f>'MANO DE OBRA'!E14*4</f>
        <v>208000</v>
      </c>
      <c r="E88" s="166">
        <v>1.75</v>
      </c>
      <c r="F88" s="20">
        <f>+E88*D88</f>
        <v>364000</v>
      </c>
      <c r="G88" s="20">
        <v>30</v>
      </c>
      <c r="H88" s="167">
        <f>+F88/G88</f>
        <v>12133.333333333334</v>
      </c>
      <c r="I88" s="189"/>
    </row>
    <row r="89" spans="2:9" ht="14" thickBot="1" x14ac:dyDescent="0.2">
      <c r="B89" s="33"/>
      <c r="C89" s="34"/>
      <c r="D89" s="22"/>
      <c r="E89" s="27"/>
      <c r="F89" s="27"/>
      <c r="G89" s="27"/>
      <c r="H89" s="219"/>
      <c r="I89" s="175"/>
    </row>
    <row r="90" spans="2:9" ht="14" thickBot="1" x14ac:dyDescent="0.2">
      <c r="B90" s="1"/>
      <c r="C90" s="1"/>
      <c r="D90" s="1"/>
      <c r="E90" s="1"/>
      <c r="F90" s="1"/>
      <c r="G90" s="1"/>
      <c r="H90" s="215" t="s">
        <v>26</v>
      </c>
      <c r="I90" s="161">
        <f>SUM(H88:H89)</f>
        <v>12133.333333333334</v>
      </c>
    </row>
    <row r="91" spans="2:9" ht="14" thickBot="1" x14ac:dyDescent="0.2">
      <c r="B91" s="1"/>
      <c r="C91" s="1"/>
      <c r="D91" s="1"/>
      <c r="E91" s="1"/>
      <c r="F91" s="1"/>
      <c r="G91" s="1"/>
      <c r="H91" s="220"/>
      <c r="I91" s="170"/>
    </row>
    <row r="92" spans="2:9" ht="15" thickBot="1" x14ac:dyDescent="0.2">
      <c r="B92" s="1"/>
      <c r="C92" s="1"/>
      <c r="D92" s="1"/>
      <c r="E92" s="1"/>
      <c r="F92" s="35" t="s">
        <v>43</v>
      </c>
      <c r="G92" s="36"/>
      <c r="H92" s="185"/>
      <c r="I92" s="222">
        <f>ROUND((I74+I80+I85+I90),0)</f>
        <v>12740</v>
      </c>
    </row>
    <row r="93" spans="2:9" x14ac:dyDescent="0.15">
      <c r="B93" s="12"/>
      <c r="C93" s="12"/>
      <c r="D93" s="1"/>
      <c r="E93" s="1"/>
      <c r="F93" s="1"/>
      <c r="G93" s="1"/>
      <c r="H93" s="170"/>
      <c r="I93" s="170"/>
    </row>
    <row r="94" spans="2:9" x14ac:dyDescent="0.15">
      <c r="B94" s="16"/>
      <c r="C94" s="16"/>
      <c r="D94" s="16"/>
      <c r="E94" s="16"/>
      <c r="F94" s="16"/>
      <c r="G94" s="61"/>
      <c r="H94" s="171"/>
      <c r="I94" s="170"/>
    </row>
    <row r="95" spans="2:9" x14ac:dyDescent="0.15">
      <c r="B95" s="1"/>
      <c r="C95" s="1"/>
      <c r="D95" s="1"/>
      <c r="E95" s="1"/>
      <c r="F95" s="1"/>
      <c r="G95" s="159"/>
      <c r="H95" s="170"/>
      <c r="I95" s="170"/>
    </row>
    <row r="96" spans="2:9" x14ac:dyDescent="0.15">
      <c r="B96" s="1"/>
      <c r="C96" s="1"/>
      <c r="D96" s="1"/>
      <c r="E96" s="1"/>
      <c r="F96" s="1"/>
      <c r="G96" s="159"/>
      <c r="H96" s="170"/>
      <c r="I96" s="170"/>
    </row>
    <row r="97" spans="2:10" x14ac:dyDescent="0.15">
      <c r="B97" s="1"/>
      <c r="C97" s="1"/>
      <c r="D97" s="1"/>
      <c r="E97" s="1"/>
      <c r="F97" s="1"/>
      <c r="G97" s="159"/>
      <c r="H97" s="170"/>
      <c r="I97" s="170"/>
    </row>
    <row r="98" spans="2:10" x14ac:dyDescent="0.15">
      <c r="B98" s="1"/>
      <c r="C98" s="1"/>
      <c r="D98" s="1"/>
      <c r="E98" s="1"/>
      <c r="F98" s="1"/>
      <c r="G98" s="1"/>
      <c r="H98" s="37"/>
      <c r="I98" s="170"/>
    </row>
    <row r="99" spans="2:10" ht="14" x14ac:dyDescent="0.15">
      <c r="B99" s="101"/>
      <c r="C99" s="1"/>
      <c r="D99" s="1"/>
      <c r="E99" s="1"/>
      <c r="F99" s="1"/>
      <c r="G99" s="1"/>
      <c r="H99" s="1"/>
      <c r="I99" s="170"/>
    </row>
    <row r="100" spans="2:10" ht="14" x14ac:dyDescent="0.15">
      <c r="B100" s="83"/>
      <c r="C100" s="11"/>
      <c r="D100" s="1"/>
      <c r="E100" s="637"/>
      <c r="F100" s="637"/>
      <c r="G100" s="637"/>
      <c r="H100" s="637"/>
      <c r="I100" s="169"/>
    </row>
    <row r="101" spans="2:10" ht="14" x14ac:dyDescent="0.15">
      <c r="B101" s="101"/>
      <c r="C101" s="83"/>
      <c r="D101" s="84"/>
      <c r="E101" s="83"/>
      <c r="F101" s="83"/>
      <c r="G101" s="101"/>
      <c r="H101" s="83"/>
      <c r="I101" s="85"/>
      <c r="J101" s="85"/>
    </row>
    <row r="102" spans="2:10" ht="14" x14ac:dyDescent="0.15">
      <c r="B102" s="101"/>
      <c r="C102" s="83"/>
      <c r="D102" s="84"/>
      <c r="E102" s="83"/>
      <c r="F102" s="83"/>
      <c r="G102" s="101"/>
      <c r="H102" s="83"/>
      <c r="I102" s="85"/>
      <c r="J102" s="85"/>
    </row>
    <row r="103" spans="2:10" ht="14" x14ac:dyDescent="0.15">
      <c r="B103" s="101"/>
      <c r="C103" s="83"/>
      <c r="D103" s="84"/>
      <c r="E103" s="83"/>
      <c r="F103" s="83"/>
      <c r="G103" s="101"/>
      <c r="H103" s="83"/>
      <c r="I103" s="85"/>
      <c r="J103" s="85"/>
    </row>
    <row r="104" spans="2:10" ht="14" x14ac:dyDescent="0.15">
      <c r="B104" s="101"/>
      <c r="C104" s="83"/>
      <c r="D104" s="84"/>
      <c r="E104" s="83"/>
      <c r="F104" s="83"/>
      <c r="G104" s="101"/>
      <c r="H104" s="83"/>
      <c r="I104" s="85"/>
      <c r="J104" s="85"/>
    </row>
    <row r="105" spans="2:10" ht="14" x14ac:dyDescent="0.15">
      <c r="B105" s="101"/>
      <c r="C105" s="83"/>
      <c r="D105" s="84"/>
      <c r="E105" s="83"/>
      <c r="F105" s="83"/>
      <c r="G105" s="101"/>
      <c r="H105" s="83"/>
      <c r="I105" s="85"/>
      <c r="J105" s="85"/>
    </row>
    <row r="106" spans="2:10" ht="14" x14ac:dyDescent="0.15">
      <c r="B106" s="83"/>
      <c r="C106" s="83"/>
      <c r="D106" s="84"/>
      <c r="E106" s="83"/>
      <c r="F106" s="83"/>
      <c r="G106" s="118"/>
      <c r="H106" s="83"/>
      <c r="I106" s="85"/>
      <c r="J106" s="85"/>
    </row>
    <row r="107" spans="2:10" x14ac:dyDescent="0.15">
      <c r="B107" s="11"/>
      <c r="C107" s="11"/>
      <c r="D107" s="11"/>
      <c r="E107" s="11"/>
      <c r="F107" s="11"/>
      <c r="G107" s="11"/>
      <c r="H107" s="11"/>
      <c r="I107" s="11"/>
    </row>
    <row r="108" spans="2:10" x14ac:dyDescent="0.15">
      <c r="B108" s="11"/>
      <c r="C108" s="11"/>
      <c r="D108" s="11"/>
      <c r="E108" s="11"/>
      <c r="F108" s="11"/>
      <c r="G108" s="11"/>
      <c r="H108" s="11"/>
      <c r="I108" s="11"/>
    </row>
    <row r="109" spans="2:10" x14ac:dyDescent="0.15">
      <c r="B109" s="11"/>
      <c r="C109" s="11"/>
      <c r="D109" s="11"/>
      <c r="E109" s="11"/>
      <c r="F109" s="11"/>
      <c r="G109" s="11"/>
      <c r="H109" s="11"/>
      <c r="I109" s="11"/>
    </row>
    <row r="113" spans="2:10" ht="14" x14ac:dyDescent="0.15">
      <c r="B113" s="101"/>
      <c r="C113" s="83"/>
      <c r="D113" s="84"/>
      <c r="E113" s="83"/>
      <c r="F113" s="83"/>
      <c r="G113" s="102"/>
      <c r="H113" s="83"/>
      <c r="I113" s="85"/>
      <c r="J113" s="85"/>
    </row>
    <row r="114" spans="2:10" ht="14" x14ac:dyDescent="0.15">
      <c r="B114" s="101"/>
      <c r="C114" s="83"/>
      <c r="D114" s="84"/>
      <c r="E114" s="83"/>
      <c r="F114" s="83"/>
      <c r="G114" s="102"/>
      <c r="H114" s="83"/>
      <c r="I114" s="85"/>
      <c r="J114" s="85"/>
    </row>
    <row r="115" spans="2:10" ht="14" x14ac:dyDescent="0.15">
      <c r="B115" s="83"/>
      <c r="C115" s="83"/>
      <c r="D115" s="84"/>
      <c r="E115" s="83"/>
      <c r="F115" s="83"/>
      <c r="G115" s="103"/>
      <c r="H115" s="83"/>
      <c r="I115" s="85"/>
      <c r="J115" s="85"/>
    </row>
    <row r="116" spans="2:10" ht="14" x14ac:dyDescent="0.15">
      <c r="B116" s="83"/>
      <c r="C116" s="83"/>
      <c r="D116" s="84"/>
      <c r="E116" s="83"/>
      <c r="F116" s="83"/>
      <c r="G116" s="103"/>
      <c r="H116" s="83"/>
      <c r="I116" s="85"/>
      <c r="J116" s="85"/>
    </row>
    <row r="117" spans="2:10" ht="15" thickBot="1" x14ac:dyDescent="0.2">
      <c r="B117" s="83"/>
    </row>
    <row r="118" spans="2:10" s="90" customFormat="1" ht="21.75" customHeight="1" x14ac:dyDescent="0.2">
      <c r="B118" s="607" t="s">
        <v>1065</v>
      </c>
      <c r="C118" s="608"/>
      <c r="D118" s="608"/>
      <c r="E118" s="608"/>
      <c r="F118" s="609"/>
      <c r="G118" s="89"/>
      <c r="H118" s="600" t="s">
        <v>20</v>
      </c>
      <c r="I118" s="601"/>
    </row>
    <row r="119" spans="2:10" s="90" customFormat="1" ht="21" customHeight="1" x14ac:dyDescent="0.2">
      <c r="B119" s="604" t="s">
        <v>446</v>
      </c>
      <c r="C119" s="605"/>
      <c r="D119" s="605"/>
      <c r="E119" s="605"/>
      <c r="F119" s="606"/>
      <c r="G119" s="91"/>
      <c r="H119" s="602"/>
      <c r="I119" s="603"/>
    </row>
    <row r="120" spans="2:10" s="90" customFormat="1" ht="15" customHeight="1" x14ac:dyDescent="0.2">
      <c r="B120" s="610" t="s">
        <v>447</v>
      </c>
      <c r="C120" s="611"/>
      <c r="D120" s="611"/>
      <c r="E120" s="611"/>
      <c r="F120" s="612"/>
      <c r="G120" s="91"/>
      <c r="H120" s="727" t="s">
        <v>900</v>
      </c>
      <c r="I120" s="730"/>
    </row>
    <row r="121" spans="2:10" s="90" customFormat="1" ht="15.75" customHeight="1" thickBot="1" x14ac:dyDescent="0.25">
      <c r="B121" s="613"/>
      <c r="C121" s="614"/>
      <c r="D121" s="614"/>
      <c r="E121" s="614"/>
      <c r="F121" s="615"/>
      <c r="G121" s="89"/>
      <c r="H121" s="727"/>
      <c r="I121" s="730"/>
    </row>
    <row r="122" spans="2:10" ht="15.75" customHeight="1" thickBot="1" x14ac:dyDescent="0.2">
      <c r="B122" s="15"/>
      <c r="C122" s="16"/>
      <c r="D122" s="1"/>
      <c r="E122" s="1"/>
      <c r="F122" s="1"/>
      <c r="G122" s="1"/>
      <c r="H122" s="727"/>
      <c r="I122" s="730"/>
    </row>
    <row r="123" spans="2:10" ht="15.75" customHeight="1" x14ac:dyDescent="0.15">
      <c r="B123" s="650" t="s">
        <v>890</v>
      </c>
      <c r="C123" s="651"/>
      <c r="D123" s="651"/>
      <c r="E123" s="651"/>
      <c r="F123" s="652"/>
      <c r="G123" s="1"/>
      <c r="H123" s="727"/>
      <c r="I123" s="730"/>
    </row>
    <row r="124" spans="2:10" ht="15" customHeight="1" x14ac:dyDescent="0.15">
      <c r="B124" s="653"/>
      <c r="C124" s="654"/>
      <c r="D124" s="654"/>
      <c r="E124" s="654"/>
      <c r="F124" s="655"/>
      <c r="H124" s="727"/>
      <c r="I124" s="730"/>
    </row>
    <row r="125" spans="2:10" ht="15" customHeight="1" x14ac:dyDescent="0.15">
      <c r="B125" s="653"/>
      <c r="C125" s="654"/>
      <c r="D125" s="654"/>
      <c r="E125" s="654"/>
      <c r="F125" s="655"/>
      <c r="G125" s="11"/>
      <c r="H125" s="727"/>
      <c r="I125" s="730"/>
    </row>
    <row r="126" spans="2:10" ht="13.5" customHeight="1" thickBot="1" x14ac:dyDescent="0.2">
      <c r="B126" s="656"/>
      <c r="C126" s="657"/>
      <c r="D126" s="657"/>
      <c r="E126" s="657"/>
      <c r="F126" s="658"/>
      <c r="H126" s="187" t="s">
        <v>45</v>
      </c>
      <c r="I126" s="17" t="s">
        <v>5</v>
      </c>
    </row>
    <row r="127" spans="2:10" x14ac:dyDescent="0.15">
      <c r="B127" s="18"/>
      <c r="C127" s="18"/>
      <c r="D127" s="1"/>
      <c r="E127" s="18"/>
      <c r="F127" s="18"/>
      <c r="G127" s="18"/>
      <c r="H127" s="18"/>
      <c r="I127" s="1"/>
    </row>
    <row r="128" spans="2:10" ht="14" thickBot="1" x14ac:dyDescent="0.2">
      <c r="B128" s="12" t="s">
        <v>21</v>
      </c>
      <c r="C128" s="12"/>
      <c r="D128" s="1"/>
      <c r="E128" s="1"/>
      <c r="F128" s="1"/>
      <c r="G128" s="1"/>
      <c r="H128" s="1"/>
      <c r="I128" s="1"/>
    </row>
    <row r="129" spans="2:12" x14ac:dyDescent="0.15">
      <c r="B129" s="628" t="s">
        <v>22</v>
      </c>
      <c r="C129" s="629"/>
      <c r="D129" s="630"/>
      <c r="E129" s="205" t="s">
        <v>23</v>
      </c>
      <c r="F129" s="19" t="s">
        <v>105</v>
      </c>
      <c r="G129" s="205" t="s">
        <v>24</v>
      </c>
      <c r="H129" s="204" t="s">
        <v>25</v>
      </c>
      <c r="I129" s="43"/>
      <c r="L129" s="105"/>
    </row>
    <row r="130" spans="2:12" x14ac:dyDescent="0.15">
      <c r="B130" s="631" t="s">
        <v>56</v>
      </c>
      <c r="C130" s="632"/>
      <c r="D130" s="633"/>
      <c r="E130" s="5"/>
      <c r="F130" s="162"/>
      <c r="G130" s="20"/>
      <c r="H130" s="163">
        <f>I149*0.05</f>
        <v>341.25</v>
      </c>
      <c r="I130" s="44"/>
    </row>
    <row r="131" spans="2:12" ht="14" thickBot="1" x14ac:dyDescent="0.2">
      <c r="B131" s="634"/>
      <c r="C131" s="635"/>
      <c r="D131" s="636"/>
      <c r="E131" s="21"/>
      <c r="F131" s="22"/>
      <c r="G131" s="23"/>
      <c r="H131" s="47"/>
      <c r="I131" s="48"/>
    </row>
    <row r="132" spans="2:12" ht="14" thickBot="1" x14ac:dyDescent="0.2">
      <c r="B132" s="1"/>
      <c r="C132" s="1"/>
      <c r="D132" s="1"/>
      <c r="E132" s="1"/>
      <c r="F132" s="1"/>
      <c r="G132" s="1"/>
      <c r="H132" s="37" t="s">
        <v>26</v>
      </c>
      <c r="I132" s="161">
        <f>SUM(H130:H131)</f>
        <v>341.25</v>
      </c>
    </row>
    <row r="133" spans="2:12" ht="14" thickBot="1" x14ac:dyDescent="0.2">
      <c r="B133" s="12" t="s">
        <v>27</v>
      </c>
      <c r="C133" s="12"/>
      <c r="D133" s="1"/>
      <c r="E133" s="1"/>
      <c r="F133" s="1"/>
      <c r="G133" s="1"/>
      <c r="H133" s="1"/>
      <c r="I133" s="1"/>
    </row>
    <row r="134" spans="2:12" x14ac:dyDescent="0.15">
      <c r="B134" s="628" t="s">
        <v>22</v>
      </c>
      <c r="C134" s="629"/>
      <c r="D134" s="630"/>
      <c r="E134" s="205" t="s">
        <v>28</v>
      </c>
      <c r="F134" s="205" t="s">
        <v>29</v>
      </c>
      <c r="G134" s="205" t="s">
        <v>30</v>
      </c>
      <c r="H134" s="204" t="s">
        <v>25</v>
      </c>
      <c r="I134" s="43"/>
    </row>
    <row r="135" spans="2:12" x14ac:dyDescent="0.15">
      <c r="B135" s="4"/>
      <c r="C135" s="24"/>
      <c r="D135" s="6"/>
      <c r="E135" s="3"/>
      <c r="F135" s="45"/>
      <c r="G135" s="50"/>
      <c r="H135" s="56"/>
      <c r="I135" s="44"/>
    </row>
    <row r="136" spans="2:12" x14ac:dyDescent="0.15">
      <c r="B136" s="4"/>
      <c r="C136" s="24"/>
      <c r="D136" s="6"/>
      <c r="E136" s="3"/>
      <c r="F136" s="45"/>
      <c r="G136" s="50"/>
      <c r="H136" s="56"/>
      <c r="I136" s="44"/>
    </row>
    <row r="137" spans="2:12" x14ac:dyDescent="0.15">
      <c r="B137" s="4"/>
      <c r="C137" s="24"/>
      <c r="D137" s="6"/>
      <c r="E137" s="3"/>
      <c r="F137" s="45"/>
      <c r="G137" s="50"/>
      <c r="H137" s="56"/>
      <c r="I137" s="44"/>
    </row>
    <row r="138" spans="2:12" ht="14" thickBot="1" x14ac:dyDescent="0.2">
      <c r="B138" s="25"/>
      <c r="C138" s="26"/>
      <c r="D138" s="27"/>
      <c r="E138" s="21"/>
      <c r="F138" s="22"/>
      <c r="G138" s="23"/>
      <c r="H138" s="47"/>
      <c r="I138" s="48"/>
    </row>
    <row r="139" spans="2:12" ht="14" thickBot="1" x14ac:dyDescent="0.2">
      <c r="B139" s="1"/>
      <c r="C139" s="1"/>
      <c r="D139" s="1"/>
      <c r="E139" s="1"/>
      <c r="F139" s="1"/>
      <c r="G139" s="1"/>
      <c r="H139" s="191" t="s">
        <v>26</v>
      </c>
      <c r="I139" s="161">
        <f>SUM(H135:H138)</f>
        <v>0</v>
      </c>
    </row>
    <row r="140" spans="2:12" ht="14" thickBot="1" x14ac:dyDescent="0.2">
      <c r="B140" s="28" t="s">
        <v>31</v>
      </c>
      <c r="C140" s="28"/>
      <c r="D140" s="26"/>
      <c r="E140" s="1"/>
      <c r="F140" s="1"/>
      <c r="G140" s="1"/>
      <c r="H140" s="1"/>
      <c r="I140" s="1"/>
    </row>
    <row r="141" spans="2:12" x14ac:dyDescent="0.15">
      <c r="B141" s="51" t="s">
        <v>32</v>
      </c>
      <c r="C141" s="52"/>
      <c r="D141" s="96" t="s">
        <v>33</v>
      </c>
      <c r="E141" s="205" t="s">
        <v>34</v>
      </c>
      <c r="F141" s="205" t="s">
        <v>35</v>
      </c>
      <c r="G141" s="205" t="s">
        <v>36</v>
      </c>
      <c r="H141" s="59" t="s">
        <v>25</v>
      </c>
      <c r="I141" s="43"/>
    </row>
    <row r="142" spans="2:12" x14ac:dyDescent="0.15">
      <c r="B142" s="4"/>
      <c r="C142" s="6"/>
      <c r="D142" s="53"/>
      <c r="E142" s="2"/>
      <c r="F142" s="2"/>
      <c r="G142" s="160"/>
      <c r="H142" s="20"/>
      <c r="I142" s="44"/>
    </row>
    <row r="143" spans="2:12" ht="14" thickBot="1" x14ac:dyDescent="0.2">
      <c r="B143" s="33"/>
      <c r="C143" s="54"/>
      <c r="D143" s="21"/>
      <c r="E143" s="22"/>
      <c r="F143" s="23"/>
      <c r="G143" s="47"/>
      <c r="H143" s="21"/>
      <c r="I143" s="48"/>
    </row>
    <row r="144" spans="2:12" ht="14" thickBot="1" x14ac:dyDescent="0.2">
      <c r="B144" s="1"/>
      <c r="C144" s="1"/>
      <c r="D144" s="1"/>
      <c r="E144" s="1"/>
      <c r="F144" s="1"/>
      <c r="G144" s="1"/>
      <c r="H144" s="37" t="s">
        <v>26</v>
      </c>
      <c r="I144" s="49">
        <f>SUM(H142:H143)</f>
        <v>0</v>
      </c>
    </row>
    <row r="145" spans="2:9" ht="14" thickBot="1" x14ac:dyDescent="0.2">
      <c r="B145" s="28" t="s">
        <v>37</v>
      </c>
      <c r="C145" s="28"/>
      <c r="D145" s="1"/>
      <c r="E145" s="1"/>
      <c r="F145" s="1"/>
      <c r="G145" s="1"/>
      <c r="H145" s="1"/>
      <c r="I145" s="1"/>
    </row>
    <row r="146" spans="2:9" x14ac:dyDescent="0.15">
      <c r="B146" s="51" t="s">
        <v>38</v>
      </c>
      <c r="C146" s="86"/>
      <c r="D146" s="31" t="s">
        <v>39</v>
      </c>
      <c r="E146" s="205" t="s">
        <v>40</v>
      </c>
      <c r="F146" s="19" t="s">
        <v>41</v>
      </c>
      <c r="G146" s="31" t="s">
        <v>24</v>
      </c>
      <c r="H146" s="204" t="s">
        <v>25</v>
      </c>
      <c r="I146" s="43"/>
    </row>
    <row r="147" spans="2:9" x14ac:dyDescent="0.15">
      <c r="B147" s="4" t="s">
        <v>64</v>
      </c>
      <c r="C147" s="24"/>
      <c r="D147" s="32">
        <f>'MANO DE OBRA'!E14*3</f>
        <v>156000</v>
      </c>
      <c r="E147" s="166">
        <v>1.75</v>
      </c>
      <c r="F147" s="20">
        <f>+E147*D147</f>
        <v>273000</v>
      </c>
      <c r="G147" s="20">
        <v>40</v>
      </c>
      <c r="H147" s="167">
        <f>+F147/G147</f>
        <v>6825</v>
      </c>
      <c r="I147" s="44"/>
    </row>
    <row r="148" spans="2:9" ht="14" thickBot="1" x14ac:dyDescent="0.2">
      <c r="B148" s="33"/>
      <c r="C148" s="34"/>
      <c r="D148" s="22"/>
      <c r="E148" s="21"/>
      <c r="F148" s="22"/>
      <c r="G148" s="23"/>
      <c r="H148" s="47"/>
      <c r="I148" s="48"/>
    </row>
    <row r="149" spans="2:9" ht="14" thickBot="1" x14ac:dyDescent="0.2">
      <c r="B149" s="1"/>
      <c r="C149" s="1"/>
      <c r="D149" s="1"/>
      <c r="E149" s="1"/>
      <c r="F149" s="1"/>
      <c r="G149" s="1"/>
      <c r="H149" s="37" t="s">
        <v>26</v>
      </c>
      <c r="I149" s="175">
        <f>SUM(H147:H148)</f>
        <v>6825</v>
      </c>
    </row>
    <row r="150" spans="2:9" ht="14" thickBot="1" x14ac:dyDescent="0.2">
      <c r="B150" s="1"/>
      <c r="C150" s="1"/>
      <c r="D150" s="1"/>
      <c r="E150" s="1"/>
      <c r="F150" s="1"/>
      <c r="G150" s="1"/>
      <c r="H150" s="61"/>
      <c r="I150" s="1"/>
    </row>
    <row r="151" spans="2:9" ht="15" thickBot="1" x14ac:dyDescent="0.2">
      <c r="B151" s="1"/>
      <c r="C151" s="1"/>
      <c r="D151" s="1"/>
      <c r="E151" s="1"/>
      <c r="F151" s="35" t="s">
        <v>43</v>
      </c>
      <c r="G151" s="16"/>
      <c r="H151" s="16"/>
      <c r="I151" s="222">
        <f>ROUND((I132+I139+I144+I149),0)</f>
        <v>7166</v>
      </c>
    </row>
    <row r="152" spans="2:9" x14ac:dyDescent="0.15">
      <c r="B152" s="12"/>
      <c r="C152" s="12"/>
      <c r="D152" s="1"/>
      <c r="E152" s="1"/>
      <c r="F152" s="1"/>
      <c r="G152" s="1"/>
      <c r="H152" s="1"/>
      <c r="I152" s="1"/>
    </row>
    <row r="153" spans="2:9" x14ac:dyDescent="0.15">
      <c r="B153" s="16"/>
      <c r="C153" s="16"/>
      <c r="D153" s="16"/>
      <c r="E153" s="16"/>
      <c r="F153" s="16"/>
      <c r="G153" s="61"/>
      <c r="H153" s="61"/>
      <c r="I153" s="1"/>
    </row>
    <row r="154" spans="2:9" x14ac:dyDescent="0.15">
      <c r="B154" s="1"/>
      <c r="C154" s="1"/>
      <c r="D154" s="1"/>
      <c r="E154" s="1"/>
      <c r="F154" s="1"/>
      <c r="G154" s="159"/>
      <c r="H154" s="170"/>
      <c r="I154" s="170"/>
    </row>
    <row r="155" spans="2:9" x14ac:dyDescent="0.15">
      <c r="B155" s="1"/>
      <c r="C155" s="1"/>
      <c r="D155" s="1"/>
      <c r="E155" s="1"/>
      <c r="F155" s="1"/>
      <c r="G155" s="159"/>
      <c r="H155" s="170"/>
      <c r="I155" s="170"/>
    </row>
    <row r="156" spans="2:9" x14ac:dyDescent="0.15">
      <c r="B156" s="1"/>
      <c r="C156" s="1"/>
      <c r="D156" s="1"/>
      <c r="E156" s="1"/>
      <c r="F156" s="1"/>
      <c r="G156" s="159"/>
      <c r="H156" s="170"/>
      <c r="I156" s="170"/>
    </row>
    <row r="157" spans="2:9" x14ac:dyDescent="0.15">
      <c r="B157" s="1"/>
      <c r="C157" s="1"/>
      <c r="D157" s="1"/>
      <c r="E157" s="1"/>
      <c r="F157" s="1"/>
      <c r="G157" s="159"/>
      <c r="H157" s="170"/>
      <c r="I157" s="170"/>
    </row>
    <row r="158" spans="2:9" x14ac:dyDescent="0.15">
      <c r="B158" s="1"/>
      <c r="C158" s="1"/>
      <c r="D158" s="1"/>
      <c r="E158" s="1"/>
      <c r="F158" s="1"/>
      <c r="G158" s="159"/>
      <c r="H158" s="170"/>
      <c r="I158" s="170"/>
    </row>
    <row r="159" spans="2:9" x14ac:dyDescent="0.15">
      <c r="B159" s="1"/>
      <c r="C159" s="1"/>
      <c r="D159" s="1"/>
      <c r="E159" s="1"/>
      <c r="F159" s="1"/>
      <c r="G159" s="1"/>
      <c r="H159" s="37"/>
      <c r="I159" s="170"/>
    </row>
    <row r="160" spans="2:9" ht="14" x14ac:dyDescent="0.15">
      <c r="B160" s="101"/>
      <c r="C160" s="1"/>
      <c r="D160" s="1"/>
      <c r="E160" s="1"/>
      <c r="F160" s="1"/>
      <c r="G160" s="1"/>
      <c r="H160" s="1"/>
      <c r="I160" s="1"/>
    </row>
    <row r="161" spans="2:10" ht="14" x14ac:dyDescent="0.15">
      <c r="B161" s="83"/>
      <c r="D161" s="1"/>
      <c r="E161" s="15"/>
      <c r="F161" s="16"/>
      <c r="G161" s="16"/>
      <c r="H161" s="16"/>
      <c r="I161" s="169"/>
    </row>
    <row r="162" spans="2:10" ht="14" x14ac:dyDescent="0.15">
      <c r="B162" s="101"/>
      <c r="C162" s="83"/>
      <c r="D162" s="84"/>
      <c r="E162" s="83"/>
      <c r="F162" s="83"/>
      <c r="G162" s="101"/>
      <c r="H162" s="83"/>
      <c r="I162" s="85"/>
      <c r="J162" s="85"/>
    </row>
    <row r="163" spans="2:10" ht="14" x14ac:dyDescent="0.15">
      <c r="B163" s="101"/>
      <c r="C163" s="83"/>
      <c r="D163" s="84"/>
      <c r="E163" s="83"/>
      <c r="F163" s="83"/>
      <c r="G163" s="101"/>
      <c r="H163" s="83"/>
      <c r="I163" s="85"/>
      <c r="J163" s="85"/>
    </row>
    <row r="164" spans="2:10" ht="14" x14ac:dyDescent="0.15">
      <c r="B164" s="101"/>
      <c r="C164" s="83"/>
      <c r="D164" s="84"/>
      <c r="E164" s="83"/>
      <c r="F164" s="83"/>
      <c r="G164" s="101"/>
      <c r="H164" s="83"/>
      <c r="I164" s="85"/>
      <c r="J164" s="85"/>
    </row>
    <row r="165" spans="2:10" ht="14" x14ac:dyDescent="0.15">
      <c r="B165" s="101"/>
      <c r="C165" s="83"/>
      <c r="D165" s="84"/>
      <c r="E165" s="83"/>
      <c r="F165" s="83"/>
      <c r="G165" s="101"/>
      <c r="H165" s="83"/>
      <c r="I165" s="85"/>
      <c r="J165" s="85"/>
    </row>
    <row r="166" spans="2:10" ht="14" x14ac:dyDescent="0.15">
      <c r="B166" s="101"/>
      <c r="C166" s="83"/>
      <c r="D166" s="84"/>
      <c r="E166" s="83"/>
      <c r="F166" s="83"/>
      <c r="G166" s="101"/>
      <c r="H166" s="83"/>
      <c r="I166" s="85"/>
      <c r="J166" s="85"/>
    </row>
    <row r="167" spans="2:10" ht="17.25" customHeight="1" x14ac:dyDescent="0.15">
      <c r="B167" s="83"/>
      <c r="C167" s="83"/>
      <c r="D167" s="84"/>
      <c r="E167" s="83"/>
      <c r="F167" s="83"/>
      <c r="G167" s="118"/>
      <c r="H167" s="83"/>
      <c r="I167" s="85"/>
      <c r="J167" s="85"/>
    </row>
    <row r="168" spans="2:10" ht="14" x14ac:dyDescent="0.15">
      <c r="B168" s="83"/>
      <c r="C168" s="83"/>
      <c r="D168" s="84"/>
      <c r="E168" s="83"/>
      <c r="F168" s="83"/>
      <c r="G168" s="118"/>
      <c r="H168" s="83"/>
      <c r="I168" s="85"/>
      <c r="J168" s="85"/>
    </row>
    <row r="169" spans="2:10" x14ac:dyDescent="0.15">
      <c r="B169" s="1"/>
      <c r="C169" s="1"/>
      <c r="D169" s="1"/>
      <c r="E169" s="1"/>
      <c r="F169" s="1"/>
      <c r="G169" s="1"/>
      <c r="H169" s="37"/>
      <c r="I169" s="170"/>
    </row>
    <row r="170" spans="2:10" x14ac:dyDescent="0.15">
      <c r="B170" s="1"/>
      <c r="C170" s="1"/>
      <c r="D170" s="1"/>
      <c r="E170" s="1"/>
      <c r="F170" s="1"/>
      <c r="G170" s="159"/>
      <c r="H170" s="170"/>
      <c r="I170" s="170"/>
    </row>
    <row r="171" spans="2:10" x14ac:dyDescent="0.15">
      <c r="B171" s="1"/>
      <c r="C171" s="1"/>
      <c r="D171" s="1"/>
      <c r="E171" s="1"/>
      <c r="F171" s="1"/>
      <c r="G171" s="159"/>
      <c r="H171" s="170"/>
      <c r="I171" s="170"/>
    </row>
    <row r="172" spans="2:10" x14ac:dyDescent="0.15">
      <c r="B172" s="1"/>
      <c r="C172" s="1"/>
      <c r="D172" s="1"/>
      <c r="E172" s="1"/>
      <c r="F172" s="1"/>
      <c r="G172" s="159"/>
      <c r="H172" s="170"/>
      <c r="I172" s="170"/>
    </row>
    <row r="173" spans="2:10" x14ac:dyDescent="0.15">
      <c r="B173" s="1"/>
      <c r="C173" s="1"/>
      <c r="D173" s="1"/>
      <c r="E173" s="1"/>
      <c r="F173" s="1"/>
      <c r="G173" s="1"/>
      <c r="H173" s="37"/>
      <c r="I173" s="170"/>
    </row>
    <row r="174" spans="2:10" ht="14" x14ac:dyDescent="0.15">
      <c r="B174" s="101"/>
      <c r="C174" s="1"/>
      <c r="D174" s="1"/>
      <c r="E174" s="1"/>
      <c r="F174" s="1"/>
      <c r="G174" s="1"/>
      <c r="H174" s="1"/>
      <c r="I174" s="1"/>
    </row>
    <row r="175" spans="2:10" ht="15" thickBot="1" x14ac:dyDescent="0.2">
      <c r="B175" s="83"/>
      <c r="D175" s="1"/>
      <c r="E175" s="15"/>
      <c r="F175" s="16"/>
      <c r="G175" s="16"/>
      <c r="H175" s="16"/>
      <c r="I175" s="169"/>
    </row>
    <row r="176" spans="2:10" s="90" customFormat="1" ht="21.75" customHeight="1" x14ac:dyDescent="0.2">
      <c r="B176" s="607" t="s">
        <v>1065</v>
      </c>
      <c r="C176" s="608"/>
      <c r="D176" s="608"/>
      <c r="E176" s="608"/>
      <c r="F176" s="609"/>
      <c r="G176" s="89"/>
      <c r="H176" s="600" t="s">
        <v>20</v>
      </c>
      <c r="I176" s="601"/>
    </row>
    <row r="177" spans="2:13" s="90" customFormat="1" ht="21" customHeight="1" x14ac:dyDescent="0.2">
      <c r="B177" s="604" t="s">
        <v>446</v>
      </c>
      <c r="C177" s="605"/>
      <c r="D177" s="605"/>
      <c r="E177" s="605"/>
      <c r="F177" s="606"/>
      <c r="G177" s="91"/>
      <c r="H177" s="602"/>
      <c r="I177" s="603"/>
    </row>
    <row r="178" spans="2:13" s="90" customFormat="1" ht="15" customHeight="1" x14ac:dyDescent="0.2">
      <c r="B178" s="610" t="s">
        <v>447</v>
      </c>
      <c r="C178" s="611"/>
      <c r="D178" s="611"/>
      <c r="E178" s="611"/>
      <c r="F178" s="612"/>
      <c r="G178" s="91"/>
      <c r="H178" s="727" t="s">
        <v>901</v>
      </c>
      <c r="I178" s="730"/>
    </row>
    <row r="179" spans="2:13" s="90" customFormat="1" ht="15.75" customHeight="1" thickBot="1" x14ac:dyDescent="0.25">
      <c r="B179" s="613"/>
      <c r="C179" s="614"/>
      <c r="D179" s="614"/>
      <c r="E179" s="614"/>
      <c r="F179" s="615"/>
      <c r="G179" s="89"/>
      <c r="H179" s="727"/>
      <c r="I179" s="730"/>
    </row>
    <row r="180" spans="2:13" ht="15.75" customHeight="1" thickBot="1" x14ac:dyDescent="0.2">
      <c r="B180" s="15"/>
      <c r="C180" s="16"/>
      <c r="D180" s="1"/>
      <c r="E180" s="1"/>
      <c r="F180" s="1"/>
      <c r="G180" s="1"/>
      <c r="H180" s="727"/>
      <c r="I180" s="730"/>
    </row>
    <row r="181" spans="2:13" ht="15.75" customHeight="1" x14ac:dyDescent="0.15">
      <c r="B181" s="650" t="s">
        <v>890</v>
      </c>
      <c r="C181" s="651"/>
      <c r="D181" s="651"/>
      <c r="E181" s="651"/>
      <c r="F181" s="652"/>
      <c r="G181" s="1"/>
      <c r="H181" s="727"/>
      <c r="I181" s="730"/>
    </row>
    <row r="182" spans="2:13" ht="15" customHeight="1" x14ac:dyDescent="0.15">
      <c r="B182" s="653"/>
      <c r="C182" s="654"/>
      <c r="D182" s="654"/>
      <c r="E182" s="654"/>
      <c r="F182" s="655"/>
      <c r="H182" s="727"/>
      <c r="I182" s="730"/>
    </row>
    <row r="183" spans="2:13" ht="15" customHeight="1" x14ac:dyDescent="0.15">
      <c r="B183" s="653"/>
      <c r="C183" s="654"/>
      <c r="D183" s="654"/>
      <c r="E183" s="654"/>
      <c r="F183" s="655"/>
      <c r="G183" s="11"/>
      <c r="H183" s="727"/>
      <c r="I183" s="730"/>
    </row>
    <row r="184" spans="2:13" ht="13.5" customHeight="1" thickBot="1" x14ac:dyDescent="0.2">
      <c r="B184" s="656"/>
      <c r="C184" s="657"/>
      <c r="D184" s="657"/>
      <c r="E184" s="657"/>
      <c r="F184" s="658"/>
      <c r="H184" s="187" t="s">
        <v>45</v>
      </c>
      <c r="I184" s="17" t="s">
        <v>6</v>
      </c>
    </row>
    <row r="185" spans="2:13" x14ac:dyDescent="0.15">
      <c r="B185" s="18"/>
      <c r="C185" s="18"/>
      <c r="D185" s="1"/>
      <c r="E185" s="18"/>
      <c r="F185" s="18"/>
      <c r="G185" s="18"/>
      <c r="H185" s="18"/>
      <c r="I185" s="1"/>
    </row>
    <row r="186" spans="2:13" ht="14" thickBot="1" x14ac:dyDescent="0.2">
      <c r="B186" s="12" t="s">
        <v>21</v>
      </c>
      <c r="C186" s="12"/>
      <c r="D186" s="1"/>
      <c r="E186" s="1"/>
      <c r="F186" s="1"/>
      <c r="G186" s="1"/>
      <c r="H186" s="1"/>
      <c r="I186" s="1"/>
    </row>
    <row r="187" spans="2:13" x14ac:dyDescent="0.15">
      <c r="B187" s="628" t="s">
        <v>22</v>
      </c>
      <c r="C187" s="629"/>
      <c r="D187" s="630"/>
      <c r="E187" s="205" t="s">
        <v>23</v>
      </c>
      <c r="F187" s="19" t="s">
        <v>105</v>
      </c>
      <c r="G187" s="205" t="s">
        <v>24</v>
      </c>
      <c r="H187" s="204" t="s">
        <v>25</v>
      </c>
      <c r="I187" s="43"/>
    </row>
    <row r="188" spans="2:13" ht="15" customHeight="1" x14ac:dyDescent="0.15">
      <c r="B188" s="659" t="s">
        <v>312</v>
      </c>
      <c r="C188" s="660"/>
      <c r="D188" s="661"/>
      <c r="E188" s="3"/>
      <c r="F188" s="164">
        <f>'HERRAMIENTAS Y EQUIPOS'!C20</f>
        <v>100000</v>
      </c>
      <c r="G188" s="20">
        <v>27</v>
      </c>
      <c r="H188" s="163">
        <f>F188/G188</f>
        <v>3703.7037037037039</v>
      </c>
      <c r="I188" s="44"/>
    </row>
    <row r="189" spans="2:13" ht="15" customHeight="1" x14ac:dyDescent="0.15">
      <c r="B189" s="659" t="s">
        <v>902</v>
      </c>
      <c r="C189" s="660"/>
      <c r="D189" s="661"/>
      <c r="E189" s="3"/>
      <c r="F189" s="164">
        <f>'HERRAMIENTAS Y EQUIPOS'!C19</f>
        <v>70000</v>
      </c>
      <c r="G189" s="20">
        <f>G188</f>
        <v>27</v>
      </c>
      <c r="H189" s="163">
        <f>F189/G189</f>
        <v>2592.5925925925926</v>
      </c>
      <c r="I189" s="44"/>
    </row>
    <row r="190" spans="2:13" x14ac:dyDescent="0.15">
      <c r="B190" s="631" t="s">
        <v>56</v>
      </c>
      <c r="C190" s="632"/>
      <c r="D190" s="633"/>
      <c r="E190" s="5"/>
      <c r="F190" s="162"/>
      <c r="G190" s="20"/>
      <c r="H190" s="163">
        <f>I211*0.05</f>
        <v>1320.0606481481482</v>
      </c>
      <c r="I190" s="44"/>
    </row>
    <row r="191" spans="2:13" ht="14" thickBot="1" x14ac:dyDescent="0.2">
      <c r="B191" s="634"/>
      <c r="C191" s="635"/>
      <c r="D191" s="636"/>
      <c r="E191" s="21"/>
      <c r="F191" s="22"/>
      <c r="G191" s="23"/>
      <c r="H191" s="47"/>
      <c r="I191" s="48"/>
      <c r="M191" s="105"/>
    </row>
    <row r="192" spans="2:13" ht="14" thickBot="1" x14ac:dyDescent="0.2">
      <c r="B192" s="1"/>
      <c r="C192" s="1"/>
      <c r="D192" s="1"/>
      <c r="E192" s="1"/>
      <c r="F192" s="1"/>
      <c r="G192" s="1"/>
      <c r="H192" s="37" t="s">
        <v>26</v>
      </c>
      <c r="I192" s="161">
        <f>SUM(H188:H191)</f>
        <v>7616.3569444444447</v>
      </c>
    </row>
    <row r="193" spans="2:13" ht="14" thickBot="1" x14ac:dyDescent="0.2">
      <c r="B193" s="12" t="s">
        <v>27</v>
      </c>
      <c r="C193" s="12"/>
      <c r="D193" s="1"/>
      <c r="E193" s="1"/>
      <c r="F193" s="1"/>
      <c r="G193" s="1"/>
      <c r="H193" s="1"/>
      <c r="I193" s="1"/>
      <c r="M193" s="172"/>
    </row>
    <row r="194" spans="2:13" x14ac:dyDescent="0.15">
      <c r="B194" s="628" t="s">
        <v>22</v>
      </c>
      <c r="C194" s="629"/>
      <c r="D194" s="630"/>
      <c r="E194" s="205" t="s">
        <v>28</v>
      </c>
      <c r="F194" s="205" t="s">
        <v>29</v>
      </c>
      <c r="G194" s="205" t="s">
        <v>30</v>
      </c>
      <c r="H194" s="204" t="s">
        <v>25</v>
      </c>
      <c r="I194" s="43"/>
    </row>
    <row r="195" spans="2:13" x14ac:dyDescent="0.15">
      <c r="B195" s="4" t="s">
        <v>114</v>
      </c>
      <c r="C195" s="24"/>
      <c r="D195" s="6"/>
      <c r="E195" s="3" t="s">
        <v>6</v>
      </c>
      <c r="F195" s="178">
        <f>MATERIALES!F11</f>
        <v>43200</v>
      </c>
      <c r="G195" s="20">
        <v>1.3</v>
      </c>
      <c r="H195" s="179">
        <f>F195*G195</f>
        <v>56160</v>
      </c>
      <c r="I195" s="44"/>
    </row>
    <row r="196" spans="2:13" x14ac:dyDescent="0.15">
      <c r="B196" s="4" t="s">
        <v>60</v>
      </c>
      <c r="C196" s="24"/>
      <c r="D196" s="6"/>
      <c r="E196" s="3" t="s">
        <v>134</v>
      </c>
      <c r="F196" s="178">
        <f>MATERIALES!F16</f>
        <v>50</v>
      </c>
      <c r="G196" s="20">
        <v>130</v>
      </c>
      <c r="H196" s="179">
        <f>F196*G196</f>
        <v>6500</v>
      </c>
      <c r="I196" s="44"/>
    </row>
    <row r="197" spans="2:13" x14ac:dyDescent="0.15">
      <c r="B197" s="4"/>
      <c r="C197" s="24"/>
      <c r="D197" s="6"/>
      <c r="E197" s="5"/>
      <c r="F197" s="46"/>
      <c r="G197" s="180"/>
      <c r="H197" s="188"/>
      <c r="I197" s="44"/>
    </row>
    <row r="198" spans="2:13" ht="14" thickBot="1" x14ac:dyDescent="0.2">
      <c r="B198" s="25"/>
      <c r="C198" s="26"/>
      <c r="D198" s="27"/>
      <c r="E198" s="21"/>
      <c r="F198" s="22"/>
      <c r="G198" s="23"/>
      <c r="H198" s="47"/>
      <c r="I198" s="48"/>
      <c r="K198" s="105"/>
    </row>
    <row r="199" spans="2:13" ht="14" thickBot="1" x14ac:dyDescent="0.2">
      <c r="B199" s="1"/>
      <c r="C199" s="1"/>
      <c r="D199" s="1"/>
      <c r="E199" s="1"/>
      <c r="F199" s="1"/>
      <c r="G199" s="1"/>
      <c r="H199" s="37" t="s">
        <v>26</v>
      </c>
      <c r="I199" s="161">
        <f>SUM(H195:H198)</f>
        <v>62660</v>
      </c>
    </row>
    <row r="200" spans="2:13" ht="14" thickBot="1" x14ac:dyDescent="0.2">
      <c r="B200" s="28" t="s">
        <v>31</v>
      </c>
      <c r="C200" s="28"/>
      <c r="D200" s="26"/>
      <c r="E200" s="1"/>
      <c r="F200" s="1"/>
      <c r="G200" s="1"/>
      <c r="H200" s="1"/>
      <c r="I200" s="1"/>
    </row>
    <row r="201" spans="2:13" x14ac:dyDescent="0.15">
      <c r="B201" s="111" t="s">
        <v>32</v>
      </c>
      <c r="C201" s="112"/>
      <c r="D201" s="96" t="s">
        <v>33</v>
      </c>
      <c r="E201" s="205" t="s">
        <v>34</v>
      </c>
      <c r="F201" s="205" t="s">
        <v>35</v>
      </c>
      <c r="G201" s="205" t="s">
        <v>36</v>
      </c>
      <c r="H201" s="59" t="s">
        <v>25</v>
      </c>
      <c r="I201" s="43"/>
    </row>
    <row r="202" spans="2:13" x14ac:dyDescent="0.15">
      <c r="B202" s="4" t="s">
        <v>312</v>
      </c>
      <c r="C202" s="6"/>
      <c r="D202" s="53">
        <v>0.05</v>
      </c>
      <c r="E202" s="2">
        <v>15</v>
      </c>
      <c r="F202" s="2">
        <f>E202*D202</f>
        <v>0.75</v>
      </c>
      <c r="G202" s="160">
        <v>1100</v>
      </c>
      <c r="H202" s="20">
        <f>G202*F202</f>
        <v>825</v>
      </c>
      <c r="I202" s="44"/>
    </row>
    <row r="203" spans="2:13" x14ac:dyDescent="0.15">
      <c r="B203" s="4" t="s">
        <v>100</v>
      </c>
      <c r="C203" s="6"/>
      <c r="D203" s="53">
        <v>1.3</v>
      </c>
      <c r="E203" s="2">
        <v>15</v>
      </c>
      <c r="F203" s="2">
        <f>E203*D203</f>
        <v>19.5</v>
      </c>
      <c r="G203" s="160">
        <v>1100</v>
      </c>
      <c r="H203" s="20">
        <f>G203*F203</f>
        <v>21450</v>
      </c>
      <c r="I203" s="44"/>
      <c r="K203" s="105"/>
    </row>
    <row r="204" spans="2:13" ht="14" thickBot="1" x14ac:dyDescent="0.2">
      <c r="B204" s="25"/>
      <c r="C204" s="27"/>
      <c r="D204" s="21"/>
      <c r="E204" s="22"/>
      <c r="F204" s="23"/>
      <c r="G204" s="47"/>
      <c r="H204" s="21"/>
      <c r="I204" s="48"/>
    </row>
    <row r="205" spans="2:13" ht="14" thickBot="1" x14ac:dyDescent="0.2">
      <c r="B205" s="1"/>
      <c r="C205" s="1"/>
      <c r="D205" s="1"/>
      <c r="E205" s="1"/>
      <c r="F205" s="1"/>
      <c r="G205" s="1"/>
      <c r="H205" s="37" t="s">
        <v>26</v>
      </c>
      <c r="I205" s="161">
        <f>SUM(H202:H203)</f>
        <v>22275</v>
      </c>
    </row>
    <row r="206" spans="2:13" ht="14" thickBot="1" x14ac:dyDescent="0.2">
      <c r="B206" s="28" t="s">
        <v>37</v>
      </c>
      <c r="C206" s="28"/>
      <c r="D206" s="1"/>
      <c r="E206" s="1"/>
      <c r="F206" s="1"/>
      <c r="G206" s="1"/>
      <c r="H206" s="1"/>
      <c r="I206" s="1"/>
    </row>
    <row r="207" spans="2:13" x14ac:dyDescent="0.15">
      <c r="B207" s="51" t="s">
        <v>38</v>
      </c>
      <c r="C207" s="86"/>
      <c r="D207" s="31" t="s">
        <v>39</v>
      </c>
      <c r="E207" s="205" t="s">
        <v>40</v>
      </c>
      <c r="F207" s="19" t="s">
        <v>41</v>
      </c>
      <c r="G207" s="31" t="s">
        <v>24</v>
      </c>
      <c r="H207" s="204" t="s">
        <v>25</v>
      </c>
      <c r="I207" s="43"/>
    </row>
    <row r="208" spans="2:13" x14ac:dyDescent="0.15">
      <c r="B208" s="4" t="s">
        <v>65</v>
      </c>
      <c r="C208" s="24"/>
      <c r="D208" s="32">
        <f>'MANO DE OBRA'!E15</f>
        <v>95333</v>
      </c>
      <c r="E208" s="166">
        <v>1.75</v>
      </c>
      <c r="F208" s="20">
        <f>+E208*D208</f>
        <v>166832.75</v>
      </c>
      <c r="G208" s="20">
        <f>G188</f>
        <v>27</v>
      </c>
      <c r="H208" s="167">
        <f>+F208/G208</f>
        <v>6178.9907407407409</v>
      </c>
      <c r="I208" s="44"/>
    </row>
    <row r="209" spans="2:11" x14ac:dyDescent="0.15">
      <c r="B209" s="4" t="s">
        <v>94</v>
      </c>
      <c r="C209" s="24"/>
      <c r="D209" s="32">
        <f>'MANO DE OBRA'!E14*6</f>
        <v>312000</v>
      </c>
      <c r="E209" s="166">
        <v>1.75</v>
      </c>
      <c r="F209" s="20">
        <f>+E209*D209</f>
        <v>546000</v>
      </c>
      <c r="G209" s="20">
        <f>G188</f>
        <v>27</v>
      </c>
      <c r="H209" s="167">
        <f>+F209/G209</f>
        <v>20222.222222222223</v>
      </c>
      <c r="I209" s="44"/>
    </row>
    <row r="210" spans="2:11" ht="14" thickBot="1" x14ac:dyDescent="0.2">
      <c r="B210" s="33"/>
      <c r="C210" s="34"/>
      <c r="D210" s="22"/>
      <c r="E210" s="21"/>
      <c r="F210" s="22"/>
      <c r="G210" s="23"/>
      <c r="H210" s="47"/>
      <c r="I210" s="48"/>
    </row>
    <row r="211" spans="2:11" ht="14" thickBot="1" x14ac:dyDescent="0.2">
      <c r="B211" s="1"/>
      <c r="C211" s="1"/>
      <c r="D211" s="1"/>
      <c r="E211" s="1"/>
      <c r="F211" s="1"/>
      <c r="G211" s="1"/>
      <c r="H211" s="37" t="s">
        <v>26</v>
      </c>
      <c r="I211" s="175">
        <f>SUM(H208:H209)</f>
        <v>26401.212962962964</v>
      </c>
    </row>
    <row r="212" spans="2:11" ht="14" thickBot="1" x14ac:dyDescent="0.2">
      <c r="B212" s="1"/>
      <c r="C212" s="1"/>
      <c r="D212" s="1"/>
      <c r="E212" s="1"/>
      <c r="F212" s="1"/>
      <c r="G212" s="1"/>
      <c r="H212" s="61"/>
      <c r="I212" s="1"/>
    </row>
    <row r="213" spans="2:11" ht="15" thickBot="1" x14ac:dyDescent="0.2">
      <c r="B213" s="1"/>
      <c r="C213" s="1"/>
      <c r="D213" s="1"/>
      <c r="E213" s="1"/>
      <c r="F213" s="35" t="s">
        <v>43</v>
      </c>
      <c r="G213" s="16"/>
      <c r="H213" s="16"/>
      <c r="I213" s="222">
        <f>ROUND((I192+I199+I205+I211),0)</f>
        <v>118953</v>
      </c>
      <c r="K213" s="172"/>
    </row>
    <row r="214" spans="2:11" x14ac:dyDescent="0.15">
      <c r="B214" s="12"/>
      <c r="C214" s="12"/>
      <c r="D214" s="1"/>
      <c r="E214" s="1"/>
      <c r="F214" s="1"/>
      <c r="G214" s="1"/>
      <c r="H214" s="1"/>
      <c r="I214" s="1"/>
    </row>
    <row r="215" spans="2:11" x14ac:dyDescent="0.15">
      <c r="B215" s="16"/>
      <c r="C215" s="16"/>
      <c r="D215" s="16"/>
      <c r="E215" s="16"/>
      <c r="F215" s="16"/>
      <c r="G215" s="61"/>
      <c r="H215" s="61"/>
      <c r="I215" s="1"/>
    </row>
    <row r="216" spans="2:11" x14ac:dyDescent="0.15">
      <c r="B216" s="1"/>
      <c r="C216" s="1"/>
      <c r="D216" s="1"/>
      <c r="E216" s="1"/>
      <c r="F216" s="1"/>
      <c r="G216" s="159"/>
      <c r="H216" s="170"/>
      <c r="I216" s="170"/>
    </row>
    <row r="217" spans="2:11" x14ac:dyDescent="0.15">
      <c r="B217" s="1"/>
      <c r="C217" s="1"/>
      <c r="D217" s="1"/>
      <c r="E217" s="1"/>
      <c r="F217" s="1"/>
      <c r="G217" s="159"/>
      <c r="H217" s="170"/>
      <c r="I217" s="170"/>
    </row>
    <row r="218" spans="2:11" x14ac:dyDescent="0.15">
      <c r="B218" s="1"/>
      <c r="C218" s="1"/>
      <c r="D218" s="1"/>
      <c r="E218" s="1"/>
      <c r="F218" s="1"/>
      <c r="G218" s="159"/>
      <c r="H218" s="170"/>
      <c r="I218" s="170"/>
    </row>
    <row r="219" spans="2:11" ht="14" x14ac:dyDescent="0.15">
      <c r="B219" s="83"/>
      <c r="D219" s="1"/>
      <c r="E219" s="15"/>
      <c r="F219" s="16"/>
      <c r="G219" s="16"/>
      <c r="H219" s="16"/>
      <c r="I219" s="169"/>
    </row>
    <row r="220" spans="2:11" ht="14" x14ac:dyDescent="0.15">
      <c r="B220" s="101"/>
      <c r="C220" s="83"/>
      <c r="D220" s="84"/>
      <c r="E220" s="83"/>
      <c r="F220" s="83"/>
      <c r="G220" s="101"/>
      <c r="H220" s="83"/>
      <c r="I220" s="85"/>
      <c r="J220" s="85"/>
    </row>
    <row r="221" spans="2:11" ht="14" x14ac:dyDescent="0.15">
      <c r="B221" s="83"/>
      <c r="C221" s="83"/>
      <c r="D221" s="84"/>
      <c r="E221" s="83"/>
      <c r="F221" s="83"/>
      <c r="G221" s="118"/>
      <c r="H221" s="83"/>
      <c r="I221" s="85"/>
      <c r="J221" s="85"/>
    </row>
    <row r="222" spans="2:11" x14ac:dyDescent="0.15">
      <c r="D222" s="1"/>
      <c r="E222" s="15"/>
      <c r="F222" s="16"/>
      <c r="G222" s="16"/>
      <c r="H222" s="16"/>
      <c r="I222" s="57"/>
    </row>
    <row r="223" spans="2:11" x14ac:dyDescent="0.15">
      <c r="D223" s="1"/>
      <c r="E223" s="15"/>
      <c r="F223" s="16"/>
      <c r="G223" s="16"/>
      <c r="H223" s="16"/>
      <c r="I223" s="57"/>
    </row>
    <row r="224" spans="2:11" x14ac:dyDescent="0.15">
      <c r="D224" s="1"/>
      <c r="E224" s="15"/>
      <c r="F224" s="16"/>
      <c r="G224" s="16"/>
      <c r="H224" s="16"/>
      <c r="I224" s="57"/>
    </row>
    <row r="225" spans="2:10" x14ac:dyDescent="0.15">
      <c r="D225" s="1"/>
      <c r="E225" s="15"/>
      <c r="F225" s="16"/>
      <c r="G225" s="16"/>
      <c r="H225" s="16"/>
      <c r="I225" s="57"/>
    </row>
    <row r="226" spans="2:10" x14ac:dyDescent="0.15">
      <c r="D226" s="1"/>
      <c r="E226" s="15"/>
      <c r="F226" s="16"/>
      <c r="G226" s="16"/>
      <c r="H226" s="16"/>
      <c r="I226" s="57"/>
    </row>
    <row r="227" spans="2:10" x14ac:dyDescent="0.15">
      <c r="D227" s="1"/>
      <c r="E227" s="15"/>
      <c r="F227" s="16"/>
      <c r="G227" s="16"/>
      <c r="H227" s="16"/>
      <c r="I227" s="57"/>
    </row>
    <row r="228" spans="2:10" x14ac:dyDescent="0.15">
      <c r="D228" s="1"/>
      <c r="E228" s="15"/>
      <c r="F228" s="16"/>
      <c r="G228" s="16"/>
      <c r="H228" s="16"/>
      <c r="I228" s="57"/>
    </row>
    <row r="229" spans="2:10" x14ac:dyDescent="0.15">
      <c r="D229" s="1"/>
      <c r="E229" s="15"/>
      <c r="F229" s="16"/>
      <c r="G229" s="16"/>
      <c r="H229" s="16"/>
      <c r="I229" s="57"/>
    </row>
    <row r="230" spans="2:10" x14ac:dyDescent="0.15">
      <c r="D230" s="1"/>
      <c r="E230" s="15"/>
      <c r="F230" s="16"/>
      <c r="G230" s="16"/>
      <c r="H230" s="16"/>
      <c r="I230" s="57"/>
    </row>
    <row r="231" spans="2:10" x14ac:dyDescent="0.15">
      <c r="D231" s="1"/>
      <c r="E231" s="15"/>
      <c r="F231" s="16"/>
      <c r="G231" s="16"/>
      <c r="H231" s="16"/>
      <c r="I231" s="57"/>
    </row>
    <row r="232" spans="2:10" x14ac:dyDescent="0.15">
      <c r="D232" s="1"/>
      <c r="E232" s="15"/>
      <c r="F232" s="16"/>
      <c r="G232" s="16"/>
      <c r="H232" s="16"/>
      <c r="I232" s="57"/>
    </row>
    <row r="233" spans="2:10" ht="14" x14ac:dyDescent="0.15">
      <c r="B233" s="83"/>
      <c r="C233" s="83"/>
      <c r="D233" s="84"/>
      <c r="E233" s="83"/>
      <c r="F233" s="83"/>
      <c r="G233" s="103"/>
      <c r="H233" s="83"/>
      <c r="I233" s="85"/>
      <c r="J233" s="85"/>
    </row>
    <row r="234" spans="2:10" ht="14" x14ac:dyDescent="0.15">
      <c r="B234" s="83"/>
      <c r="C234" s="83"/>
      <c r="D234" s="84"/>
      <c r="E234" s="83"/>
      <c r="F234" s="83"/>
      <c r="G234" s="103"/>
      <c r="H234" s="83"/>
      <c r="I234" s="85"/>
      <c r="J234" s="85"/>
    </row>
    <row r="235" spans="2:10" ht="14" thickBot="1" x14ac:dyDescent="0.2">
      <c r="B235" s="12"/>
      <c r="C235" s="40"/>
      <c r="D235" s="40"/>
      <c r="E235" s="40"/>
      <c r="F235" s="41"/>
      <c r="I235" s="42"/>
    </row>
    <row r="236" spans="2:10" s="90" customFormat="1" ht="21.75" customHeight="1" x14ac:dyDescent="0.2">
      <c r="B236" s="607" t="s">
        <v>1065</v>
      </c>
      <c r="C236" s="608"/>
      <c r="D236" s="608"/>
      <c r="E236" s="608"/>
      <c r="F236" s="609"/>
      <c r="G236" s="89"/>
      <c r="H236" s="600" t="s">
        <v>20</v>
      </c>
      <c r="I236" s="601"/>
    </row>
    <row r="237" spans="2:10" s="90" customFormat="1" ht="21" customHeight="1" x14ac:dyDescent="0.2">
      <c r="B237" s="604" t="s">
        <v>446</v>
      </c>
      <c r="C237" s="605"/>
      <c r="D237" s="605"/>
      <c r="E237" s="605"/>
      <c r="F237" s="606"/>
      <c r="G237" s="91"/>
      <c r="H237" s="602"/>
      <c r="I237" s="603"/>
    </row>
    <row r="238" spans="2:10" s="90" customFormat="1" ht="15" customHeight="1" x14ac:dyDescent="0.2">
      <c r="B238" s="610" t="s">
        <v>447</v>
      </c>
      <c r="C238" s="611"/>
      <c r="D238" s="611"/>
      <c r="E238" s="611"/>
      <c r="F238" s="612"/>
      <c r="G238" s="91"/>
      <c r="H238" s="668" t="s">
        <v>903</v>
      </c>
      <c r="I238" s="669"/>
    </row>
    <row r="239" spans="2:10" s="90" customFormat="1" ht="15.75" customHeight="1" thickBot="1" x14ac:dyDescent="0.25">
      <c r="B239" s="613"/>
      <c r="C239" s="614"/>
      <c r="D239" s="614"/>
      <c r="E239" s="614"/>
      <c r="F239" s="615"/>
      <c r="G239" s="89"/>
      <c r="H239" s="670"/>
      <c r="I239" s="671"/>
    </row>
    <row r="240" spans="2:10" ht="15.75" customHeight="1" thickBot="1" x14ac:dyDescent="0.2">
      <c r="B240" s="15"/>
      <c r="C240" s="16"/>
      <c r="D240" s="1"/>
      <c r="E240" s="1"/>
      <c r="F240" s="1"/>
      <c r="G240" s="1"/>
      <c r="H240" s="670"/>
      <c r="I240" s="671"/>
    </row>
    <row r="241" spans="2:9" ht="15.75" customHeight="1" x14ac:dyDescent="0.15">
      <c r="B241" s="650" t="s">
        <v>890</v>
      </c>
      <c r="C241" s="651"/>
      <c r="D241" s="651"/>
      <c r="E241" s="651"/>
      <c r="F241" s="652"/>
      <c r="G241" s="1"/>
      <c r="H241" s="670"/>
      <c r="I241" s="671"/>
    </row>
    <row r="242" spans="2:9" ht="15" customHeight="1" x14ac:dyDescent="0.15">
      <c r="B242" s="653"/>
      <c r="C242" s="654"/>
      <c r="D242" s="654"/>
      <c r="E242" s="654"/>
      <c r="F242" s="655"/>
      <c r="H242" s="670"/>
      <c r="I242" s="671"/>
    </row>
    <row r="243" spans="2:9" ht="23.25" customHeight="1" x14ac:dyDescent="0.15">
      <c r="B243" s="653"/>
      <c r="C243" s="654"/>
      <c r="D243" s="654"/>
      <c r="E243" s="654"/>
      <c r="F243" s="655"/>
      <c r="G243" s="11"/>
      <c r="H243" s="672"/>
      <c r="I243" s="673"/>
    </row>
    <row r="244" spans="2:9" ht="13.5" customHeight="1" thickBot="1" x14ac:dyDescent="0.2">
      <c r="B244" s="656"/>
      <c r="C244" s="657"/>
      <c r="D244" s="657"/>
      <c r="E244" s="657"/>
      <c r="F244" s="658"/>
      <c r="H244" s="187" t="s">
        <v>45</v>
      </c>
      <c r="I244" s="17" t="s">
        <v>6</v>
      </c>
    </row>
    <row r="245" spans="2:9" x14ac:dyDescent="0.15">
      <c r="B245" s="18"/>
      <c r="C245" s="18"/>
      <c r="D245" s="1"/>
      <c r="E245" s="18"/>
      <c r="F245" s="18"/>
      <c r="G245" s="18"/>
      <c r="H245" s="18"/>
      <c r="I245" s="1"/>
    </row>
    <row r="246" spans="2:9" ht="14" thickBot="1" x14ac:dyDescent="0.2">
      <c r="B246" s="12" t="s">
        <v>21</v>
      </c>
      <c r="C246" s="12"/>
      <c r="D246" s="1"/>
      <c r="E246" s="1"/>
      <c r="F246" s="1"/>
      <c r="G246" s="1"/>
      <c r="H246" s="1"/>
      <c r="I246" s="1"/>
    </row>
    <row r="247" spans="2:9" x14ac:dyDescent="0.15">
      <c r="B247" s="628" t="s">
        <v>22</v>
      </c>
      <c r="C247" s="629"/>
      <c r="D247" s="630"/>
      <c r="E247" s="205" t="s">
        <v>23</v>
      </c>
      <c r="F247" s="19" t="s">
        <v>105</v>
      </c>
      <c r="G247" s="205" t="s">
        <v>24</v>
      </c>
      <c r="H247" s="204" t="s">
        <v>25</v>
      </c>
      <c r="I247" s="43"/>
    </row>
    <row r="248" spans="2:9" ht="15" customHeight="1" x14ac:dyDescent="0.15">
      <c r="B248" s="631" t="s">
        <v>112</v>
      </c>
      <c r="C248" s="632"/>
      <c r="D248" s="633"/>
      <c r="E248" s="3"/>
      <c r="F248" s="164">
        <f>'HERRAMIENTAS Y EQUIPOS'!C12</f>
        <v>130000</v>
      </c>
      <c r="G248" s="20">
        <v>15.54899</v>
      </c>
      <c r="H248" s="163">
        <f>F248/G248</f>
        <v>8360.6716577732695</v>
      </c>
      <c r="I248" s="189"/>
    </row>
    <row r="249" spans="2:9" x14ac:dyDescent="0.15">
      <c r="B249" s="631" t="s">
        <v>423</v>
      </c>
      <c r="C249" s="632"/>
      <c r="D249" s="633"/>
      <c r="E249" s="5"/>
      <c r="F249" s="160"/>
      <c r="G249" s="20"/>
      <c r="H249" s="163">
        <f>I270*0.05</f>
        <v>109.73381550827418</v>
      </c>
      <c r="I249" s="44"/>
    </row>
    <row r="250" spans="2:9" ht="14" thickBot="1" x14ac:dyDescent="0.2">
      <c r="B250" s="634"/>
      <c r="C250" s="635"/>
      <c r="D250" s="636"/>
      <c r="E250" s="21"/>
      <c r="F250" s="22"/>
      <c r="G250" s="23"/>
      <c r="H250" s="47"/>
      <c r="I250" s="48"/>
    </row>
    <row r="251" spans="2:9" ht="14" thickBot="1" x14ac:dyDescent="0.2">
      <c r="B251" s="1"/>
      <c r="C251" s="1"/>
      <c r="D251" s="1"/>
      <c r="E251" s="1"/>
      <c r="F251" s="1"/>
      <c r="G251" s="1"/>
      <c r="H251" s="37" t="s">
        <v>26</v>
      </c>
      <c r="I251" s="161">
        <f>SUM(H248:H250)</f>
        <v>8470.4054732815439</v>
      </c>
    </row>
    <row r="252" spans="2:9" ht="14" thickBot="1" x14ac:dyDescent="0.2">
      <c r="B252" s="12" t="s">
        <v>27</v>
      </c>
      <c r="C252" s="12"/>
      <c r="D252" s="1"/>
      <c r="E252" s="1"/>
      <c r="F252" s="1"/>
      <c r="G252" s="1"/>
      <c r="H252" s="1"/>
      <c r="I252" s="1"/>
    </row>
    <row r="253" spans="2:9" x14ac:dyDescent="0.15">
      <c r="B253" s="628" t="s">
        <v>22</v>
      </c>
      <c r="C253" s="629"/>
      <c r="D253" s="630"/>
      <c r="E253" s="205" t="s">
        <v>28</v>
      </c>
      <c r="F253" s="205" t="s">
        <v>29</v>
      </c>
      <c r="G253" s="205" t="s">
        <v>30</v>
      </c>
      <c r="H253" s="204" t="s">
        <v>25</v>
      </c>
      <c r="I253" s="43"/>
    </row>
    <row r="254" spans="2:9" x14ac:dyDescent="0.15">
      <c r="B254" s="4"/>
      <c r="C254" s="24"/>
      <c r="D254" s="6"/>
      <c r="E254" s="3"/>
      <c r="F254" s="45"/>
      <c r="G254" s="50"/>
      <c r="H254" s="56"/>
      <c r="I254" s="44"/>
    </row>
    <row r="255" spans="2:9" x14ac:dyDescent="0.15">
      <c r="B255" s="4"/>
      <c r="C255" s="24"/>
      <c r="D255" s="6"/>
      <c r="E255" s="3"/>
      <c r="F255" s="45"/>
      <c r="G255" s="50"/>
      <c r="H255" s="56"/>
      <c r="I255" s="44"/>
    </row>
    <row r="256" spans="2:9" x14ac:dyDescent="0.15">
      <c r="B256" s="4"/>
      <c r="C256" s="24"/>
      <c r="D256" s="6"/>
      <c r="E256" s="3"/>
      <c r="F256" s="45"/>
      <c r="G256" s="50"/>
      <c r="H256" s="56"/>
      <c r="I256" s="44"/>
    </row>
    <row r="257" spans="2:9" ht="14" thickBot="1" x14ac:dyDescent="0.2">
      <c r="B257" s="25"/>
      <c r="C257" s="26"/>
      <c r="D257" s="27"/>
      <c r="E257" s="21"/>
      <c r="F257" s="22"/>
      <c r="G257" s="23"/>
      <c r="H257" s="47"/>
      <c r="I257" s="48"/>
    </row>
    <row r="258" spans="2:9" ht="14" thickBot="1" x14ac:dyDescent="0.2">
      <c r="B258" s="1"/>
      <c r="C258" s="1"/>
      <c r="D258" s="1"/>
      <c r="E258" s="1"/>
      <c r="F258" s="1"/>
      <c r="G258" s="1"/>
      <c r="H258" s="191" t="s">
        <v>26</v>
      </c>
      <c r="I258" s="49">
        <f>SUM(H254:H257)</f>
        <v>0</v>
      </c>
    </row>
    <row r="259" spans="2:9" ht="14" thickBot="1" x14ac:dyDescent="0.2">
      <c r="B259" s="28" t="s">
        <v>31</v>
      </c>
      <c r="C259" s="28"/>
      <c r="D259" s="26"/>
      <c r="E259" s="1"/>
      <c r="F259" s="1"/>
      <c r="G259" s="1"/>
      <c r="H259" s="1"/>
      <c r="I259" s="1"/>
    </row>
    <row r="260" spans="2:9" x14ac:dyDescent="0.15">
      <c r="B260" s="51" t="s">
        <v>32</v>
      </c>
      <c r="C260" s="52"/>
      <c r="D260" s="291" t="s">
        <v>33</v>
      </c>
      <c r="E260" s="205" t="s">
        <v>34</v>
      </c>
      <c r="F260" s="205" t="s">
        <v>35</v>
      </c>
      <c r="G260" s="205" t="s">
        <v>36</v>
      </c>
      <c r="H260" s="59" t="s">
        <v>25</v>
      </c>
      <c r="I260" s="43"/>
    </row>
    <row r="261" spans="2:9" x14ac:dyDescent="0.15">
      <c r="B261" s="4" t="s">
        <v>202</v>
      </c>
      <c r="C261" s="6"/>
      <c r="D261" s="60">
        <v>1.5</v>
      </c>
      <c r="E261" s="2">
        <v>10</v>
      </c>
      <c r="F261" s="2">
        <f>E261*D261</f>
        <v>15</v>
      </c>
      <c r="G261" s="160">
        <v>1100</v>
      </c>
      <c r="H261" s="55">
        <f>G261*F261</f>
        <v>16500</v>
      </c>
      <c r="I261" s="44"/>
    </row>
    <row r="262" spans="2:9" x14ac:dyDescent="0.15">
      <c r="B262" s="4" t="s">
        <v>203</v>
      </c>
      <c r="C262" s="6"/>
      <c r="D262" s="53">
        <v>0.1</v>
      </c>
      <c r="E262" s="2">
        <v>15</v>
      </c>
      <c r="F262" s="2">
        <f>E262*D262</f>
        <v>1.5</v>
      </c>
      <c r="G262" s="160">
        <v>1100</v>
      </c>
      <c r="H262" s="20">
        <f>G262*F262</f>
        <v>1650</v>
      </c>
      <c r="I262" s="189"/>
    </row>
    <row r="263" spans="2:9" ht="14" thickBot="1" x14ac:dyDescent="0.2">
      <c r="B263" s="33"/>
      <c r="C263" s="54"/>
      <c r="D263" s="21"/>
      <c r="E263" s="22"/>
      <c r="F263" s="23"/>
      <c r="G263" s="47"/>
      <c r="H263" s="21"/>
      <c r="I263" s="44"/>
    </row>
    <row r="264" spans="2:9" ht="14" thickBot="1" x14ac:dyDescent="0.2">
      <c r="B264" s="1"/>
      <c r="C264" s="1"/>
      <c r="D264" s="1"/>
      <c r="E264" s="1"/>
      <c r="F264" s="1"/>
      <c r="G264" s="1"/>
      <c r="H264" s="37" t="s">
        <v>26</v>
      </c>
      <c r="I264" s="49">
        <f>SUM(H261:H263)</f>
        <v>18150</v>
      </c>
    </row>
    <row r="265" spans="2:9" ht="14" thickBot="1" x14ac:dyDescent="0.2">
      <c r="B265" s="28" t="s">
        <v>37</v>
      </c>
      <c r="C265" s="28"/>
      <c r="D265" s="1"/>
      <c r="E265" s="1"/>
      <c r="F265" s="1"/>
      <c r="G265" s="1"/>
      <c r="H265" s="1"/>
      <c r="I265" s="1"/>
    </row>
    <row r="266" spans="2:9" x14ac:dyDescent="0.15">
      <c r="B266" s="51" t="s">
        <v>38</v>
      </c>
      <c r="C266" s="86"/>
      <c r="D266" s="31" t="s">
        <v>39</v>
      </c>
      <c r="E266" s="205" t="s">
        <v>40</v>
      </c>
      <c r="F266" s="19" t="s">
        <v>41</v>
      </c>
      <c r="G266" s="31" t="s">
        <v>24</v>
      </c>
      <c r="H266" s="204" t="s">
        <v>25</v>
      </c>
      <c r="I266" s="43"/>
    </row>
    <row r="267" spans="2:9" x14ac:dyDescent="0.15">
      <c r="B267" s="4" t="s">
        <v>64</v>
      </c>
      <c r="C267" s="24"/>
      <c r="D267" s="32">
        <f>'MANO DE OBRA'!E14*3</f>
        <v>156000</v>
      </c>
      <c r="E267" s="166">
        <v>1.75</v>
      </c>
      <c r="F267" s="162">
        <f>+E267*D267</f>
        <v>273000</v>
      </c>
      <c r="G267" s="20">
        <f>G248*8</f>
        <v>124.39192</v>
      </c>
      <c r="H267" s="167">
        <f>+F267/G267</f>
        <v>2194.6763101654833</v>
      </c>
      <c r="I267" s="44"/>
    </row>
    <row r="268" spans="2:9" x14ac:dyDescent="0.15">
      <c r="B268" s="4"/>
      <c r="C268" s="24"/>
      <c r="D268" s="289"/>
      <c r="E268" s="290"/>
      <c r="F268" s="45"/>
      <c r="G268" s="20"/>
      <c r="H268" s="56"/>
      <c r="I268" s="44"/>
    </row>
    <row r="269" spans="2:9" ht="14" thickBot="1" x14ac:dyDescent="0.2">
      <c r="B269" s="33"/>
      <c r="C269" s="34"/>
      <c r="D269" s="22"/>
      <c r="E269" s="21"/>
      <c r="F269" s="22"/>
      <c r="G269" s="23"/>
      <c r="H269" s="47"/>
      <c r="I269" s="48"/>
    </row>
    <row r="270" spans="2:9" ht="14" thickBot="1" x14ac:dyDescent="0.2">
      <c r="B270" s="1"/>
      <c r="C270" s="1"/>
      <c r="D270" s="1"/>
      <c r="E270" s="1"/>
      <c r="F270" s="1"/>
      <c r="G270" s="1"/>
      <c r="H270" s="37" t="s">
        <v>26</v>
      </c>
      <c r="I270" s="175">
        <f>SUM(H267:H269)</f>
        <v>2194.6763101654833</v>
      </c>
    </row>
    <row r="271" spans="2:9" ht="14" thickBot="1" x14ac:dyDescent="0.2">
      <c r="B271" s="1"/>
      <c r="C271" s="1"/>
      <c r="D271" s="1"/>
      <c r="E271" s="1"/>
      <c r="F271" s="1"/>
      <c r="G271" s="1"/>
      <c r="H271" s="61"/>
      <c r="I271" s="1"/>
    </row>
    <row r="272" spans="2:9" ht="15" thickBot="1" x14ac:dyDescent="0.2">
      <c r="B272" s="1"/>
      <c r="C272" s="1"/>
      <c r="D272" s="1"/>
      <c r="E272" s="1"/>
      <c r="F272" s="35" t="s">
        <v>43</v>
      </c>
      <c r="G272" s="16"/>
      <c r="H272" s="16"/>
      <c r="I272" s="222">
        <f>ROUND((I251+I258+I264+I270),0)</f>
        <v>28815</v>
      </c>
    </row>
    <row r="273" spans="2:11" x14ac:dyDescent="0.15">
      <c r="B273" s="12"/>
      <c r="C273" s="12"/>
      <c r="D273" s="1"/>
      <c r="E273" s="1"/>
      <c r="F273" s="1"/>
      <c r="G273" s="1"/>
      <c r="H273" s="1"/>
      <c r="I273" s="1"/>
      <c r="K273" s="105"/>
    </row>
    <row r="274" spans="2:11" x14ac:dyDescent="0.15">
      <c r="B274" s="16"/>
      <c r="C274" s="16"/>
      <c r="D274" s="16"/>
      <c r="E274" s="16"/>
      <c r="F274" s="16"/>
      <c r="G274" s="61"/>
      <c r="H274" s="61"/>
      <c r="I274" s="1"/>
    </row>
    <row r="275" spans="2:11" x14ac:dyDescent="0.15">
      <c r="B275" s="1"/>
      <c r="C275" s="1"/>
      <c r="D275" s="1"/>
      <c r="E275" s="1"/>
      <c r="F275" s="1"/>
      <c r="G275" s="159"/>
      <c r="H275" s="170"/>
      <c r="I275" s="170"/>
    </row>
    <row r="276" spans="2:11" x14ac:dyDescent="0.15">
      <c r="B276" s="1"/>
      <c r="C276" s="1"/>
      <c r="D276" s="1"/>
      <c r="E276" s="1"/>
      <c r="F276" s="1"/>
      <c r="G276" s="159"/>
      <c r="H276" s="170"/>
      <c r="I276" s="170"/>
    </row>
    <row r="277" spans="2:11" x14ac:dyDescent="0.15">
      <c r="B277" s="1"/>
      <c r="C277" s="1"/>
      <c r="D277" s="1"/>
      <c r="E277" s="1"/>
      <c r="F277" s="1"/>
      <c r="G277" s="159"/>
      <c r="H277" s="170"/>
      <c r="I277" s="170"/>
    </row>
    <row r="278" spans="2:11" x14ac:dyDescent="0.15">
      <c r="B278" s="1"/>
      <c r="C278" s="1"/>
      <c r="D278" s="1"/>
      <c r="E278" s="1"/>
      <c r="F278" s="1"/>
      <c r="G278" s="1"/>
      <c r="H278" s="37"/>
      <c r="I278" s="170"/>
    </row>
    <row r="279" spans="2:11" ht="14" x14ac:dyDescent="0.15">
      <c r="B279" s="101"/>
      <c r="C279" s="1"/>
      <c r="D279" s="1"/>
      <c r="E279" s="1"/>
      <c r="F279" s="1"/>
      <c r="G279" s="1"/>
      <c r="H279" s="1"/>
      <c r="I279" s="1"/>
    </row>
    <row r="280" spans="2:11" ht="14" x14ac:dyDescent="0.15">
      <c r="B280" s="101"/>
      <c r="C280" s="1"/>
      <c r="D280" s="1"/>
      <c r="E280" s="1"/>
      <c r="F280" s="1"/>
      <c r="G280" s="1"/>
      <c r="H280" s="1"/>
      <c r="I280" s="1"/>
    </row>
    <row r="281" spans="2:11" ht="14" x14ac:dyDescent="0.15">
      <c r="B281" s="101"/>
      <c r="C281" s="1"/>
      <c r="D281" s="1"/>
      <c r="E281" s="1"/>
      <c r="F281" s="1"/>
      <c r="G281" s="1"/>
      <c r="H281" s="1"/>
      <c r="I281" s="1"/>
    </row>
    <row r="282" spans="2:11" ht="14" x14ac:dyDescent="0.15">
      <c r="B282" s="101"/>
      <c r="C282" s="1"/>
      <c r="D282" s="1"/>
      <c r="E282" s="1"/>
      <c r="F282" s="1"/>
      <c r="G282" s="1"/>
      <c r="H282" s="1"/>
      <c r="I282" s="1"/>
    </row>
    <row r="283" spans="2:11" ht="14" x14ac:dyDescent="0.15">
      <c r="B283" s="101"/>
      <c r="C283" s="1"/>
      <c r="D283" s="1"/>
      <c r="E283" s="1"/>
      <c r="F283" s="1"/>
      <c r="G283" s="1"/>
      <c r="H283" s="1"/>
      <c r="I283" s="1"/>
    </row>
    <row r="284" spans="2:11" ht="14" x14ac:dyDescent="0.15">
      <c r="B284" s="83"/>
      <c r="D284" s="1"/>
      <c r="E284" s="15"/>
      <c r="F284" s="16"/>
      <c r="G284" s="16"/>
      <c r="H284" s="16"/>
      <c r="I284" s="169"/>
    </row>
    <row r="285" spans="2:11" ht="14" x14ac:dyDescent="0.15">
      <c r="B285" s="101"/>
      <c r="C285" s="83"/>
      <c r="D285" s="84"/>
      <c r="E285" s="83"/>
      <c r="F285" s="83"/>
      <c r="G285" s="101"/>
      <c r="H285" s="83"/>
      <c r="I285" s="85"/>
      <c r="J285" s="85"/>
    </row>
    <row r="286" spans="2:11" ht="14" x14ac:dyDescent="0.15">
      <c r="B286" s="83"/>
      <c r="C286" s="83"/>
      <c r="D286" s="84"/>
      <c r="E286" s="83"/>
      <c r="F286" s="83"/>
      <c r="G286" s="118"/>
      <c r="H286" s="83"/>
      <c r="I286" s="85"/>
      <c r="J286" s="85"/>
    </row>
    <row r="287" spans="2:11" x14ac:dyDescent="0.15">
      <c r="D287" s="1"/>
      <c r="E287" s="15"/>
      <c r="F287" s="16"/>
      <c r="G287" s="16"/>
      <c r="H287" s="16"/>
      <c r="I287" s="57"/>
    </row>
    <row r="288" spans="2:11" x14ac:dyDescent="0.15">
      <c r="D288" s="1"/>
      <c r="E288" s="15"/>
      <c r="F288" s="16"/>
      <c r="G288" s="16"/>
      <c r="H288" s="16"/>
      <c r="I288" s="57"/>
    </row>
    <row r="289" spans="2:10" x14ac:dyDescent="0.15">
      <c r="D289" s="1"/>
      <c r="E289" s="15"/>
      <c r="F289" s="16"/>
      <c r="G289" s="16"/>
      <c r="H289" s="16"/>
      <c r="I289" s="57"/>
    </row>
    <row r="290" spans="2:10" x14ac:dyDescent="0.15">
      <c r="D290" s="1"/>
      <c r="E290" s="15"/>
      <c r="F290" s="16"/>
      <c r="G290" s="16"/>
      <c r="H290" s="16"/>
      <c r="I290" s="57"/>
    </row>
    <row r="291" spans="2:10" x14ac:dyDescent="0.15">
      <c r="D291" s="1"/>
      <c r="E291" s="15"/>
      <c r="F291" s="16"/>
      <c r="G291" s="16"/>
      <c r="H291" s="16"/>
      <c r="I291" s="57"/>
    </row>
    <row r="292" spans="2:10" x14ac:dyDescent="0.15">
      <c r="D292" s="1"/>
      <c r="E292" s="15"/>
      <c r="F292" s="16"/>
      <c r="G292" s="16"/>
      <c r="H292" s="16"/>
      <c r="I292" s="57"/>
    </row>
    <row r="293" spans="2:10" ht="14" x14ac:dyDescent="0.15">
      <c r="B293" s="83"/>
      <c r="C293" s="83"/>
      <c r="D293" s="84"/>
      <c r="E293" s="83"/>
      <c r="F293" s="83"/>
      <c r="G293" s="103"/>
      <c r="H293" s="83"/>
      <c r="I293" s="85"/>
      <c r="J293" s="85"/>
    </row>
    <row r="294" spans="2:10" ht="14" thickBot="1" x14ac:dyDescent="0.2">
      <c r="B294" s="38"/>
      <c r="C294" s="38"/>
      <c r="D294" s="38"/>
      <c r="E294" s="39"/>
      <c r="F294" s="18"/>
      <c r="G294" s="18"/>
      <c r="H294" s="18"/>
    </row>
    <row r="295" spans="2:10" s="90" customFormat="1" ht="21.75" customHeight="1" x14ac:dyDescent="0.2">
      <c r="B295" s="607" t="s">
        <v>1065</v>
      </c>
      <c r="C295" s="608"/>
      <c r="D295" s="608"/>
      <c r="E295" s="608"/>
      <c r="F295" s="609"/>
      <c r="G295" s="89"/>
      <c r="H295" s="600" t="s">
        <v>20</v>
      </c>
      <c r="I295" s="601"/>
    </row>
    <row r="296" spans="2:10" s="90" customFormat="1" ht="21" customHeight="1" x14ac:dyDescent="0.2">
      <c r="B296" s="604" t="s">
        <v>446</v>
      </c>
      <c r="C296" s="605"/>
      <c r="D296" s="605"/>
      <c r="E296" s="605"/>
      <c r="F296" s="606"/>
      <c r="G296" s="91"/>
      <c r="H296" s="602"/>
      <c r="I296" s="603"/>
    </row>
    <row r="297" spans="2:10" s="90" customFormat="1" ht="15" customHeight="1" x14ac:dyDescent="0.2">
      <c r="B297" s="610" t="s">
        <v>447</v>
      </c>
      <c r="C297" s="611"/>
      <c r="D297" s="611"/>
      <c r="E297" s="611"/>
      <c r="F297" s="612"/>
      <c r="G297" s="91"/>
      <c r="H297" s="727" t="s">
        <v>662</v>
      </c>
      <c r="I297" s="730"/>
    </row>
    <row r="298" spans="2:10" s="90" customFormat="1" ht="15.75" customHeight="1" thickBot="1" x14ac:dyDescent="0.25">
      <c r="B298" s="613"/>
      <c r="C298" s="614"/>
      <c r="D298" s="614"/>
      <c r="E298" s="614"/>
      <c r="F298" s="615"/>
      <c r="G298" s="89"/>
      <c r="H298" s="727"/>
      <c r="I298" s="730"/>
    </row>
    <row r="299" spans="2:10" ht="15.75" customHeight="1" thickBot="1" x14ac:dyDescent="0.2">
      <c r="B299" s="15"/>
      <c r="C299" s="16"/>
      <c r="D299" s="1"/>
      <c r="E299" s="1"/>
      <c r="F299" s="1"/>
      <c r="G299" s="1"/>
      <c r="H299" s="727"/>
      <c r="I299" s="730"/>
    </row>
    <row r="300" spans="2:10" ht="15.75" customHeight="1" x14ac:dyDescent="0.15">
      <c r="B300" s="650" t="s">
        <v>890</v>
      </c>
      <c r="C300" s="651"/>
      <c r="D300" s="651"/>
      <c r="E300" s="651"/>
      <c r="F300" s="652"/>
      <c r="G300" s="1"/>
      <c r="H300" s="727"/>
      <c r="I300" s="730"/>
    </row>
    <row r="301" spans="2:10" ht="15" customHeight="1" x14ac:dyDescent="0.15">
      <c r="B301" s="653"/>
      <c r="C301" s="654"/>
      <c r="D301" s="654"/>
      <c r="E301" s="654"/>
      <c r="F301" s="655"/>
      <c r="H301" s="727"/>
      <c r="I301" s="730"/>
    </row>
    <row r="302" spans="2:10" ht="15" customHeight="1" x14ac:dyDescent="0.15">
      <c r="B302" s="653"/>
      <c r="C302" s="654"/>
      <c r="D302" s="654"/>
      <c r="E302" s="654"/>
      <c r="F302" s="655"/>
      <c r="G302" s="11"/>
      <c r="H302" s="727"/>
      <c r="I302" s="730"/>
    </row>
    <row r="303" spans="2:10" ht="13.5" customHeight="1" thickBot="1" x14ac:dyDescent="0.2">
      <c r="B303" s="656"/>
      <c r="C303" s="657"/>
      <c r="D303" s="657"/>
      <c r="E303" s="657"/>
      <c r="F303" s="658"/>
      <c r="H303" s="187" t="s">
        <v>45</v>
      </c>
      <c r="I303" s="17" t="s">
        <v>6</v>
      </c>
    </row>
    <row r="304" spans="2:10" x14ac:dyDescent="0.15">
      <c r="B304" s="18"/>
      <c r="C304" s="18"/>
      <c r="D304" s="1"/>
      <c r="E304" s="18"/>
      <c r="F304" s="18"/>
      <c r="G304" s="18"/>
      <c r="H304" s="18"/>
      <c r="I304" s="1"/>
    </row>
    <row r="305" spans="2:13" ht="14" thickBot="1" x14ac:dyDescent="0.2">
      <c r="B305" s="12" t="s">
        <v>21</v>
      </c>
      <c r="C305" s="12"/>
      <c r="D305" s="1"/>
      <c r="E305" s="1"/>
      <c r="F305" s="1"/>
      <c r="G305" s="1"/>
      <c r="H305" s="1"/>
      <c r="I305" s="1"/>
    </row>
    <row r="306" spans="2:13" x14ac:dyDescent="0.15">
      <c r="B306" s="628" t="s">
        <v>22</v>
      </c>
      <c r="C306" s="629"/>
      <c r="D306" s="630"/>
      <c r="E306" s="205" t="s">
        <v>23</v>
      </c>
      <c r="F306" s="19" t="s">
        <v>47</v>
      </c>
      <c r="G306" s="205" t="s">
        <v>24</v>
      </c>
      <c r="H306" s="204" t="s">
        <v>25</v>
      </c>
      <c r="I306" s="43"/>
    </row>
    <row r="307" spans="2:13" x14ac:dyDescent="0.15">
      <c r="B307" s="631" t="s">
        <v>56</v>
      </c>
      <c r="C307" s="632"/>
      <c r="D307" s="633"/>
      <c r="E307" s="5"/>
      <c r="F307" s="162"/>
      <c r="G307" s="20"/>
      <c r="H307" s="163">
        <f>I326*0.05</f>
        <v>1620.0744318181821</v>
      </c>
      <c r="I307" s="44"/>
    </row>
    <row r="308" spans="2:13" x14ac:dyDescent="0.15">
      <c r="B308" s="631"/>
      <c r="C308" s="632"/>
      <c r="D308" s="633"/>
      <c r="E308" s="3"/>
      <c r="F308" s="45"/>
      <c r="G308" s="20"/>
      <c r="H308" s="55"/>
      <c r="I308" s="44"/>
    </row>
    <row r="309" spans="2:13" ht="14" thickBot="1" x14ac:dyDescent="0.2">
      <c r="B309" s="634"/>
      <c r="C309" s="635"/>
      <c r="D309" s="636"/>
      <c r="E309" s="21"/>
      <c r="F309" s="22"/>
      <c r="G309" s="23"/>
      <c r="H309" s="47"/>
      <c r="I309" s="48"/>
    </row>
    <row r="310" spans="2:13" ht="14" thickBot="1" x14ac:dyDescent="0.2">
      <c r="B310" s="1"/>
      <c r="C310" s="1"/>
      <c r="D310" s="1"/>
      <c r="E310" s="1"/>
      <c r="F310" s="1"/>
      <c r="G310" s="1"/>
      <c r="H310" s="37" t="s">
        <v>26</v>
      </c>
      <c r="I310" s="161">
        <f>SUM(H307:H309)</f>
        <v>1620.0744318181821</v>
      </c>
    </row>
    <row r="311" spans="2:13" ht="14" thickBot="1" x14ac:dyDescent="0.2">
      <c r="B311" s="12" t="s">
        <v>27</v>
      </c>
      <c r="C311" s="12"/>
      <c r="D311" s="1"/>
      <c r="E311" s="1"/>
      <c r="F311" s="1"/>
      <c r="G311" s="1"/>
      <c r="H311" s="1"/>
      <c r="I311" s="1"/>
    </row>
    <row r="312" spans="2:13" x14ac:dyDescent="0.15">
      <c r="B312" s="628" t="s">
        <v>22</v>
      </c>
      <c r="C312" s="629"/>
      <c r="D312" s="630"/>
      <c r="E312" s="205" t="s">
        <v>28</v>
      </c>
      <c r="F312" s="205" t="s">
        <v>29</v>
      </c>
      <c r="G312" s="205" t="s">
        <v>30</v>
      </c>
      <c r="H312" s="204" t="s">
        <v>25</v>
      </c>
      <c r="I312" s="43"/>
    </row>
    <row r="313" spans="2:13" x14ac:dyDescent="0.15">
      <c r="B313" s="4"/>
      <c r="C313" s="24"/>
      <c r="D313" s="6"/>
      <c r="E313" s="3"/>
      <c r="F313" s="45"/>
      <c r="G313" s="50"/>
      <c r="H313" s="56"/>
      <c r="I313" s="44"/>
    </row>
    <row r="314" spans="2:13" ht="14" thickBot="1" x14ac:dyDescent="0.2">
      <c r="B314" s="25"/>
      <c r="C314" s="26"/>
      <c r="D314" s="27"/>
      <c r="E314" s="21"/>
      <c r="F314" s="22"/>
      <c r="G314" s="23"/>
      <c r="H314" s="47"/>
      <c r="I314" s="48"/>
    </row>
    <row r="315" spans="2:13" ht="14" thickBot="1" x14ac:dyDescent="0.2">
      <c r="B315" s="1"/>
      <c r="C315" s="1"/>
      <c r="D315" s="1"/>
      <c r="E315" s="1"/>
      <c r="F315" s="1"/>
      <c r="G315" s="1"/>
      <c r="H315" s="191" t="s">
        <v>26</v>
      </c>
      <c r="I315" s="49">
        <f>SUM(H313:H314)</f>
        <v>0</v>
      </c>
      <c r="K315" s="172"/>
      <c r="M315" s="105"/>
    </row>
    <row r="316" spans="2:13" ht="14" thickBot="1" x14ac:dyDescent="0.2">
      <c r="B316" s="28" t="s">
        <v>31</v>
      </c>
      <c r="C316" s="28"/>
      <c r="D316" s="26"/>
      <c r="E316" s="1"/>
      <c r="F316" s="1"/>
      <c r="G316" s="1"/>
      <c r="H316" s="1"/>
      <c r="I316" s="1"/>
    </row>
    <row r="317" spans="2:13" x14ac:dyDescent="0.15">
      <c r="B317" s="51" t="s">
        <v>32</v>
      </c>
      <c r="C317" s="52"/>
      <c r="D317" s="96" t="s">
        <v>33</v>
      </c>
      <c r="E317" s="205" t="s">
        <v>34</v>
      </c>
      <c r="F317" s="205" t="s">
        <v>35</v>
      </c>
      <c r="G317" s="205" t="s">
        <v>36</v>
      </c>
      <c r="H317" s="59" t="s">
        <v>25</v>
      </c>
      <c r="I317" s="43"/>
      <c r="M317" s="105"/>
    </row>
    <row r="318" spans="2:13" x14ac:dyDescent="0.15">
      <c r="B318" s="4"/>
      <c r="C318" s="6"/>
      <c r="D318" s="53"/>
      <c r="E318" s="2"/>
      <c r="F318" s="2"/>
      <c r="G318" s="162"/>
      <c r="H318" s="162"/>
      <c r="I318" s="44"/>
    </row>
    <row r="319" spans="2:13" ht="14" thickBot="1" x14ac:dyDescent="0.2">
      <c r="B319" s="33"/>
      <c r="C319" s="54"/>
      <c r="D319" s="21"/>
      <c r="E319" s="22"/>
      <c r="F319" s="23"/>
      <c r="G319" s="47"/>
      <c r="H319" s="21"/>
      <c r="I319" s="48"/>
    </row>
    <row r="320" spans="2:13" ht="14" thickBot="1" x14ac:dyDescent="0.2">
      <c r="B320" s="1"/>
      <c r="C320" s="1"/>
      <c r="D320" s="1"/>
      <c r="E320" s="1"/>
      <c r="F320" s="1"/>
      <c r="G320" s="1"/>
      <c r="H320" s="37" t="s">
        <v>26</v>
      </c>
      <c r="I320" s="49">
        <f>SUM(H318:H319)</f>
        <v>0</v>
      </c>
    </row>
    <row r="321" spans="2:9" ht="14" thickBot="1" x14ac:dyDescent="0.2">
      <c r="B321" s="28" t="s">
        <v>37</v>
      </c>
      <c r="C321" s="28"/>
      <c r="D321" s="1"/>
      <c r="E321" s="1"/>
      <c r="F321" s="1"/>
      <c r="G321" s="1"/>
      <c r="H321" s="1"/>
      <c r="I321" s="1"/>
    </row>
    <row r="322" spans="2:9" x14ac:dyDescent="0.15">
      <c r="B322" s="51" t="s">
        <v>38</v>
      </c>
      <c r="C322" s="86"/>
      <c r="D322" s="31" t="s">
        <v>39</v>
      </c>
      <c r="E322" s="205" t="s">
        <v>40</v>
      </c>
      <c r="F322" s="19" t="s">
        <v>41</v>
      </c>
      <c r="G322" s="31" t="s">
        <v>24</v>
      </c>
      <c r="H322" s="204" t="s">
        <v>25</v>
      </c>
      <c r="I322" s="43"/>
    </row>
    <row r="323" spans="2:9" x14ac:dyDescent="0.15">
      <c r="B323" s="4" t="s">
        <v>42</v>
      </c>
      <c r="C323" s="24"/>
      <c r="D323" s="32">
        <f>'MANO DE OBRA'!E15</f>
        <v>95333</v>
      </c>
      <c r="E323" s="166">
        <v>1.75</v>
      </c>
      <c r="F323" s="162">
        <f>+E323*D323</f>
        <v>166832.75</v>
      </c>
      <c r="G323" s="20">
        <v>22</v>
      </c>
      <c r="H323" s="167">
        <f>+F323/G323</f>
        <v>7583.306818181818</v>
      </c>
      <c r="I323" s="44"/>
    </row>
    <row r="324" spans="2:9" x14ac:dyDescent="0.15">
      <c r="B324" s="4" t="s">
        <v>94</v>
      </c>
      <c r="C324" s="24"/>
      <c r="D324" s="32">
        <f>'MANO DE OBRA'!E14*6</f>
        <v>312000</v>
      </c>
      <c r="E324" s="166">
        <v>1.75</v>
      </c>
      <c r="F324" s="162">
        <f>+E324*D324</f>
        <v>546000</v>
      </c>
      <c r="G324" s="20">
        <v>22</v>
      </c>
      <c r="H324" s="167">
        <f>+F324/G324</f>
        <v>24818.18181818182</v>
      </c>
      <c r="I324" s="44"/>
    </row>
    <row r="325" spans="2:9" ht="14" thickBot="1" x14ac:dyDescent="0.2">
      <c r="B325" s="33"/>
      <c r="C325" s="34"/>
      <c r="D325" s="22"/>
      <c r="E325" s="21"/>
      <c r="F325" s="22"/>
      <c r="G325" s="23"/>
      <c r="H325" s="47"/>
      <c r="I325" s="48"/>
    </row>
    <row r="326" spans="2:9" ht="14" thickBot="1" x14ac:dyDescent="0.2">
      <c r="B326" s="1"/>
      <c r="C326" s="1"/>
      <c r="D326" s="1"/>
      <c r="E326" s="1"/>
      <c r="F326" s="1"/>
      <c r="G326" s="1"/>
      <c r="H326" s="37" t="s">
        <v>26</v>
      </c>
      <c r="I326" s="175">
        <f>SUM(H323:H325)</f>
        <v>32401.48863636364</v>
      </c>
    </row>
    <row r="327" spans="2:9" ht="14" thickBot="1" x14ac:dyDescent="0.2">
      <c r="B327" s="1"/>
      <c r="C327" s="1"/>
      <c r="D327" s="1"/>
      <c r="E327" s="1"/>
      <c r="F327" s="1"/>
      <c r="G327" s="1"/>
      <c r="H327" s="61"/>
      <c r="I327" s="1"/>
    </row>
    <row r="328" spans="2:9" ht="15" thickBot="1" x14ac:dyDescent="0.2">
      <c r="B328" s="1"/>
      <c r="C328" s="1"/>
      <c r="D328" s="1"/>
      <c r="E328" s="1"/>
      <c r="F328" s="35" t="s">
        <v>43</v>
      </c>
      <c r="G328" s="16"/>
      <c r="H328" s="16"/>
      <c r="I328" s="222">
        <f>ROUND((I310+I315+I320+I326),0)</f>
        <v>34022</v>
      </c>
    </row>
    <row r="329" spans="2:9" x14ac:dyDescent="0.15">
      <c r="B329" s="12"/>
      <c r="C329" s="12"/>
      <c r="D329" s="1"/>
      <c r="E329" s="1"/>
      <c r="F329" s="1"/>
      <c r="G329" s="1"/>
      <c r="H329" s="1"/>
      <c r="I329" s="1"/>
    </row>
    <row r="330" spans="2:9" x14ac:dyDescent="0.15">
      <c r="B330" s="16"/>
      <c r="C330" s="16"/>
      <c r="D330" s="16"/>
      <c r="E330" s="16"/>
      <c r="F330" s="16"/>
      <c r="G330" s="61"/>
      <c r="H330" s="61"/>
      <c r="I330" s="1"/>
    </row>
    <row r="331" spans="2:9" x14ac:dyDescent="0.15">
      <c r="B331" s="1"/>
      <c r="C331" s="1"/>
      <c r="D331" s="1"/>
      <c r="E331" s="1"/>
      <c r="F331" s="1"/>
      <c r="G331" s="159"/>
      <c r="H331" s="170"/>
      <c r="I331" s="170"/>
    </row>
    <row r="332" spans="2:9" x14ac:dyDescent="0.15">
      <c r="B332" s="1"/>
      <c r="C332" s="1"/>
      <c r="D332" s="1"/>
      <c r="E332" s="1"/>
      <c r="F332" s="1"/>
      <c r="G332" s="159"/>
      <c r="H332" s="170"/>
      <c r="I332" s="170"/>
    </row>
    <row r="333" spans="2:9" x14ac:dyDescent="0.15">
      <c r="B333" s="1"/>
      <c r="C333" s="1"/>
      <c r="D333" s="1"/>
      <c r="E333" s="1"/>
      <c r="F333" s="1"/>
      <c r="G333" s="159"/>
      <c r="H333" s="170"/>
      <c r="I333" s="170"/>
    </row>
    <row r="334" spans="2:9" x14ac:dyDescent="0.15">
      <c r="B334" s="1"/>
      <c r="C334" s="1"/>
      <c r="D334" s="1"/>
      <c r="E334" s="1"/>
      <c r="F334" s="1"/>
      <c r="G334" s="159"/>
      <c r="H334" s="170"/>
      <c r="I334" s="170"/>
    </row>
    <row r="335" spans="2:9" x14ac:dyDescent="0.15">
      <c r="B335" s="1"/>
      <c r="C335" s="1"/>
      <c r="D335" s="1"/>
      <c r="E335" s="1"/>
      <c r="F335" s="1"/>
      <c r="G335" s="159"/>
      <c r="H335" s="170"/>
      <c r="I335" s="170"/>
    </row>
    <row r="336" spans="2:9" x14ac:dyDescent="0.15">
      <c r="B336" s="1"/>
      <c r="C336" s="1"/>
      <c r="D336" s="1"/>
      <c r="E336" s="1"/>
      <c r="F336" s="1"/>
      <c r="G336" s="159"/>
      <c r="H336" s="170"/>
      <c r="I336" s="170"/>
    </row>
    <row r="337" spans="2:10" x14ac:dyDescent="0.15">
      <c r="B337" s="1"/>
      <c r="C337" s="1"/>
      <c r="D337" s="1"/>
      <c r="E337" s="1"/>
      <c r="F337" s="1"/>
      <c r="G337" s="159"/>
      <c r="H337" s="170"/>
      <c r="I337" s="170"/>
    </row>
    <row r="338" spans="2:10" x14ac:dyDescent="0.15">
      <c r="B338" s="1"/>
      <c r="C338" s="1"/>
      <c r="D338" s="1"/>
      <c r="E338" s="1"/>
      <c r="F338" s="1"/>
      <c r="G338" s="1"/>
      <c r="H338" s="37"/>
      <c r="I338" s="170"/>
    </row>
    <row r="339" spans="2:10" ht="14" x14ac:dyDescent="0.15">
      <c r="B339" s="101"/>
      <c r="C339" s="1"/>
      <c r="D339" s="1"/>
      <c r="E339" s="1"/>
      <c r="F339" s="1"/>
      <c r="G339" s="1"/>
      <c r="H339" s="1"/>
      <c r="I339" s="1"/>
    </row>
    <row r="340" spans="2:10" ht="14" x14ac:dyDescent="0.15">
      <c r="B340" s="83"/>
      <c r="D340" s="1"/>
      <c r="E340" s="15"/>
      <c r="F340" s="16"/>
      <c r="G340" s="16"/>
      <c r="H340" s="16"/>
      <c r="I340" s="169"/>
    </row>
    <row r="341" spans="2:10" ht="14" x14ac:dyDescent="0.15">
      <c r="B341" s="101"/>
      <c r="C341" s="83"/>
      <c r="D341" s="84"/>
      <c r="E341" s="83"/>
      <c r="F341" s="83"/>
      <c r="G341" s="101"/>
      <c r="H341" s="83"/>
      <c r="I341" s="85"/>
      <c r="J341" s="85"/>
    </row>
    <row r="342" spans="2:10" ht="14" x14ac:dyDescent="0.15">
      <c r="B342" s="83"/>
      <c r="C342" s="83"/>
      <c r="D342" s="84"/>
      <c r="E342" s="83"/>
      <c r="F342" s="83"/>
      <c r="G342" s="118"/>
      <c r="H342" s="83"/>
      <c r="I342" s="85"/>
      <c r="J342" s="85"/>
    </row>
    <row r="343" spans="2:10" x14ac:dyDescent="0.15">
      <c r="D343" s="1"/>
      <c r="E343" s="15"/>
      <c r="F343" s="16"/>
      <c r="G343" s="16"/>
      <c r="H343" s="16"/>
      <c r="I343" s="57"/>
    </row>
    <row r="344" spans="2:10" x14ac:dyDescent="0.15">
      <c r="D344" s="1"/>
      <c r="E344" s="15"/>
      <c r="F344" s="16"/>
      <c r="G344" s="16"/>
      <c r="H344" s="16"/>
      <c r="I344" s="57"/>
    </row>
    <row r="345" spans="2:10" x14ac:dyDescent="0.15">
      <c r="D345" s="1"/>
      <c r="E345" s="15"/>
      <c r="F345" s="16"/>
      <c r="G345" s="16"/>
      <c r="H345" s="16"/>
      <c r="I345" s="57"/>
    </row>
    <row r="346" spans="2:10" x14ac:dyDescent="0.15">
      <c r="D346" s="1"/>
      <c r="E346" s="15"/>
      <c r="F346" s="16"/>
      <c r="G346" s="16"/>
      <c r="H346" s="16"/>
      <c r="I346" s="57"/>
    </row>
    <row r="347" spans="2:10" x14ac:dyDescent="0.15">
      <c r="D347" s="1"/>
      <c r="E347" s="15"/>
      <c r="F347" s="16"/>
      <c r="G347" s="16"/>
      <c r="H347" s="16"/>
      <c r="I347" s="57"/>
    </row>
    <row r="348" spans="2:10" x14ac:dyDescent="0.15">
      <c r="D348" s="1"/>
      <c r="E348" s="15"/>
      <c r="F348" s="16"/>
      <c r="G348" s="16"/>
      <c r="H348" s="16"/>
      <c r="I348" s="57"/>
    </row>
    <row r="349" spans="2:10" x14ac:dyDescent="0.15">
      <c r="D349" s="1"/>
      <c r="E349" s="15"/>
      <c r="F349" s="16"/>
      <c r="G349" s="16"/>
      <c r="H349" s="16"/>
      <c r="I349" s="57"/>
    </row>
    <row r="350" spans="2:10" x14ac:dyDescent="0.15">
      <c r="D350" s="1"/>
      <c r="E350" s="15"/>
      <c r="F350" s="16"/>
      <c r="G350" s="16"/>
      <c r="H350" s="16"/>
      <c r="I350" s="57"/>
    </row>
    <row r="351" spans="2:10" x14ac:dyDescent="0.15">
      <c r="D351" s="1"/>
      <c r="E351" s="15"/>
      <c r="F351" s="16"/>
      <c r="G351" s="16"/>
      <c r="H351" s="16"/>
      <c r="I351" s="57"/>
    </row>
    <row r="352" spans="2:10" ht="14" x14ac:dyDescent="0.15">
      <c r="B352" s="101"/>
      <c r="C352" s="83"/>
      <c r="D352" s="84"/>
      <c r="E352" s="83"/>
      <c r="F352" s="83"/>
      <c r="G352" s="102"/>
      <c r="H352" s="83"/>
      <c r="I352" s="85"/>
      <c r="J352" s="85"/>
    </row>
    <row r="353" spans="2:10" ht="14" x14ac:dyDescent="0.15">
      <c r="B353" s="83"/>
      <c r="C353" s="83"/>
      <c r="D353" s="84"/>
      <c r="E353" s="83"/>
      <c r="F353" s="83"/>
      <c r="G353" s="103"/>
      <c r="H353" s="83"/>
      <c r="I353" s="85"/>
      <c r="J353" s="85"/>
    </row>
    <row r="354" spans="2:10" ht="14" thickBot="1" x14ac:dyDescent="0.2">
      <c r="B354" s="38"/>
      <c r="C354" s="38"/>
      <c r="D354" s="38"/>
      <c r="E354" s="39"/>
      <c r="F354" s="18"/>
      <c r="G354" s="18"/>
      <c r="H354" s="18"/>
    </row>
    <row r="355" spans="2:10" s="90" customFormat="1" ht="21.75" customHeight="1" x14ac:dyDescent="0.2">
      <c r="B355" s="607" t="s">
        <v>1065</v>
      </c>
      <c r="C355" s="608"/>
      <c r="D355" s="608"/>
      <c r="E355" s="608"/>
      <c r="F355" s="609"/>
      <c r="G355" s="89"/>
      <c r="H355" s="600" t="s">
        <v>20</v>
      </c>
      <c r="I355" s="601"/>
    </row>
    <row r="356" spans="2:10" s="90" customFormat="1" ht="21" customHeight="1" x14ac:dyDescent="0.2">
      <c r="B356" s="604" t="s">
        <v>446</v>
      </c>
      <c r="C356" s="605"/>
      <c r="D356" s="605"/>
      <c r="E356" s="605"/>
      <c r="F356" s="606"/>
      <c r="G356" s="91"/>
      <c r="H356" s="602"/>
      <c r="I356" s="603"/>
    </row>
    <row r="357" spans="2:10" s="90" customFormat="1" ht="15" customHeight="1" x14ac:dyDescent="0.2">
      <c r="B357" s="610" t="s">
        <v>447</v>
      </c>
      <c r="C357" s="611"/>
      <c r="D357" s="611"/>
      <c r="E357" s="611"/>
      <c r="F357" s="612"/>
      <c r="G357" s="91"/>
      <c r="H357" s="727" t="s">
        <v>445</v>
      </c>
      <c r="I357" s="730"/>
    </row>
    <row r="358" spans="2:10" s="90" customFormat="1" ht="15.75" customHeight="1" thickBot="1" x14ac:dyDescent="0.25">
      <c r="B358" s="613"/>
      <c r="C358" s="614"/>
      <c r="D358" s="614"/>
      <c r="E358" s="614"/>
      <c r="F358" s="615"/>
      <c r="G358" s="89"/>
      <c r="H358" s="727"/>
      <c r="I358" s="730"/>
    </row>
    <row r="359" spans="2:10" ht="15.75" customHeight="1" thickBot="1" x14ac:dyDescent="0.2">
      <c r="B359" s="15"/>
      <c r="C359" s="16"/>
      <c r="D359" s="1"/>
      <c r="E359" s="1"/>
      <c r="F359" s="1"/>
      <c r="G359" s="1"/>
      <c r="H359" s="727"/>
      <c r="I359" s="730"/>
    </row>
    <row r="360" spans="2:10" ht="15.75" customHeight="1" x14ac:dyDescent="0.15">
      <c r="B360" s="650" t="s">
        <v>890</v>
      </c>
      <c r="C360" s="651"/>
      <c r="D360" s="651"/>
      <c r="E360" s="651"/>
      <c r="F360" s="652"/>
      <c r="G360" s="1"/>
      <c r="H360" s="727"/>
      <c r="I360" s="730"/>
    </row>
    <row r="361" spans="2:10" ht="15" customHeight="1" x14ac:dyDescent="0.15">
      <c r="B361" s="653"/>
      <c r="C361" s="654"/>
      <c r="D361" s="654"/>
      <c r="E361" s="654"/>
      <c r="F361" s="655"/>
      <c r="H361" s="727"/>
      <c r="I361" s="730"/>
    </row>
    <row r="362" spans="2:10" ht="15" customHeight="1" x14ac:dyDescent="0.15">
      <c r="B362" s="653"/>
      <c r="C362" s="654"/>
      <c r="D362" s="654"/>
      <c r="E362" s="654"/>
      <c r="F362" s="655"/>
      <c r="G362" s="11"/>
      <c r="H362" s="727"/>
      <c r="I362" s="730"/>
    </row>
    <row r="363" spans="2:10" ht="13.5" customHeight="1" thickBot="1" x14ac:dyDescent="0.2">
      <c r="B363" s="656"/>
      <c r="C363" s="657"/>
      <c r="D363" s="657"/>
      <c r="E363" s="657"/>
      <c r="F363" s="658"/>
      <c r="H363" s="64" t="s">
        <v>45</v>
      </c>
      <c r="I363" s="17" t="s">
        <v>6</v>
      </c>
    </row>
    <row r="364" spans="2:10" x14ac:dyDescent="0.15">
      <c r="B364" s="18"/>
      <c r="C364" s="18"/>
      <c r="D364" s="1"/>
      <c r="E364" s="18"/>
      <c r="F364" s="18"/>
      <c r="G364" s="18"/>
      <c r="H364" s="18"/>
      <c r="I364" s="1"/>
    </row>
    <row r="365" spans="2:10" ht="14" thickBot="1" x14ac:dyDescent="0.2">
      <c r="B365" s="12" t="s">
        <v>21</v>
      </c>
      <c r="C365" s="12"/>
      <c r="D365" s="1"/>
      <c r="E365" s="1"/>
      <c r="F365" s="1"/>
      <c r="G365" s="1"/>
      <c r="H365" s="1"/>
      <c r="I365" s="1"/>
    </row>
    <row r="366" spans="2:10" x14ac:dyDescent="0.15">
      <c r="B366" s="628" t="s">
        <v>22</v>
      </c>
      <c r="C366" s="629"/>
      <c r="D366" s="630"/>
      <c r="E366" s="205" t="s">
        <v>23</v>
      </c>
      <c r="F366" s="19" t="s">
        <v>108</v>
      </c>
      <c r="G366" s="205" t="s">
        <v>24</v>
      </c>
      <c r="H366" s="204" t="s">
        <v>25</v>
      </c>
      <c r="I366" s="43"/>
    </row>
    <row r="367" spans="2:10" ht="15" customHeight="1" x14ac:dyDescent="0.15">
      <c r="B367" s="659" t="s">
        <v>312</v>
      </c>
      <c r="C367" s="660"/>
      <c r="D367" s="661"/>
      <c r="E367" s="3"/>
      <c r="F367" s="164">
        <f>'HERRAMIENTAS Y EQUIPOS'!C20</f>
        <v>100000</v>
      </c>
      <c r="G367" s="20">
        <v>35</v>
      </c>
      <c r="H367" s="163">
        <f>F367/G367</f>
        <v>2857.1428571428573</v>
      </c>
      <c r="I367" s="44"/>
    </row>
    <row r="368" spans="2:10" x14ac:dyDescent="0.15">
      <c r="B368" s="631" t="s">
        <v>56</v>
      </c>
      <c r="C368" s="632"/>
      <c r="D368" s="633"/>
      <c r="E368" s="5"/>
      <c r="F368" s="162"/>
      <c r="G368" s="20"/>
      <c r="H368" s="163">
        <f>I388*0.05</f>
        <v>1018.3325000000001</v>
      </c>
      <c r="I368" s="44"/>
    </row>
    <row r="369" spans="2:11" ht="14" thickBot="1" x14ac:dyDescent="0.2">
      <c r="B369" s="634"/>
      <c r="C369" s="635"/>
      <c r="D369" s="636"/>
      <c r="E369" s="21"/>
      <c r="F369" s="22"/>
      <c r="G369" s="23"/>
      <c r="H369" s="47"/>
      <c r="I369" s="48"/>
    </row>
    <row r="370" spans="2:11" ht="14" thickBot="1" x14ac:dyDescent="0.2">
      <c r="B370" s="1"/>
      <c r="C370" s="1"/>
      <c r="D370" s="1"/>
      <c r="E370" s="1"/>
      <c r="F370" s="1"/>
      <c r="G370" s="1"/>
      <c r="H370" s="37" t="s">
        <v>26</v>
      </c>
      <c r="I370" s="161">
        <f>SUM(H367:H369)</f>
        <v>3875.4753571428573</v>
      </c>
    </row>
    <row r="371" spans="2:11" ht="14" thickBot="1" x14ac:dyDescent="0.2">
      <c r="B371" s="12" t="s">
        <v>27</v>
      </c>
      <c r="C371" s="12"/>
      <c r="D371" s="1"/>
      <c r="E371" s="1"/>
      <c r="F371" s="1"/>
      <c r="G371" s="1"/>
      <c r="H371" s="1"/>
      <c r="I371" s="1"/>
    </row>
    <row r="372" spans="2:11" x14ac:dyDescent="0.15">
      <c r="B372" s="628" t="s">
        <v>22</v>
      </c>
      <c r="C372" s="629"/>
      <c r="D372" s="630"/>
      <c r="E372" s="205" t="s">
        <v>28</v>
      </c>
      <c r="F372" s="205" t="s">
        <v>29</v>
      </c>
      <c r="G372" s="205" t="s">
        <v>30</v>
      </c>
      <c r="H372" s="204" t="s">
        <v>25</v>
      </c>
      <c r="I372" s="43"/>
    </row>
    <row r="373" spans="2:11" x14ac:dyDescent="0.15">
      <c r="B373" s="4" t="s">
        <v>60</v>
      </c>
      <c r="C373" s="24"/>
      <c r="D373" s="6"/>
      <c r="E373" s="3" t="s">
        <v>134</v>
      </c>
      <c r="F373" s="178">
        <v>50</v>
      </c>
      <c r="G373" s="20">
        <v>130</v>
      </c>
      <c r="H373" s="179">
        <f>F373*G373</f>
        <v>6500</v>
      </c>
      <c r="I373" s="44"/>
    </row>
    <row r="374" spans="2:11" x14ac:dyDescent="0.15">
      <c r="B374" s="4"/>
      <c r="C374" s="24"/>
      <c r="D374" s="6"/>
      <c r="E374" s="3"/>
      <c r="F374" s="178"/>
      <c r="G374" s="20"/>
      <c r="H374" s="179"/>
      <c r="I374" s="44"/>
    </row>
    <row r="375" spans="2:11" x14ac:dyDescent="0.15">
      <c r="B375" s="4"/>
      <c r="C375" s="24"/>
      <c r="D375" s="6"/>
      <c r="E375" s="5"/>
      <c r="F375" s="46"/>
      <c r="G375" s="180"/>
      <c r="H375" s="188"/>
      <c r="I375" s="44"/>
    </row>
    <row r="376" spans="2:11" ht="14" thickBot="1" x14ac:dyDescent="0.2">
      <c r="B376" s="25"/>
      <c r="C376" s="26"/>
      <c r="D376" s="27"/>
      <c r="E376" s="21"/>
      <c r="F376" s="22"/>
      <c r="G376" s="23"/>
      <c r="H376" s="47"/>
      <c r="I376" s="48"/>
      <c r="K376" s="105"/>
    </row>
    <row r="377" spans="2:11" ht="14" thickBot="1" x14ac:dyDescent="0.2">
      <c r="B377" s="1"/>
      <c r="C377" s="1"/>
      <c r="D377" s="1"/>
      <c r="E377" s="1"/>
      <c r="F377" s="1"/>
      <c r="G377" s="1"/>
      <c r="H377" s="37" t="s">
        <v>26</v>
      </c>
      <c r="I377" s="161">
        <f>SUM(H373:H376)</f>
        <v>6500</v>
      </c>
    </row>
    <row r="378" spans="2:11" ht="14" thickBot="1" x14ac:dyDescent="0.2">
      <c r="B378" s="28" t="s">
        <v>31</v>
      </c>
      <c r="C378" s="28"/>
      <c r="D378" s="26"/>
      <c r="E378" s="1"/>
      <c r="F378" s="1"/>
      <c r="G378" s="1"/>
      <c r="H378" s="1"/>
      <c r="I378" s="1"/>
    </row>
    <row r="379" spans="2:11" x14ac:dyDescent="0.15">
      <c r="B379" s="111" t="s">
        <v>32</v>
      </c>
      <c r="C379" s="112"/>
      <c r="D379" s="96" t="s">
        <v>33</v>
      </c>
      <c r="E379" s="205" t="s">
        <v>34</v>
      </c>
      <c r="F379" s="205" t="s">
        <v>35</v>
      </c>
      <c r="G379" s="205" t="s">
        <v>36</v>
      </c>
      <c r="H379" s="59" t="s">
        <v>25</v>
      </c>
      <c r="I379" s="43"/>
    </row>
    <row r="380" spans="2:11" x14ac:dyDescent="0.15">
      <c r="B380" s="4"/>
      <c r="C380" s="6"/>
      <c r="D380" s="53"/>
      <c r="E380" s="2"/>
      <c r="F380" s="2"/>
      <c r="G380" s="160"/>
      <c r="H380" s="20"/>
      <c r="I380" s="44"/>
      <c r="K380" s="105"/>
    </row>
    <row r="381" spans="2:11" ht="14" thickBot="1" x14ac:dyDescent="0.2">
      <c r="B381" s="25"/>
      <c r="C381" s="27"/>
      <c r="D381" s="21"/>
      <c r="E381" s="22"/>
      <c r="F381" s="23"/>
      <c r="G381" s="47"/>
      <c r="H381" s="21"/>
      <c r="I381" s="48"/>
    </row>
    <row r="382" spans="2:11" ht="14" thickBot="1" x14ac:dyDescent="0.2">
      <c r="B382" s="1"/>
      <c r="C382" s="1"/>
      <c r="D382" s="1"/>
      <c r="E382" s="1"/>
      <c r="F382" s="1"/>
      <c r="G382" s="1"/>
      <c r="H382" s="37" t="s">
        <v>26</v>
      </c>
      <c r="I382" s="161">
        <f>SUM(H380:H380)</f>
        <v>0</v>
      </c>
    </row>
    <row r="383" spans="2:11" ht="14" thickBot="1" x14ac:dyDescent="0.2">
      <c r="B383" s="28" t="s">
        <v>37</v>
      </c>
      <c r="C383" s="28"/>
      <c r="D383" s="1"/>
      <c r="E383" s="1"/>
      <c r="F383" s="1"/>
      <c r="G383" s="1"/>
      <c r="H383" s="1"/>
      <c r="I383" s="1"/>
    </row>
    <row r="384" spans="2:11" x14ac:dyDescent="0.15">
      <c r="B384" s="51" t="s">
        <v>38</v>
      </c>
      <c r="C384" s="86"/>
      <c r="D384" s="31" t="s">
        <v>39</v>
      </c>
      <c r="E384" s="205" t="s">
        <v>40</v>
      </c>
      <c r="F384" s="19" t="s">
        <v>41</v>
      </c>
      <c r="G384" s="31" t="s">
        <v>24</v>
      </c>
      <c r="H384" s="204" t="s">
        <v>25</v>
      </c>
      <c r="I384" s="43"/>
    </row>
    <row r="385" spans="2:9" x14ac:dyDescent="0.15">
      <c r="B385" s="4" t="s">
        <v>42</v>
      </c>
      <c r="C385" s="24"/>
      <c r="D385" s="32">
        <f>'MANO DE OBRA'!E15</f>
        <v>95333</v>
      </c>
      <c r="E385" s="166">
        <v>1.75</v>
      </c>
      <c r="F385" s="162">
        <f>+E385*D385</f>
        <v>166832.75</v>
      </c>
      <c r="G385" s="20">
        <f>G367</f>
        <v>35</v>
      </c>
      <c r="H385" s="167">
        <f>+F385/G385</f>
        <v>4766.6499999999996</v>
      </c>
      <c r="I385" s="44"/>
    </row>
    <row r="386" spans="2:9" x14ac:dyDescent="0.15">
      <c r="B386" s="4" t="s">
        <v>94</v>
      </c>
      <c r="C386" s="24"/>
      <c r="D386" s="32">
        <f>'MANO DE OBRA'!E14*6</f>
        <v>312000</v>
      </c>
      <c r="E386" s="166">
        <v>1.75</v>
      </c>
      <c r="F386" s="162">
        <f>+E386*D386</f>
        <v>546000</v>
      </c>
      <c r="G386" s="20">
        <f>G367</f>
        <v>35</v>
      </c>
      <c r="H386" s="167">
        <f>+F386/G386</f>
        <v>15600</v>
      </c>
      <c r="I386" s="44"/>
    </row>
    <row r="387" spans="2:9" ht="14" thickBot="1" x14ac:dyDescent="0.2">
      <c r="B387" s="33"/>
      <c r="C387" s="34"/>
      <c r="D387" s="22"/>
      <c r="E387" s="21"/>
      <c r="F387" s="22"/>
      <c r="G387" s="23"/>
      <c r="H387" s="47"/>
      <c r="I387" s="48"/>
    </row>
    <row r="388" spans="2:9" ht="14" thickBot="1" x14ac:dyDescent="0.2">
      <c r="B388" s="1"/>
      <c r="C388" s="1"/>
      <c r="D388" s="1"/>
      <c r="E388" s="1"/>
      <c r="F388" s="1"/>
      <c r="G388" s="1"/>
      <c r="H388" s="37" t="s">
        <v>26</v>
      </c>
      <c r="I388" s="175">
        <f>SUM(H385:H387)</f>
        <v>20366.650000000001</v>
      </c>
    </row>
    <row r="389" spans="2:9" ht="14" thickBot="1" x14ac:dyDescent="0.2">
      <c r="B389" s="1"/>
      <c r="C389" s="1"/>
      <c r="D389" s="1"/>
      <c r="E389" s="1"/>
      <c r="F389" s="1"/>
      <c r="G389" s="1"/>
      <c r="H389" s="61"/>
      <c r="I389" s="1"/>
    </row>
    <row r="390" spans="2:9" ht="15" thickBot="1" x14ac:dyDescent="0.2">
      <c r="B390" s="1"/>
      <c r="C390" s="1"/>
      <c r="D390" s="1"/>
      <c r="E390" s="1"/>
      <c r="F390" s="35" t="s">
        <v>43</v>
      </c>
      <c r="G390" s="16"/>
      <c r="H390" s="16"/>
      <c r="I390" s="222">
        <f>ROUND((I370+I377+I382+I388),0)</f>
        <v>30742</v>
      </c>
    </row>
    <row r="391" spans="2:9" x14ac:dyDescent="0.15">
      <c r="B391" s="16"/>
      <c r="C391" s="16"/>
      <c r="D391" s="16"/>
      <c r="E391" s="16"/>
      <c r="F391" s="16"/>
      <c r="G391" s="61"/>
      <c r="H391" s="61"/>
      <c r="I391" s="1"/>
    </row>
    <row r="392" spans="2:9" x14ac:dyDescent="0.15">
      <c r="B392" s="1"/>
      <c r="C392" s="1"/>
      <c r="D392" s="1"/>
      <c r="E392" s="1"/>
      <c r="F392" s="1"/>
      <c r="G392" s="159"/>
      <c r="H392" s="170"/>
      <c r="I392" s="170"/>
    </row>
    <row r="393" spans="2:9" x14ac:dyDescent="0.15">
      <c r="B393" s="1"/>
      <c r="C393" s="1"/>
      <c r="D393" s="1"/>
      <c r="E393" s="1"/>
      <c r="F393" s="1"/>
      <c r="G393" s="159"/>
      <c r="H393" s="170"/>
      <c r="I393" s="170"/>
    </row>
    <row r="394" spans="2:9" x14ac:dyDescent="0.15">
      <c r="B394" s="1"/>
      <c r="C394" s="1"/>
      <c r="D394" s="1"/>
      <c r="E394" s="1"/>
      <c r="F394" s="1"/>
      <c r="G394" s="159"/>
      <c r="H394" s="170"/>
      <c r="I394" s="170"/>
    </row>
    <row r="395" spans="2:9" x14ac:dyDescent="0.15">
      <c r="B395" s="1"/>
      <c r="C395" s="1"/>
      <c r="D395" s="1"/>
      <c r="E395" s="1"/>
      <c r="F395" s="1"/>
      <c r="G395" s="1"/>
      <c r="H395" s="37"/>
      <c r="I395" s="170"/>
    </row>
    <row r="396" spans="2:9" ht="14" x14ac:dyDescent="0.15">
      <c r="B396" s="101"/>
      <c r="C396" s="1"/>
      <c r="D396" s="1"/>
      <c r="E396" s="1"/>
      <c r="F396" s="1"/>
      <c r="G396" s="1"/>
      <c r="H396" s="1"/>
      <c r="I396" s="1"/>
    </row>
    <row r="397" spans="2:9" ht="14" x14ac:dyDescent="0.15">
      <c r="B397" s="101"/>
      <c r="C397" s="1"/>
      <c r="D397" s="1"/>
      <c r="E397" s="1"/>
      <c r="F397" s="1"/>
      <c r="G397" s="1"/>
      <c r="H397" s="1"/>
      <c r="I397" s="1"/>
    </row>
    <row r="398" spans="2:9" ht="14" x14ac:dyDescent="0.15">
      <c r="B398" s="101"/>
      <c r="C398" s="1"/>
      <c r="D398" s="1"/>
      <c r="E398" s="1"/>
      <c r="F398" s="1"/>
      <c r="G398" s="1"/>
      <c r="H398" s="1"/>
      <c r="I398" s="1"/>
    </row>
    <row r="399" spans="2:9" ht="14" x14ac:dyDescent="0.15">
      <c r="B399" s="101"/>
      <c r="C399" s="1"/>
      <c r="D399" s="1"/>
      <c r="E399" s="1"/>
      <c r="F399" s="1"/>
      <c r="G399" s="1"/>
      <c r="H399" s="1"/>
      <c r="I399" s="1"/>
    </row>
    <row r="400" spans="2:9" ht="14" x14ac:dyDescent="0.15">
      <c r="B400" s="101"/>
      <c r="C400" s="1"/>
      <c r="D400" s="1"/>
      <c r="E400" s="1"/>
      <c r="F400" s="1"/>
      <c r="G400" s="1"/>
      <c r="H400" s="1"/>
      <c r="I400" s="1"/>
    </row>
    <row r="401" spans="2:10" ht="14" x14ac:dyDescent="0.15">
      <c r="B401" s="101"/>
      <c r="C401" s="1"/>
      <c r="D401" s="1"/>
      <c r="E401" s="1"/>
      <c r="F401" s="1"/>
      <c r="G401" s="1"/>
      <c r="H401" s="1"/>
      <c r="I401" s="1"/>
    </row>
    <row r="402" spans="2:10" ht="14" x14ac:dyDescent="0.15">
      <c r="B402" s="83"/>
      <c r="D402" s="1"/>
      <c r="E402" s="15"/>
      <c r="F402" s="16"/>
      <c r="G402" s="16"/>
      <c r="H402" s="16"/>
      <c r="I402" s="169"/>
    </row>
    <row r="403" spans="2:10" ht="14" x14ac:dyDescent="0.15">
      <c r="B403" s="83"/>
      <c r="D403" s="1"/>
      <c r="E403" s="15"/>
      <c r="F403" s="16"/>
      <c r="G403" s="16"/>
      <c r="H403" s="16"/>
      <c r="I403" s="57"/>
    </row>
    <row r="404" spans="2:10" x14ac:dyDescent="0.15">
      <c r="D404" s="1"/>
      <c r="E404" s="15"/>
      <c r="F404" s="16"/>
      <c r="G404" s="16"/>
      <c r="H404" s="16"/>
      <c r="I404" s="57"/>
    </row>
    <row r="405" spans="2:10" x14ac:dyDescent="0.15">
      <c r="D405" s="1"/>
      <c r="E405" s="15"/>
      <c r="F405" s="16"/>
      <c r="G405" s="16"/>
      <c r="H405" s="16"/>
      <c r="I405" s="57"/>
    </row>
    <row r="406" spans="2:10" x14ac:dyDescent="0.15">
      <c r="D406" s="1"/>
      <c r="E406" s="15"/>
      <c r="F406" s="16"/>
      <c r="G406" s="16"/>
      <c r="H406" s="16"/>
      <c r="I406" s="57"/>
    </row>
    <row r="407" spans="2:10" x14ac:dyDescent="0.15">
      <c r="D407" s="1"/>
      <c r="E407" s="15"/>
      <c r="F407" s="16"/>
      <c r="G407" s="16"/>
      <c r="H407" s="16"/>
      <c r="I407" s="57"/>
    </row>
    <row r="408" spans="2:10" x14ac:dyDescent="0.15">
      <c r="D408" s="1"/>
      <c r="E408" s="15"/>
      <c r="F408" s="16"/>
      <c r="G408" s="16"/>
      <c r="H408" s="16"/>
      <c r="I408" s="57"/>
    </row>
    <row r="409" spans="2:10" x14ac:dyDescent="0.15">
      <c r="D409" s="1"/>
      <c r="E409" s="15"/>
      <c r="F409" s="16"/>
      <c r="G409" s="16"/>
      <c r="H409" s="16"/>
      <c r="I409" s="57"/>
    </row>
    <row r="410" spans="2:10" ht="14" x14ac:dyDescent="0.15">
      <c r="B410" s="101"/>
      <c r="C410" s="83"/>
      <c r="D410" s="84"/>
      <c r="E410" s="83"/>
      <c r="F410" s="83"/>
      <c r="G410" s="102"/>
      <c r="H410" s="83"/>
      <c r="I410" s="85"/>
      <c r="J410" s="85"/>
    </row>
    <row r="411" spans="2:10" ht="14" x14ac:dyDescent="0.15">
      <c r="B411" s="83"/>
      <c r="C411" s="83"/>
      <c r="D411" s="84"/>
      <c r="E411" s="83"/>
      <c r="F411" s="83"/>
      <c r="G411" s="103"/>
      <c r="H411" s="83"/>
      <c r="I411" s="85"/>
      <c r="J411" s="85"/>
    </row>
    <row r="412" spans="2:10" ht="14" x14ac:dyDescent="0.15">
      <c r="B412" s="83"/>
      <c r="C412" s="83"/>
      <c r="D412" s="84"/>
      <c r="E412" s="83"/>
      <c r="F412" s="83"/>
      <c r="G412" s="103"/>
      <c r="H412" s="83"/>
      <c r="I412" s="85"/>
      <c r="J412" s="85"/>
    </row>
    <row r="413" spans="2:10" ht="14" thickBot="1" x14ac:dyDescent="0.2">
      <c r="B413" s="12"/>
      <c r="C413" s="40"/>
      <c r="D413" s="40"/>
      <c r="E413" s="40"/>
      <c r="F413" s="41"/>
      <c r="I413" s="42"/>
    </row>
    <row r="414" spans="2:10" s="90" customFormat="1" ht="21.75" customHeight="1" x14ac:dyDescent="0.2">
      <c r="B414" s="607" t="s">
        <v>1065</v>
      </c>
      <c r="C414" s="608"/>
      <c r="D414" s="608"/>
      <c r="E414" s="608"/>
      <c r="F414" s="609"/>
      <c r="G414" s="89"/>
      <c r="H414" s="600" t="s">
        <v>20</v>
      </c>
      <c r="I414" s="601"/>
    </row>
    <row r="415" spans="2:10" s="90" customFormat="1" ht="21" customHeight="1" x14ac:dyDescent="0.2">
      <c r="B415" s="604" t="s">
        <v>446</v>
      </c>
      <c r="C415" s="605"/>
      <c r="D415" s="605"/>
      <c r="E415" s="605"/>
      <c r="F415" s="606"/>
      <c r="G415" s="91"/>
      <c r="H415" s="602"/>
      <c r="I415" s="603"/>
    </row>
    <row r="416" spans="2:10" s="90" customFormat="1" ht="15" customHeight="1" x14ac:dyDescent="0.2">
      <c r="B416" s="610" t="s">
        <v>447</v>
      </c>
      <c r="C416" s="611"/>
      <c r="D416" s="611"/>
      <c r="E416" s="611"/>
      <c r="F416" s="612"/>
      <c r="G416" s="91"/>
      <c r="H416" s="727" t="s">
        <v>916</v>
      </c>
      <c r="I416" s="730"/>
    </row>
    <row r="417" spans="2:9" s="90" customFormat="1" ht="15.75" customHeight="1" thickBot="1" x14ac:dyDescent="0.25">
      <c r="B417" s="613"/>
      <c r="C417" s="614"/>
      <c r="D417" s="614"/>
      <c r="E417" s="614"/>
      <c r="F417" s="615"/>
      <c r="G417" s="89"/>
      <c r="H417" s="727"/>
      <c r="I417" s="730"/>
    </row>
    <row r="418" spans="2:9" ht="15.75" customHeight="1" thickBot="1" x14ac:dyDescent="0.2">
      <c r="B418" s="15"/>
      <c r="C418" s="16"/>
      <c r="D418" s="1"/>
      <c r="E418" s="1"/>
      <c r="F418" s="1"/>
      <c r="G418" s="1"/>
      <c r="H418" s="727"/>
      <c r="I418" s="730"/>
    </row>
    <row r="419" spans="2:9" ht="15.75" customHeight="1" x14ac:dyDescent="0.15">
      <c r="B419" s="650" t="s">
        <v>890</v>
      </c>
      <c r="C419" s="651"/>
      <c r="D419" s="651"/>
      <c r="E419" s="651"/>
      <c r="F419" s="652"/>
      <c r="G419" s="1"/>
      <c r="H419" s="727"/>
      <c r="I419" s="730"/>
    </row>
    <row r="420" spans="2:9" ht="15" customHeight="1" x14ac:dyDescent="0.15">
      <c r="B420" s="653"/>
      <c r="C420" s="654"/>
      <c r="D420" s="654"/>
      <c r="E420" s="654"/>
      <c r="F420" s="655"/>
      <c r="H420" s="727"/>
      <c r="I420" s="730"/>
    </row>
    <row r="421" spans="2:9" ht="15" customHeight="1" x14ac:dyDescent="0.15">
      <c r="B421" s="653"/>
      <c r="C421" s="654"/>
      <c r="D421" s="654"/>
      <c r="E421" s="654"/>
      <c r="F421" s="655"/>
      <c r="G421" s="11"/>
      <c r="H421" s="727"/>
      <c r="I421" s="730"/>
    </row>
    <row r="422" spans="2:9" ht="13.5" customHeight="1" thickBot="1" x14ac:dyDescent="0.2">
      <c r="B422" s="656"/>
      <c r="C422" s="657"/>
      <c r="D422" s="657"/>
      <c r="E422" s="657"/>
      <c r="F422" s="658"/>
      <c r="H422" s="187" t="s">
        <v>45</v>
      </c>
      <c r="I422" s="17" t="s">
        <v>6</v>
      </c>
    </row>
    <row r="423" spans="2:9" x14ac:dyDescent="0.15">
      <c r="B423" s="18"/>
      <c r="C423" s="18"/>
      <c r="D423" s="1"/>
      <c r="E423" s="18"/>
      <c r="F423" s="18"/>
      <c r="G423" s="18"/>
      <c r="H423" s="18"/>
      <c r="I423" s="1"/>
    </row>
    <row r="424" spans="2:9" ht="14" thickBot="1" x14ac:dyDescent="0.2">
      <c r="B424" s="12" t="s">
        <v>21</v>
      </c>
      <c r="C424" s="12"/>
      <c r="D424" s="1"/>
      <c r="E424" s="1"/>
      <c r="F424" s="1"/>
      <c r="G424" s="1"/>
      <c r="H424" s="1"/>
      <c r="I424" s="1"/>
    </row>
    <row r="425" spans="2:9" x14ac:dyDescent="0.15">
      <c r="B425" s="628" t="s">
        <v>22</v>
      </c>
      <c r="C425" s="629"/>
      <c r="D425" s="630"/>
      <c r="E425" s="205" t="s">
        <v>23</v>
      </c>
      <c r="F425" s="19" t="s">
        <v>105</v>
      </c>
      <c r="G425" s="205" t="s">
        <v>24</v>
      </c>
      <c r="H425" s="204" t="s">
        <v>25</v>
      </c>
      <c r="I425" s="43"/>
    </row>
    <row r="426" spans="2:9" ht="15" customHeight="1" x14ac:dyDescent="0.15">
      <c r="B426" s="659" t="s">
        <v>312</v>
      </c>
      <c r="C426" s="660"/>
      <c r="D426" s="661"/>
      <c r="E426" s="3"/>
      <c r="F426" s="164">
        <f>'HERRAMIENTAS Y EQUIPOS'!C20</f>
        <v>100000</v>
      </c>
      <c r="G426" s="20">
        <v>27</v>
      </c>
      <c r="H426" s="163">
        <f>F426/G426</f>
        <v>3703.7037037037039</v>
      </c>
      <c r="I426" s="44"/>
    </row>
    <row r="427" spans="2:9" ht="15" customHeight="1" x14ac:dyDescent="0.15">
      <c r="B427" s="659" t="s">
        <v>902</v>
      </c>
      <c r="C427" s="660"/>
      <c r="D427" s="661"/>
      <c r="E427" s="3"/>
      <c r="F427" s="164">
        <f>'HERRAMIENTAS Y EQUIPOS'!C19</f>
        <v>70000</v>
      </c>
      <c r="G427" s="20">
        <f>G426</f>
        <v>27</v>
      </c>
      <c r="H427" s="163">
        <f>F427/G427</f>
        <v>2592.5925925925926</v>
      </c>
      <c r="I427" s="44"/>
    </row>
    <row r="428" spans="2:9" x14ac:dyDescent="0.15">
      <c r="B428" s="631" t="s">
        <v>56</v>
      </c>
      <c r="C428" s="632"/>
      <c r="D428" s="633"/>
      <c r="E428" s="5"/>
      <c r="F428" s="162"/>
      <c r="G428" s="20"/>
      <c r="H428" s="163">
        <f>I449*0.05</f>
        <v>1320.0606481481482</v>
      </c>
      <c r="I428" s="44"/>
    </row>
    <row r="429" spans="2:9" ht="14" thickBot="1" x14ac:dyDescent="0.2">
      <c r="B429" s="634"/>
      <c r="C429" s="635"/>
      <c r="D429" s="636"/>
      <c r="E429" s="21"/>
      <c r="F429" s="22"/>
      <c r="G429" s="23"/>
      <c r="H429" s="47"/>
      <c r="I429" s="48"/>
    </row>
    <row r="430" spans="2:9" ht="14" thickBot="1" x14ac:dyDescent="0.2">
      <c r="B430" s="1"/>
      <c r="C430" s="1"/>
      <c r="D430" s="1"/>
      <c r="E430" s="1"/>
      <c r="F430" s="1"/>
      <c r="G430" s="1"/>
      <c r="H430" s="37" t="s">
        <v>26</v>
      </c>
      <c r="I430" s="161">
        <f>SUM(H426:H429)</f>
        <v>7616.3569444444447</v>
      </c>
    </row>
    <row r="431" spans="2:9" ht="14" thickBot="1" x14ac:dyDescent="0.2">
      <c r="B431" s="12" t="s">
        <v>27</v>
      </c>
      <c r="C431" s="12"/>
      <c r="D431" s="1"/>
      <c r="E431" s="1"/>
      <c r="F431" s="1"/>
      <c r="G431" s="1"/>
      <c r="H431" s="1"/>
      <c r="I431" s="1"/>
    </row>
    <row r="432" spans="2:9" x14ac:dyDescent="0.15">
      <c r="B432" s="628" t="s">
        <v>22</v>
      </c>
      <c r="C432" s="629"/>
      <c r="D432" s="630"/>
      <c r="E432" s="205" t="s">
        <v>28</v>
      </c>
      <c r="F432" s="205" t="s">
        <v>29</v>
      </c>
      <c r="G432" s="205" t="s">
        <v>30</v>
      </c>
      <c r="H432" s="204" t="s">
        <v>25</v>
      </c>
      <c r="I432" s="43"/>
    </row>
    <row r="433" spans="2:11" x14ac:dyDescent="0.15">
      <c r="B433" s="4" t="s">
        <v>114</v>
      </c>
      <c r="C433" s="24"/>
      <c r="D433" s="6"/>
      <c r="E433" s="3" t="s">
        <v>6</v>
      </c>
      <c r="F433" s="178">
        <f>MATERIALES!F11</f>
        <v>43200</v>
      </c>
      <c r="G433" s="20">
        <v>1.3</v>
      </c>
      <c r="H433" s="179">
        <f>F433*G433</f>
        <v>56160</v>
      </c>
      <c r="I433" s="44"/>
    </row>
    <row r="434" spans="2:11" x14ac:dyDescent="0.15">
      <c r="B434" s="4" t="s">
        <v>60</v>
      </c>
      <c r="C434" s="24"/>
      <c r="D434" s="6"/>
      <c r="E434" s="3" t="s">
        <v>134</v>
      </c>
      <c r="F434" s="178">
        <f>MATERIALES!F16</f>
        <v>50</v>
      </c>
      <c r="G434" s="20">
        <v>130</v>
      </c>
      <c r="H434" s="179">
        <f>F434*G434</f>
        <v>6500</v>
      </c>
      <c r="I434" s="44"/>
    </row>
    <row r="435" spans="2:11" x14ac:dyDescent="0.15">
      <c r="B435" s="4"/>
      <c r="C435" s="24"/>
      <c r="D435" s="6"/>
      <c r="E435" s="5"/>
      <c r="F435" s="46"/>
      <c r="G435" s="180"/>
      <c r="H435" s="188"/>
      <c r="I435" s="44"/>
    </row>
    <row r="436" spans="2:11" ht="14" thickBot="1" x14ac:dyDescent="0.2">
      <c r="B436" s="25"/>
      <c r="C436" s="26"/>
      <c r="D436" s="27"/>
      <c r="E436" s="21"/>
      <c r="F436" s="22"/>
      <c r="G436" s="23"/>
      <c r="H436" s="47"/>
      <c r="I436" s="48"/>
      <c r="K436" s="105"/>
    </row>
    <row r="437" spans="2:11" ht="14" thickBot="1" x14ac:dyDescent="0.2">
      <c r="B437" s="1"/>
      <c r="C437" s="1"/>
      <c r="D437" s="1"/>
      <c r="E437" s="1"/>
      <c r="F437" s="1"/>
      <c r="G437" s="1"/>
      <c r="H437" s="37" t="s">
        <v>26</v>
      </c>
      <c r="I437" s="161">
        <f>SUM(H433:H436)</f>
        <v>62660</v>
      </c>
    </row>
    <row r="438" spans="2:11" ht="14" thickBot="1" x14ac:dyDescent="0.2">
      <c r="B438" s="28" t="s">
        <v>31</v>
      </c>
      <c r="C438" s="28"/>
      <c r="D438" s="26"/>
      <c r="E438" s="1"/>
      <c r="F438" s="1"/>
      <c r="G438" s="1"/>
      <c r="H438" s="1"/>
      <c r="I438" s="1"/>
    </row>
    <row r="439" spans="2:11" x14ac:dyDescent="0.15">
      <c r="B439" s="111" t="s">
        <v>32</v>
      </c>
      <c r="C439" s="112"/>
      <c r="D439" s="96" t="s">
        <v>33</v>
      </c>
      <c r="E439" s="205" t="s">
        <v>34</v>
      </c>
      <c r="F439" s="205" t="s">
        <v>35</v>
      </c>
      <c r="G439" s="205" t="s">
        <v>36</v>
      </c>
      <c r="H439" s="59" t="s">
        <v>25</v>
      </c>
      <c r="I439" s="43"/>
    </row>
    <row r="440" spans="2:11" x14ac:dyDescent="0.15">
      <c r="B440" s="4" t="s">
        <v>312</v>
      </c>
      <c r="C440" s="6"/>
      <c r="D440" s="53">
        <v>0.05</v>
      </c>
      <c r="E440" s="2">
        <v>15</v>
      </c>
      <c r="F440" s="2">
        <f>E440*D440</f>
        <v>0.75</v>
      </c>
      <c r="G440" s="160">
        <v>1100</v>
      </c>
      <c r="H440" s="20">
        <f>G440*F440</f>
        <v>825</v>
      </c>
      <c r="I440" s="44"/>
    </row>
    <row r="441" spans="2:11" x14ac:dyDescent="0.15">
      <c r="B441" s="4" t="s">
        <v>100</v>
      </c>
      <c r="C441" s="6"/>
      <c r="D441" s="53">
        <v>1.3</v>
      </c>
      <c r="E441" s="2">
        <v>15</v>
      </c>
      <c r="F441" s="2">
        <f>E441*D441</f>
        <v>19.5</v>
      </c>
      <c r="G441" s="160">
        <v>1100</v>
      </c>
      <c r="H441" s="20">
        <f>G441*F441</f>
        <v>21450</v>
      </c>
      <c r="I441" s="44"/>
      <c r="K441" s="105"/>
    </row>
    <row r="442" spans="2:11" ht="14" thickBot="1" x14ac:dyDescent="0.2">
      <c r="B442" s="25"/>
      <c r="C442" s="27"/>
      <c r="D442" s="21"/>
      <c r="E442" s="22"/>
      <c r="F442" s="23"/>
      <c r="G442" s="47"/>
      <c r="H442" s="21"/>
      <c r="I442" s="48"/>
    </row>
    <row r="443" spans="2:11" ht="14" thickBot="1" x14ac:dyDescent="0.2">
      <c r="B443" s="1"/>
      <c r="C443" s="1"/>
      <c r="D443" s="1"/>
      <c r="E443" s="1"/>
      <c r="F443" s="1"/>
      <c r="G443" s="1"/>
      <c r="H443" s="37" t="s">
        <v>26</v>
      </c>
      <c r="I443" s="161">
        <f>SUM(H440:H441)</f>
        <v>22275</v>
      </c>
    </row>
    <row r="444" spans="2:11" ht="14" thickBot="1" x14ac:dyDescent="0.2">
      <c r="B444" s="28" t="s">
        <v>37</v>
      </c>
      <c r="C444" s="28"/>
      <c r="D444" s="1"/>
      <c r="E444" s="1"/>
      <c r="F444" s="1"/>
      <c r="G444" s="1"/>
      <c r="H444" s="1"/>
      <c r="I444" s="1"/>
    </row>
    <row r="445" spans="2:11" x14ac:dyDescent="0.15">
      <c r="B445" s="51" t="s">
        <v>38</v>
      </c>
      <c r="C445" s="86"/>
      <c r="D445" s="31" t="s">
        <v>39</v>
      </c>
      <c r="E445" s="205" t="s">
        <v>40</v>
      </c>
      <c r="F445" s="19" t="s">
        <v>41</v>
      </c>
      <c r="G445" s="31" t="s">
        <v>24</v>
      </c>
      <c r="H445" s="204" t="s">
        <v>25</v>
      </c>
      <c r="I445" s="43"/>
    </row>
    <row r="446" spans="2:11" x14ac:dyDescent="0.15">
      <c r="B446" s="4" t="s">
        <v>65</v>
      </c>
      <c r="C446" s="24"/>
      <c r="D446" s="32">
        <f>'MANO DE OBRA'!E15</f>
        <v>95333</v>
      </c>
      <c r="E446" s="166">
        <v>1.75</v>
      </c>
      <c r="F446" s="20">
        <f>+E446*D446</f>
        <v>166832.75</v>
      </c>
      <c r="G446" s="20">
        <f>G426</f>
        <v>27</v>
      </c>
      <c r="H446" s="167">
        <f>+F446/G446</f>
        <v>6178.9907407407409</v>
      </c>
      <c r="I446" s="44"/>
    </row>
    <row r="447" spans="2:11" x14ac:dyDescent="0.15">
      <c r="B447" s="4" t="s">
        <v>94</v>
      </c>
      <c r="C447" s="24"/>
      <c r="D447" s="32">
        <f>'MANO DE OBRA'!E14*6</f>
        <v>312000</v>
      </c>
      <c r="E447" s="166">
        <v>1.75</v>
      </c>
      <c r="F447" s="20">
        <f>+E447*D447</f>
        <v>546000</v>
      </c>
      <c r="G447" s="20">
        <f>G426</f>
        <v>27</v>
      </c>
      <c r="H447" s="167">
        <f>+F447/G447</f>
        <v>20222.222222222223</v>
      </c>
      <c r="I447" s="44"/>
    </row>
    <row r="448" spans="2:11" ht="14" thickBot="1" x14ac:dyDescent="0.2">
      <c r="B448" s="33"/>
      <c r="C448" s="34"/>
      <c r="D448" s="22"/>
      <c r="E448" s="21"/>
      <c r="F448" s="22"/>
      <c r="G448" s="23"/>
      <c r="H448" s="47"/>
      <c r="I448" s="48"/>
    </row>
    <row r="449" spans="2:10" ht="14" thickBot="1" x14ac:dyDescent="0.2">
      <c r="B449" s="1"/>
      <c r="C449" s="1"/>
      <c r="D449" s="1"/>
      <c r="E449" s="1"/>
      <c r="F449" s="1"/>
      <c r="G449" s="1"/>
      <c r="H449" s="37" t="s">
        <v>26</v>
      </c>
      <c r="I449" s="175">
        <f>SUM(H446:H447)</f>
        <v>26401.212962962964</v>
      </c>
    </row>
    <row r="450" spans="2:10" ht="14" thickBot="1" x14ac:dyDescent="0.2">
      <c r="B450" s="1"/>
      <c r="C450" s="1"/>
      <c r="D450" s="1"/>
      <c r="E450" s="1"/>
      <c r="F450" s="1"/>
      <c r="G450" s="1"/>
      <c r="H450" s="61"/>
      <c r="I450" s="1"/>
    </row>
    <row r="451" spans="2:10" ht="15" thickBot="1" x14ac:dyDescent="0.2">
      <c r="B451" s="1"/>
      <c r="C451" s="1"/>
      <c r="D451" s="1"/>
      <c r="E451" s="1"/>
      <c r="F451" s="35" t="s">
        <v>43</v>
      </c>
      <c r="G451" s="16"/>
      <c r="H451" s="16"/>
      <c r="I451" s="222">
        <f>ROUND((I430+I437+I443+I449),0)</f>
        <v>118953</v>
      </c>
    </row>
    <row r="452" spans="2:10" x14ac:dyDescent="0.15">
      <c r="B452" s="12"/>
      <c r="C452" s="12"/>
      <c r="D452" s="1"/>
      <c r="E452" s="1"/>
      <c r="F452" s="1"/>
      <c r="G452" s="1"/>
      <c r="H452" s="1"/>
      <c r="I452" s="1"/>
    </row>
    <row r="453" spans="2:10" x14ac:dyDescent="0.15">
      <c r="B453" s="16"/>
      <c r="C453" s="16"/>
      <c r="D453" s="16"/>
      <c r="E453" s="16"/>
      <c r="F453" s="16"/>
      <c r="G453" s="61"/>
      <c r="H453" s="61"/>
      <c r="I453" s="1"/>
    </row>
    <row r="454" spans="2:10" x14ac:dyDescent="0.15">
      <c r="B454" s="1"/>
      <c r="C454" s="1"/>
      <c r="D454" s="1"/>
      <c r="E454" s="1"/>
      <c r="F454" s="1"/>
      <c r="G454" s="159"/>
      <c r="H454" s="170"/>
      <c r="I454" s="170"/>
    </row>
    <row r="455" spans="2:10" x14ac:dyDescent="0.15">
      <c r="B455" s="1"/>
      <c r="C455" s="1"/>
      <c r="D455" s="1"/>
      <c r="E455" s="1"/>
      <c r="F455" s="1"/>
      <c r="G455" s="159"/>
      <c r="H455" s="170"/>
      <c r="I455" s="170"/>
    </row>
    <row r="456" spans="2:10" x14ac:dyDescent="0.15">
      <c r="B456" s="1"/>
      <c r="C456" s="1"/>
      <c r="D456" s="1"/>
      <c r="E456" s="1"/>
      <c r="F456" s="1"/>
      <c r="G456" s="159"/>
      <c r="H456" s="170"/>
      <c r="I456" s="170"/>
    </row>
    <row r="457" spans="2:10" x14ac:dyDescent="0.15">
      <c r="B457" s="1"/>
      <c r="C457" s="1"/>
      <c r="D457" s="1"/>
      <c r="E457" s="1"/>
      <c r="F457" s="1"/>
      <c r="G457" s="159"/>
      <c r="H457" s="170"/>
      <c r="I457" s="170"/>
    </row>
    <row r="458" spans="2:10" x14ac:dyDescent="0.15">
      <c r="B458" s="1"/>
      <c r="C458" s="1"/>
      <c r="D458" s="1"/>
      <c r="E458" s="1"/>
      <c r="F458" s="1"/>
      <c r="G458" s="159"/>
      <c r="H458" s="170"/>
      <c r="I458" s="170"/>
    </row>
    <row r="459" spans="2:10" x14ac:dyDescent="0.15">
      <c r="B459" s="1"/>
      <c r="C459" s="1"/>
      <c r="D459" s="1"/>
      <c r="E459" s="1"/>
      <c r="F459" s="1"/>
      <c r="G459" s="159"/>
      <c r="H459" s="170"/>
      <c r="I459" s="170"/>
    </row>
    <row r="460" spans="2:10" x14ac:dyDescent="0.15">
      <c r="B460" s="1"/>
      <c r="C460" s="1"/>
      <c r="D460" s="1"/>
      <c r="E460" s="1"/>
      <c r="F460" s="1"/>
      <c r="G460" s="159"/>
      <c r="H460" s="170"/>
      <c r="I460" s="170"/>
    </row>
    <row r="461" spans="2:10" x14ac:dyDescent="0.15">
      <c r="B461" s="1"/>
      <c r="C461" s="1"/>
      <c r="D461" s="1"/>
      <c r="E461" s="1"/>
      <c r="F461" s="1"/>
      <c r="G461" s="159"/>
      <c r="H461" s="170"/>
      <c r="I461" s="170"/>
    </row>
    <row r="462" spans="2:10" ht="14" x14ac:dyDescent="0.15">
      <c r="B462" s="83"/>
      <c r="D462" s="1"/>
      <c r="E462" s="15"/>
      <c r="F462" s="16"/>
      <c r="G462" s="16"/>
      <c r="H462" s="16"/>
      <c r="I462" s="169"/>
    </row>
    <row r="463" spans="2:10" ht="14" x14ac:dyDescent="0.15">
      <c r="B463" s="101"/>
      <c r="C463" s="83"/>
      <c r="D463" s="84"/>
      <c r="E463" s="83"/>
      <c r="F463" s="83"/>
      <c r="G463" s="101"/>
      <c r="H463" s="83"/>
      <c r="I463" s="85"/>
      <c r="J463" s="85"/>
    </row>
    <row r="464" spans="2:10" ht="14" x14ac:dyDescent="0.15">
      <c r="B464" s="83"/>
      <c r="C464" s="83"/>
      <c r="D464" s="84"/>
      <c r="E464" s="83"/>
      <c r="F464" s="83"/>
      <c r="G464" s="118"/>
      <c r="H464" s="83"/>
      <c r="I464" s="85"/>
      <c r="J464" s="85"/>
    </row>
    <row r="465" spans="2:10" x14ac:dyDescent="0.15">
      <c r="D465" s="1"/>
      <c r="E465" s="15"/>
      <c r="F465" s="16"/>
      <c r="G465" s="16"/>
      <c r="H465" s="16"/>
      <c r="I465" s="57"/>
    </row>
    <row r="466" spans="2:10" x14ac:dyDescent="0.15">
      <c r="D466" s="1"/>
      <c r="E466" s="15"/>
      <c r="F466" s="16"/>
      <c r="G466" s="16"/>
      <c r="H466" s="16"/>
      <c r="I466" s="57"/>
    </row>
    <row r="467" spans="2:10" x14ac:dyDescent="0.15">
      <c r="D467" s="1"/>
      <c r="E467" s="15"/>
      <c r="F467" s="16"/>
      <c r="G467" s="16"/>
      <c r="H467" s="16"/>
      <c r="I467" s="57"/>
    </row>
    <row r="468" spans="2:10" x14ac:dyDescent="0.15">
      <c r="D468" s="1"/>
      <c r="E468" s="15"/>
      <c r="F468" s="16"/>
      <c r="G468" s="16"/>
      <c r="H468" s="16"/>
      <c r="I468" s="57"/>
    </row>
    <row r="469" spans="2:10" x14ac:dyDescent="0.15">
      <c r="D469" s="1"/>
      <c r="E469" s="15"/>
      <c r="F469" s="16"/>
      <c r="G469" s="16"/>
      <c r="H469" s="16"/>
      <c r="I469" s="57"/>
    </row>
    <row r="470" spans="2:10" x14ac:dyDescent="0.15">
      <c r="D470" s="1"/>
      <c r="E470" s="15"/>
      <c r="F470" s="16"/>
      <c r="G470" s="16"/>
      <c r="H470" s="16"/>
      <c r="I470" s="57"/>
    </row>
    <row r="471" spans="2:10" ht="14" x14ac:dyDescent="0.15">
      <c r="B471" s="83"/>
      <c r="C471" s="83"/>
      <c r="D471" s="84"/>
      <c r="E471" s="83"/>
      <c r="F471" s="83"/>
      <c r="G471" s="103"/>
      <c r="H471" s="83"/>
      <c r="I471" s="85"/>
      <c r="J471" s="85"/>
    </row>
    <row r="472" spans="2:10" ht="14" x14ac:dyDescent="0.15">
      <c r="B472" s="83"/>
      <c r="C472" s="83"/>
      <c r="D472" s="84"/>
      <c r="E472" s="83"/>
      <c r="F472" s="83"/>
      <c r="G472" s="103"/>
      <c r="H472" s="83"/>
      <c r="I472" s="85"/>
      <c r="J472" s="85"/>
    </row>
    <row r="473" spans="2:10" ht="14" thickBot="1" x14ac:dyDescent="0.2">
      <c r="B473" s="12"/>
      <c r="C473" s="40"/>
      <c r="D473" s="40"/>
      <c r="E473" s="40"/>
      <c r="F473" s="41"/>
      <c r="I473" s="42"/>
    </row>
    <row r="474" spans="2:10" s="90" customFormat="1" ht="21.75" customHeight="1" x14ac:dyDescent="0.2">
      <c r="B474" s="607" t="s">
        <v>1065</v>
      </c>
      <c r="C474" s="608"/>
      <c r="D474" s="608"/>
      <c r="E474" s="608"/>
      <c r="F474" s="609"/>
      <c r="G474" s="89"/>
      <c r="H474" s="600" t="s">
        <v>20</v>
      </c>
      <c r="I474" s="601"/>
    </row>
    <row r="475" spans="2:10" s="90" customFormat="1" ht="21" customHeight="1" x14ac:dyDescent="0.2">
      <c r="B475" s="604" t="s">
        <v>446</v>
      </c>
      <c r="C475" s="605"/>
      <c r="D475" s="605"/>
      <c r="E475" s="605"/>
      <c r="F475" s="606"/>
      <c r="G475" s="91"/>
      <c r="H475" s="602"/>
      <c r="I475" s="603"/>
    </row>
    <row r="476" spans="2:10" s="90" customFormat="1" ht="15" customHeight="1" x14ac:dyDescent="0.2">
      <c r="B476" s="610" t="s">
        <v>447</v>
      </c>
      <c r="C476" s="611"/>
      <c r="D476" s="611"/>
      <c r="E476" s="611"/>
      <c r="F476" s="612"/>
      <c r="G476" s="91"/>
      <c r="H476" s="668" t="s">
        <v>663</v>
      </c>
      <c r="I476" s="669"/>
    </row>
    <row r="477" spans="2:10" s="90" customFormat="1" ht="15.75" customHeight="1" thickBot="1" x14ac:dyDescent="0.25">
      <c r="B477" s="613"/>
      <c r="C477" s="614"/>
      <c r="D477" s="614"/>
      <c r="E477" s="614"/>
      <c r="F477" s="615"/>
      <c r="G477" s="89"/>
      <c r="H477" s="670"/>
      <c r="I477" s="671"/>
    </row>
    <row r="478" spans="2:10" ht="15.75" customHeight="1" thickBot="1" x14ac:dyDescent="0.2">
      <c r="B478" s="15"/>
      <c r="C478" s="16"/>
      <c r="D478" s="1"/>
      <c r="E478" s="1"/>
      <c r="F478" s="1"/>
      <c r="G478" s="1"/>
      <c r="H478" s="670"/>
      <c r="I478" s="671"/>
    </row>
    <row r="479" spans="2:10" ht="15.75" customHeight="1" x14ac:dyDescent="0.15">
      <c r="B479" s="650" t="s">
        <v>890</v>
      </c>
      <c r="C479" s="651"/>
      <c r="D479" s="651"/>
      <c r="E479" s="651"/>
      <c r="F479" s="652"/>
      <c r="G479" s="1"/>
      <c r="H479" s="670"/>
      <c r="I479" s="671"/>
    </row>
    <row r="480" spans="2:10" ht="15" customHeight="1" x14ac:dyDescent="0.15">
      <c r="B480" s="653"/>
      <c r="C480" s="654"/>
      <c r="D480" s="654"/>
      <c r="E480" s="654"/>
      <c r="F480" s="655"/>
      <c r="H480" s="670"/>
      <c r="I480" s="671"/>
    </row>
    <row r="481" spans="2:9" ht="23.25" customHeight="1" x14ac:dyDescent="0.15">
      <c r="B481" s="653"/>
      <c r="C481" s="654"/>
      <c r="D481" s="654"/>
      <c r="E481" s="654"/>
      <c r="F481" s="655"/>
      <c r="G481" s="11"/>
      <c r="H481" s="672"/>
      <c r="I481" s="673"/>
    </row>
    <row r="482" spans="2:9" ht="13.5" customHeight="1" thickBot="1" x14ac:dyDescent="0.2">
      <c r="B482" s="656"/>
      <c r="C482" s="657"/>
      <c r="D482" s="657"/>
      <c r="E482" s="657"/>
      <c r="F482" s="658"/>
      <c r="H482" s="187" t="s">
        <v>45</v>
      </c>
      <c r="I482" s="17" t="s">
        <v>6</v>
      </c>
    </row>
    <row r="483" spans="2:9" x14ac:dyDescent="0.15">
      <c r="B483" s="18"/>
      <c r="C483" s="18"/>
      <c r="D483" s="1"/>
      <c r="E483" s="18"/>
      <c r="F483" s="18"/>
      <c r="G483" s="18"/>
      <c r="H483" s="18"/>
      <c r="I483" s="1"/>
    </row>
    <row r="484" spans="2:9" ht="14" thickBot="1" x14ac:dyDescent="0.2">
      <c r="B484" s="12" t="s">
        <v>21</v>
      </c>
      <c r="C484" s="12"/>
      <c r="D484" s="1"/>
      <c r="E484" s="1"/>
      <c r="F484" s="1"/>
      <c r="G484" s="1"/>
      <c r="H484" s="1"/>
      <c r="I484" s="1"/>
    </row>
    <row r="485" spans="2:9" x14ac:dyDescent="0.15">
      <c r="B485" s="628" t="s">
        <v>22</v>
      </c>
      <c r="C485" s="629"/>
      <c r="D485" s="630"/>
      <c r="E485" s="205" t="s">
        <v>23</v>
      </c>
      <c r="F485" s="19" t="s">
        <v>105</v>
      </c>
      <c r="G485" s="205" t="s">
        <v>24</v>
      </c>
      <c r="H485" s="204" t="s">
        <v>25</v>
      </c>
      <c r="I485" s="43"/>
    </row>
    <row r="486" spans="2:9" ht="15" customHeight="1" x14ac:dyDescent="0.15">
      <c r="B486" s="631" t="s">
        <v>112</v>
      </c>
      <c r="C486" s="632"/>
      <c r="D486" s="633"/>
      <c r="E486" s="3"/>
      <c r="F486" s="164">
        <f>'HERRAMIENTAS Y EQUIPOS'!C12</f>
        <v>130000</v>
      </c>
      <c r="G486" s="20">
        <v>15.54899</v>
      </c>
      <c r="H486" s="163">
        <f>F486/G486</f>
        <v>8360.6716577732695</v>
      </c>
      <c r="I486" s="189"/>
    </row>
    <row r="487" spans="2:9" x14ac:dyDescent="0.15">
      <c r="B487" s="631" t="s">
        <v>423</v>
      </c>
      <c r="C487" s="632"/>
      <c r="D487" s="633"/>
      <c r="E487" s="5"/>
      <c r="F487" s="160"/>
      <c r="G487" s="20"/>
      <c r="H487" s="163">
        <f>I508*0.05</f>
        <v>109.73381550827418</v>
      </c>
      <c r="I487" s="44"/>
    </row>
    <row r="488" spans="2:9" ht="14" thickBot="1" x14ac:dyDescent="0.2">
      <c r="B488" s="634"/>
      <c r="C488" s="635"/>
      <c r="D488" s="636"/>
      <c r="E488" s="21"/>
      <c r="F488" s="22"/>
      <c r="G488" s="23"/>
      <c r="H488" s="47"/>
      <c r="I488" s="48"/>
    </row>
    <row r="489" spans="2:9" ht="14" thickBot="1" x14ac:dyDescent="0.2">
      <c r="B489" s="1"/>
      <c r="C489" s="1"/>
      <c r="D489" s="1"/>
      <c r="E489" s="1"/>
      <c r="F489" s="1"/>
      <c r="G489" s="1"/>
      <c r="H489" s="37" t="s">
        <v>26</v>
      </c>
      <c r="I489" s="161">
        <f>SUM(H486:H488)</f>
        <v>8470.4054732815439</v>
      </c>
    </row>
    <row r="490" spans="2:9" ht="14" thickBot="1" x14ac:dyDescent="0.2">
      <c r="B490" s="12" t="s">
        <v>27</v>
      </c>
      <c r="C490" s="12"/>
      <c r="D490" s="1"/>
      <c r="E490" s="1"/>
      <c r="F490" s="1"/>
      <c r="G490" s="1"/>
      <c r="H490" s="1"/>
      <c r="I490" s="1"/>
    </row>
    <row r="491" spans="2:9" x14ac:dyDescent="0.15">
      <c r="B491" s="628" t="s">
        <v>22</v>
      </c>
      <c r="C491" s="629"/>
      <c r="D491" s="630"/>
      <c r="E491" s="205" t="s">
        <v>28</v>
      </c>
      <c r="F491" s="205" t="s">
        <v>29</v>
      </c>
      <c r="G491" s="205" t="s">
        <v>30</v>
      </c>
      <c r="H491" s="204" t="s">
        <v>25</v>
      </c>
      <c r="I491" s="43"/>
    </row>
    <row r="492" spans="2:9" x14ac:dyDescent="0.15">
      <c r="B492" s="4"/>
      <c r="C492" s="24"/>
      <c r="D492" s="6"/>
      <c r="E492" s="3"/>
      <c r="F492" s="45"/>
      <c r="G492" s="50"/>
      <c r="H492" s="56"/>
      <c r="I492" s="44"/>
    </row>
    <row r="493" spans="2:9" x14ac:dyDescent="0.15">
      <c r="B493" s="4"/>
      <c r="C493" s="24"/>
      <c r="D493" s="6"/>
      <c r="E493" s="3"/>
      <c r="F493" s="45"/>
      <c r="G493" s="50"/>
      <c r="H493" s="56"/>
      <c r="I493" s="44"/>
    </row>
    <row r="494" spans="2:9" x14ac:dyDescent="0.15">
      <c r="B494" s="4"/>
      <c r="C494" s="24"/>
      <c r="D494" s="6"/>
      <c r="E494" s="3"/>
      <c r="F494" s="45"/>
      <c r="G494" s="50"/>
      <c r="H494" s="56"/>
      <c r="I494" s="44"/>
    </row>
    <row r="495" spans="2:9" ht="14" thickBot="1" x14ac:dyDescent="0.2">
      <c r="B495" s="25"/>
      <c r="C495" s="26"/>
      <c r="D495" s="27"/>
      <c r="E495" s="21"/>
      <c r="F495" s="22"/>
      <c r="G495" s="23"/>
      <c r="H495" s="47"/>
      <c r="I495" s="48"/>
    </row>
    <row r="496" spans="2:9" ht="14" thickBot="1" x14ac:dyDescent="0.2">
      <c r="B496" s="1"/>
      <c r="C496" s="1"/>
      <c r="D496" s="1"/>
      <c r="E496" s="1"/>
      <c r="F496" s="1"/>
      <c r="G496" s="1"/>
      <c r="H496" s="191" t="s">
        <v>26</v>
      </c>
      <c r="I496" s="49">
        <f>SUM(H492:H495)</f>
        <v>0</v>
      </c>
    </row>
    <row r="497" spans="2:9" ht="14" thickBot="1" x14ac:dyDescent="0.2">
      <c r="B497" s="28" t="s">
        <v>31</v>
      </c>
      <c r="C497" s="28"/>
      <c r="D497" s="26"/>
      <c r="E497" s="1"/>
      <c r="F497" s="1"/>
      <c r="G497" s="1"/>
      <c r="H497" s="1"/>
      <c r="I497" s="1"/>
    </row>
    <row r="498" spans="2:9" x14ac:dyDescent="0.15">
      <c r="B498" s="51" t="s">
        <v>32</v>
      </c>
      <c r="C498" s="52"/>
      <c r="D498" s="291" t="s">
        <v>33</v>
      </c>
      <c r="E498" s="205" t="s">
        <v>34</v>
      </c>
      <c r="F498" s="205" t="s">
        <v>35</v>
      </c>
      <c r="G498" s="205" t="s">
        <v>36</v>
      </c>
      <c r="H498" s="59" t="s">
        <v>25</v>
      </c>
      <c r="I498" s="43"/>
    </row>
    <row r="499" spans="2:9" x14ac:dyDescent="0.15">
      <c r="B499" s="4" t="s">
        <v>202</v>
      </c>
      <c r="C499" s="6"/>
      <c r="D499" s="60">
        <v>1.5</v>
      </c>
      <c r="E499" s="2">
        <v>10</v>
      </c>
      <c r="F499" s="2">
        <f>E499*D499</f>
        <v>15</v>
      </c>
      <c r="G499" s="160">
        <v>1100</v>
      </c>
      <c r="H499" s="55">
        <f>G499*F499</f>
        <v>16500</v>
      </c>
      <c r="I499" s="44"/>
    </row>
    <row r="500" spans="2:9" x14ac:dyDescent="0.15">
      <c r="B500" s="4" t="s">
        <v>203</v>
      </c>
      <c r="C500" s="6"/>
      <c r="D500" s="53">
        <v>0.1</v>
      </c>
      <c r="E500" s="2">
        <v>15</v>
      </c>
      <c r="F500" s="2">
        <f>E500*D500</f>
        <v>1.5</v>
      </c>
      <c r="G500" s="160">
        <v>1100</v>
      </c>
      <c r="H500" s="20">
        <f>G500*F500</f>
        <v>1650</v>
      </c>
      <c r="I500" s="189"/>
    </row>
    <row r="501" spans="2:9" ht="14" thickBot="1" x14ac:dyDescent="0.2">
      <c r="B501" s="33"/>
      <c r="C501" s="54"/>
      <c r="D501" s="21"/>
      <c r="E501" s="22"/>
      <c r="F501" s="23"/>
      <c r="G501" s="47"/>
      <c r="H501" s="21"/>
      <c r="I501" s="44"/>
    </row>
    <row r="502" spans="2:9" ht="14" thickBot="1" x14ac:dyDescent="0.2">
      <c r="B502" s="1"/>
      <c r="C502" s="1"/>
      <c r="D502" s="1"/>
      <c r="E502" s="1"/>
      <c r="F502" s="1"/>
      <c r="G502" s="1"/>
      <c r="H502" s="37" t="s">
        <v>26</v>
      </c>
      <c r="I502" s="49">
        <f>SUM(H499:H501)</f>
        <v>18150</v>
      </c>
    </row>
    <row r="503" spans="2:9" ht="14" thickBot="1" x14ac:dyDescent="0.2">
      <c r="B503" s="28" t="s">
        <v>37</v>
      </c>
      <c r="C503" s="28"/>
      <c r="D503" s="1"/>
      <c r="E503" s="1"/>
      <c r="F503" s="1"/>
      <c r="G503" s="1"/>
      <c r="H503" s="1"/>
      <c r="I503" s="1"/>
    </row>
    <row r="504" spans="2:9" x14ac:dyDescent="0.15">
      <c r="B504" s="51" t="s">
        <v>38</v>
      </c>
      <c r="C504" s="86"/>
      <c r="D504" s="31" t="s">
        <v>39</v>
      </c>
      <c r="E504" s="205" t="s">
        <v>40</v>
      </c>
      <c r="F504" s="19" t="s">
        <v>41</v>
      </c>
      <c r="G504" s="31" t="s">
        <v>24</v>
      </c>
      <c r="H504" s="204" t="s">
        <v>25</v>
      </c>
      <c r="I504" s="43"/>
    </row>
    <row r="505" spans="2:9" x14ac:dyDescent="0.15">
      <c r="B505" s="4" t="s">
        <v>64</v>
      </c>
      <c r="C505" s="24"/>
      <c r="D505" s="32">
        <f>'MANO DE OBRA'!E14*3</f>
        <v>156000</v>
      </c>
      <c r="E505" s="166">
        <v>1.75</v>
      </c>
      <c r="F505" s="162">
        <f>+E505*D505</f>
        <v>273000</v>
      </c>
      <c r="G505" s="20">
        <f>G486*8</f>
        <v>124.39192</v>
      </c>
      <c r="H505" s="167">
        <f>+F505/G505</f>
        <v>2194.6763101654833</v>
      </c>
      <c r="I505" s="44"/>
    </row>
    <row r="506" spans="2:9" x14ac:dyDescent="0.15">
      <c r="B506" s="4"/>
      <c r="C506" s="24"/>
      <c r="D506" s="289"/>
      <c r="E506" s="290"/>
      <c r="F506" s="45"/>
      <c r="G506" s="20"/>
      <c r="H506" s="56"/>
      <c r="I506" s="44"/>
    </row>
    <row r="507" spans="2:9" ht="14" thickBot="1" x14ac:dyDescent="0.2">
      <c r="B507" s="33"/>
      <c r="C507" s="34"/>
      <c r="D507" s="22"/>
      <c r="E507" s="21"/>
      <c r="F507" s="22"/>
      <c r="G507" s="23"/>
      <c r="H507" s="47"/>
      <c r="I507" s="48"/>
    </row>
    <row r="508" spans="2:9" ht="14" thickBot="1" x14ac:dyDescent="0.2">
      <c r="B508" s="1"/>
      <c r="C508" s="1"/>
      <c r="D508" s="1"/>
      <c r="E508" s="1"/>
      <c r="F508" s="1"/>
      <c r="G508" s="1"/>
      <c r="H508" s="37" t="s">
        <v>26</v>
      </c>
      <c r="I508" s="175">
        <f>SUM(H505:H507)</f>
        <v>2194.6763101654833</v>
      </c>
    </row>
    <row r="509" spans="2:9" ht="14" thickBot="1" x14ac:dyDescent="0.2">
      <c r="B509" s="1"/>
      <c r="C509" s="1"/>
      <c r="D509" s="1"/>
      <c r="E509" s="1"/>
      <c r="F509" s="1"/>
      <c r="G509" s="1"/>
      <c r="H509" s="61"/>
      <c r="I509" s="1"/>
    </row>
    <row r="510" spans="2:9" ht="15" thickBot="1" x14ac:dyDescent="0.2">
      <c r="B510" s="1"/>
      <c r="C510" s="1"/>
      <c r="D510" s="1"/>
      <c r="E510" s="1"/>
      <c r="F510" s="35" t="s">
        <v>43</v>
      </c>
      <c r="G510" s="16"/>
      <c r="H510" s="16"/>
      <c r="I510" s="222">
        <f>ROUND((I489+I496+I502+I508),0)</f>
        <v>28815</v>
      </c>
    </row>
    <row r="511" spans="2:9" x14ac:dyDescent="0.15">
      <c r="B511" s="12"/>
      <c r="C511" s="12"/>
      <c r="D511" s="1"/>
      <c r="E511" s="1"/>
      <c r="F511" s="1"/>
      <c r="G511" s="1"/>
      <c r="H511" s="1"/>
      <c r="I511" s="1"/>
    </row>
    <row r="512" spans="2:9" x14ac:dyDescent="0.15">
      <c r="B512" s="16"/>
      <c r="C512" s="16"/>
      <c r="D512" s="16"/>
      <c r="E512" s="16"/>
      <c r="F512" s="16"/>
      <c r="G512" s="61"/>
      <c r="H512" s="61"/>
      <c r="I512" s="1"/>
    </row>
    <row r="513" spans="2:10" x14ac:dyDescent="0.15">
      <c r="B513" s="1"/>
      <c r="C513" s="1"/>
      <c r="D513" s="1"/>
      <c r="E513" s="1"/>
      <c r="F513" s="1"/>
      <c r="G513" s="159"/>
      <c r="H513" s="170"/>
      <c r="I513" s="170"/>
    </row>
    <row r="514" spans="2:10" x14ac:dyDescent="0.15">
      <c r="B514" s="1"/>
      <c r="C514" s="1"/>
      <c r="D514" s="1"/>
      <c r="E514" s="1"/>
      <c r="F514" s="1"/>
      <c r="G514" s="159"/>
      <c r="H514" s="170"/>
      <c r="I514" s="170"/>
    </row>
    <row r="515" spans="2:10" x14ac:dyDescent="0.15">
      <c r="B515" s="1"/>
      <c r="C515" s="1"/>
      <c r="D515" s="1"/>
      <c r="E515" s="1"/>
      <c r="F515" s="1"/>
      <c r="G515" s="159"/>
      <c r="H515" s="170"/>
      <c r="I515" s="170"/>
    </row>
    <row r="516" spans="2:10" x14ac:dyDescent="0.15">
      <c r="B516" s="1"/>
      <c r="C516" s="1"/>
      <c r="D516" s="1"/>
      <c r="E516" s="1"/>
      <c r="F516" s="1"/>
      <c r="G516" s="1"/>
      <c r="H516" s="37"/>
      <c r="I516" s="170"/>
    </row>
    <row r="517" spans="2:10" ht="14" x14ac:dyDescent="0.15">
      <c r="B517" s="101"/>
      <c r="C517" s="1"/>
      <c r="D517" s="1"/>
      <c r="E517" s="1"/>
      <c r="F517" s="1"/>
      <c r="G517" s="1"/>
      <c r="H517" s="1"/>
      <c r="I517" s="1"/>
    </row>
    <row r="518" spans="2:10" ht="14" x14ac:dyDescent="0.15">
      <c r="B518" s="83"/>
      <c r="D518" s="1"/>
      <c r="E518" s="15"/>
      <c r="F518" s="16"/>
      <c r="G518" s="16"/>
      <c r="H518" s="16"/>
      <c r="I518" s="169"/>
    </row>
    <row r="519" spans="2:10" ht="14" x14ac:dyDescent="0.15">
      <c r="B519" s="101"/>
      <c r="C519" s="83"/>
      <c r="D519" s="84"/>
      <c r="E519" s="83"/>
      <c r="F519" s="83"/>
      <c r="G519" s="101"/>
      <c r="H519" s="83"/>
      <c r="I519" s="85"/>
      <c r="J519" s="85"/>
    </row>
    <row r="520" spans="2:10" ht="14" x14ac:dyDescent="0.15">
      <c r="B520" s="101"/>
      <c r="C520" s="83"/>
      <c r="D520" s="84"/>
      <c r="E520" s="83"/>
      <c r="F520" s="83"/>
      <c r="G520" s="101"/>
      <c r="H520" s="83"/>
      <c r="I520" s="85"/>
      <c r="J520" s="85"/>
    </row>
    <row r="521" spans="2:10" ht="14" x14ac:dyDescent="0.15">
      <c r="B521" s="101"/>
      <c r="C521" s="83"/>
      <c r="D521" s="84"/>
      <c r="E521" s="83"/>
      <c r="F521" s="83"/>
      <c r="G521" s="101"/>
      <c r="H521" s="83"/>
      <c r="I521" s="85"/>
      <c r="J521" s="85"/>
    </row>
    <row r="522" spans="2:10" ht="14" x14ac:dyDescent="0.15">
      <c r="B522" s="101"/>
      <c r="C522" s="83"/>
      <c r="D522" s="84"/>
      <c r="E522" s="83"/>
      <c r="F522" s="83"/>
      <c r="G522" s="101"/>
      <c r="H522" s="83"/>
      <c r="I522" s="85"/>
      <c r="J522" s="85"/>
    </row>
    <row r="523" spans="2:10" ht="14" x14ac:dyDescent="0.15">
      <c r="B523" s="101"/>
      <c r="C523" s="83"/>
      <c r="D523" s="84"/>
      <c r="E523" s="83"/>
      <c r="F523" s="83"/>
      <c r="G523" s="101"/>
      <c r="H523" s="83"/>
      <c r="I523" s="85"/>
      <c r="J523" s="85"/>
    </row>
    <row r="524" spans="2:10" ht="14" x14ac:dyDescent="0.15">
      <c r="B524" s="101"/>
      <c r="C524" s="83"/>
      <c r="D524" s="84"/>
      <c r="E524" s="83"/>
      <c r="F524" s="83"/>
      <c r="G524" s="101"/>
      <c r="H524" s="83"/>
      <c r="I524" s="85"/>
      <c r="J524" s="85"/>
    </row>
    <row r="525" spans="2:10" ht="14" x14ac:dyDescent="0.15">
      <c r="B525" s="83"/>
      <c r="C525" s="83"/>
      <c r="D525" s="84"/>
      <c r="E525" s="83"/>
      <c r="F525" s="83"/>
      <c r="G525" s="118"/>
      <c r="H525" s="83"/>
      <c r="I525" s="85"/>
      <c r="J525" s="85"/>
    </row>
    <row r="526" spans="2:10" x14ac:dyDescent="0.15">
      <c r="D526" s="1"/>
      <c r="E526" s="15"/>
      <c r="F526" s="16"/>
      <c r="G526" s="16"/>
      <c r="H526" s="16"/>
      <c r="I526" s="57"/>
    </row>
    <row r="527" spans="2:10" x14ac:dyDescent="0.15">
      <c r="D527" s="1"/>
      <c r="E527" s="15"/>
      <c r="F527" s="16"/>
      <c r="G527" s="16"/>
      <c r="H527" s="16"/>
      <c r="I527" s="57"/>
    </row>
    <row r="528" spans="2:10" x14ac:dyDescent="0.15">
      <c r="D528" s="1"/>
      <c r="E528" s="15"/>
      <c r="F528" s="16"/>
      <c r="G528" s="16"/>
      <c r="H528" s="16"/>
      <c r="I528" s="57"/>
    </row>
    <row r="529" spans="2:10" ht="14" x14ac:dyDescent="0.15">
      <c r="B529" s="101"/>
      <c r="C529" s="83"/>
      <c r="D529" s="84"/>
      <c r="E529" s="83"/>
      <c r="F529" s="83"/>
      <c r="G529" s="102"/>
      <c r="H529" s="83"/>
      <c r="I529" s="85"/>
      <c r="J529" s="85"/>
    </row>
    <row r="530" spans="2:10" ht="14" x14ac:dyDescent="0.15">
      <c r="B530" s="83"/>
      <c r="C530" s="83"/>
      <c r="D530" s="84"/>
      <c r="E530" s="83"/>
      <c r="F530" s="83"/>
      <c r="G530" s="103"/>
      <c r="H530" s="83"/>
      <c r="I530" s="85"/>
      <c r="J530" s="85"/>
    </row>
    <row r="531" spans="2:10" ht="14" thickBot="1" x14ac:dyDescent="0.2">
      <c r="B531" s="38"/>
      <c r="C531" s="38"/>
      <c r="D531" s="38"/>
      <c r="E531" s="39"/>
      <c r="F531" s="18"/>
      <c r="G531" s="18"/>
      <c r="H531" s="18"/>
    </row>
    <row r="532" spans="2:10" s="90" customFormat="1" ht="21.75" customHeight="1" x14ac:dyDescent="0.2">
      <c r="B532" s="607" t="s">
        <v>1065</v>
      </c>
      <c r="C532" s="608"/>
      <c r="D532" s="608"/>
      <c r="E532" s="608"/>
      <c r="F532" s="609"/>
      <c r="G532" s="89"/>
      <c r="H532" s="600" t="s">
        <v>20</v>
      </c>
      <c r="I532" s="601"/>
    </row>
    <row r="533" spans="2:10" s="90" customFormat="1" ht="21" customHeight="1" x14ac:dyDescent="0.2">
      <c r="B533" s="604" t="s">
        <v>446</v>
      </c>
      <c r="C533" s="605"/>
      <c r="D533" s="605"/>
      <c r="E533" s="605"/>
      <c r="F533" s="606"/>
      <c r="G533" s="91"/>
      <c r="H533" s="602"/>
      <c r="I533" s="603"/>
    </row>
    <row r="534" spans="2:10" s="90" customFormat="1" ht="15" customHeight="1" x14ac:dyDescent="0.2">
      <c r="B534" s="610" t="s">
        <v>447</v>
      </c>
      <c r="C534" s="611"/>
      <c r="D534" s="611"/>
      <c r="E534" s="611"/>
      <c r="F534" s="612"/>
      <c r="G534" s="91"/>
      <c r="H534" s="727" t="s">
        <v>482</v>
      </c>
      <c r="I534" s="728"/>
    </row>
    <row r="535" spans="2:10" s="90" customFormat="1" ht="15.75" customHeight="1" thickBot="1" x14ac:dyDescent="0.25">
      <c r="B535" s="613"/>
      <c r="C535" s="614"/>
      <c r="D535" s="614"/>
      <c r="E535" s="614"/>
      <c r="F535" s="615"/>
      <c r="G535" s="89"/>
      <c r="H535" s="729"/>
      <c r="I535" s="728"/>
    </row>
    <row r="536" spans="2:10" ht="14" thickBot="1" x14ac:dyDescent="0.2">
      <c r="B536" s="15"/>
      <c r="C536" s="16"/>
      <c r="D536" s="1"/>
      <c r="E536" s="1"/>
      <c r="F536" s="1"/>
      <c r="G536" s="1"/>
      <c r="H536" s="729"/>
      <c r="I536" s="728"/>
    </row>
    <row r="537" spans="2:10" ht="15.75" customHeight="1" x14ac:dyDescent="0.15">
      <c r="B537" s="650" t="s">
        <v>890</v>
      </c>
      <c r="C537" s="651"/>
      <c r="D537" s="651"/>
      <c r="E537" s="651"/>
      <c r="F537" s="652"/>
      <c r="G537" s="1"/>
      <c r="H537" s="729"/>
      <c r="I537" s="728"/>
    </row>
    <row r="538" spans="2:10" ht="12.75" customHeight="1" x14ac:dyDescent="0.15">
      <c r="B538" s="653"/>
      <c r="C538" s="654"/>
      <c r="D538" s="654"/>
      <c r="E538" s="654"/>
      <c r="F538" s="655"/>
      <c r="H538" s="729"/>
      <c r="I538" s="728"/>
    </row>
    <row r="539" spans="2:10" ht="12.75" customHeight="1" x14ac:dyDescent="0.15">
      <c r="B539" s="653"/>
      <c r="C539" s="654"/>
      <c r="D539" s="654"/>
      <c r="E539" s="654"/>
      <c r="F539" s="655"/>
      <c r="G539" s="11"/>
      <c r="H539" s="729"/>
      <c r="I539" s="728"/>
    </row>
    <row r="540" spans="2:10" ht="13.5" customHeight="1" thickBot="1" x14ac:dyDescent="0.2">
      <c r="B540" s="656"/>
      <c r="C540" s="657"/>
      <c r="D540" s="657"/>
      <c r="E540" s="657"/>
      <c r="F540" s="658"/>
      <c r="H540" s="64" t="s">
        <v>45</v>
      </c>
      <c r="I540" s="17" t="s">
        <v>6</v>
      </c>
    </row>
    <row r="541" spans="2:10" x14ac:dyDescent="0.15">
      <c r="B541" s="18"/>
      <c r="C541" s="18"/>
      <c r="D541" s="1"/>
      <c r="E541" s="18"/>
      <c r="F541" s="18"/>
      <c r="G541" s="18"/>
      <c r="H541" s="18"/>
      <c r="I541" s="1"/>
    </row>
    <row r="542" spans="2:10" ht="14" thickBot="1" x14ac:dyDescent="0.2">
      <c r="B542" s="12" t="s">
        <v>21</v>
      </c>
      <c r="C542" s="12"/>
      <c r="D542" s="1"/>
      <c r="E542" s="1"/>
      <c r="F542" s="1"/>
      <c r="G542" s="1"/>
      <c r="H542" s="1"/>
      <c r="I542" s="1"/>
    </row>
    <row r="543" spans="2:10" x14ac:dyDescent="0.15">
      <c r="B543" s="628" t="s">
        <v>22</v>
      </c>
      <c r="C543" s="629"/>
      <c r="D543" s="630"/>
      <c r="E543" s="205" t="s">
        <v>23</v>
      </c>
      <c r="F543" s="19" t="s">
        <v>108</v>
      </c>
      <c r="G543" s="205" t="s">
        <v>24</v>
      </c>
      <c r="H543" s="204" t="s">
        <v>25</v>
      </c>
      <c r="I543" s="43"/>
    </row>
    <row r="544" spans="2:10" x14ac:dyDescent="0.15">
      <c r="B544" s="631" t="s">
        <v>116</v>
      </c>
      <c r="C544" s="632"/>
      <c r="D544" s="633"/>
      <c r="E544" s="3"/>
      <c r="F544" s="178">
        <f>'HERRAMIENTAS Y EQUIPOS'!C21</f>
        <v>100000</v>
      </c>
      <c r="G544" s="20">
        <v>10</v>
      </c>
      <c r="H544" s="179">
        <f>F544/G544</f>
        <v>10000</v>
      </c>
      <c r="I544" s="44"/>
    </row>
    <row r="545" spans="2:12" x14ac:dyDescent="0.15">
      <c r="B545" s="631" t="s">
        <v>56</v>
      </c>
      <c r="C545" s="632"/>
      <c r="D545" s="633"/>
      <c r="E545" s="5"/>
      <c r="F545" s="162"/>
      <c r="G545" s="20"/>
      <c r="H545" s="163">
        <v>500</v>
      </c>
      <c r="I545" s="44"/>
    </row>
    <row r="546" spans="2:12" ht="14" thickBot="1" x14ac:dyDescent="0.2">
      <c r="B546" s="634"/>
      <c r="C546" s="635"/>
      <c r="D546" s="636"/>
      <c r="E546" s="21"/>
      <c r="F546" s="22"/>
      <c r="G546" s="23"/>
      <c r="H546" s="47"/>
      <c r="I546" s="48"/>
    </row>
    <row r="547" spans="2:12" ht="14" thickBot="1" x14ac:dyDescent="0.2">
      <c r="B547" s="1"/>
      <c r="C547" s="1"/>
      <c r="D547" s="1"/>
      <c r="E547" s="1"/>
      <c r="F547" s="1"/>
      <c r="G547" s="1"/>
      <c r="H547" s="37" t="s">
        <v>26</v>
      </c>
      <c r="I547" s="161">
        <f>SUM(H544:H545)</f>
        <v>10500</v>
      </c>
    </row>
    <row r="548" spans="2:12" ht="14" thickBot="1" x14ac:dyDescent="0.2">
      <c r="B548" s="12" t="s">
        <v>27</v>
      </c>
      <c r="C548" s="12"/>
      <c r="D548" s="1"/>
      <c r="E548" s="1"/>
      <c r="F548" s="1"/>
      <c r="G548" s="1"/>
      <c r="H548" s="1"/>
      <c r="I548" s="1"/>
    </row>
    <row r="549" spans="2:12" x14ac:dyDescent="0.15">
      <c r="B549" s="628" t="s">
        <v>22</v>
      </c>
      <c r="C549" s="629"/>
      <c r="D549" s="630"/>
      <c r="E549" s="205" t="s">
        <v>28</v>
      </c>
      <c r="F549" s="205" t="s">
        <v>29</v>
      </c>
      <c r="G549" s="205" t="s">
        <v>30</v>
      </c>
      <c r="H549" s="204" t="s">
        <v>25</v>
      </c>
      <c r="I549" s="43"/>
    </row>
    <row r="550" spans="2:12" x14ac:dyDescent="0.15">
      <c r="B550" s="4" t="s">
        <v>101</v>
      </c>
      <c r="C550" s="24"/>
      <c r="D550" s="6"/>
      <c r="E550" s="3" t="s">
        <v>58</v>
      </c>
      <c r="F550" s="178">
        <f>MATERIALES!F10</f>
        <v>850</v>
      </c>
      <c r="G550" s="65">
        <f>6.1*50</f>
        <v>305</v>
      </c>
      <c r="H550" s="179">
        <f t="shared" ref="H550:H554" si="0">G550*F550</f>
        <v>259250</v>
      </c>
      <c r="I550" s="44"/>
    </row>
    <row r="551" spans="2:12" x14ac:dyDescent="0.15">
      <c r="B551" s="4" t="s">
        <v>480</v>
      </c>
      <c r="C551" s="24"/>
      <c r="D551" s="6"/>
      <c r="E551" s="3" t="s">
        <v>6</v>
      </c>
      <c r="F551" s="164">
        <f>MATERIALES!F12</f>
        <v>162000</v>
      </c>
      <c r="G551" s="65">
        <v>0.78600000000000003</v>
      </c>
      <c r="H551" s="179">
        <f t="shared" si="0"/>
        <v>127332</v>
      </c>
      <c r="I551" s="44"/>
    </row>
    <row r="552" spans="2:12" x14ac:dyDescent="0.15">
      <c r="B552" s="4" t="s">
        <v>471</v>
      </c>
      <c r="C552" s="24"/>
      <c r="D552" s="6"/>
      <c r="E552" s="3" t="s">
        <v>6</v>
      </c>
      <c r="F552" s="164">
        <f>MATERIALES!F14</f>
        <v>81000</v>
      </c>
      <c r="G552" s="65">
        <v>0.54900000000000004</v>
      </c>
      <c r="H552" s="179">
        <f t="shared" si="0"/>
        <v>44469</v>
      </c>
      <c r="I552" s="44"/>
    </row>
    <row r="553" spans="2:12" x14ac:dyDescent="0.15">
      <c r="B553" s="4" t="s">
        <v>60</v>
      </c>
      <c r="C553" s="24"/>
      <c r="D553" s="6"/>
      <c r="E553" s="5" t="s">
        <v>61</v>
      </c>
      <c r="F553" s="178">
        <f>MATERIALES!F16</f>
        <v>50</v>
      </c>
      <c r="G553" s="65">
        <v>170</v>
      </c>
      <c r="H553" s="181">
        <f t="shared" si="0"/>
        <v>8500</v>
      </c>
      <c r="I553" s="44"/>
    </row>
    <row r="554" spans="2:12" ht="14" thickBot="1" x14ac:dyDescent="0.2">
      <c r="B554" s="33" t="s">
        <v>99</v>
      </c>
      <c r="C554" s="34"/>
      <c r="D554" s="54"/>
      <c r="E554" s="21"/>
      <c r="F554" s="182">
        <f>SUM(H550:H553)</f>
        <v>439551</v>
      </c>
      <c r="G554" s="23">
        <v>0.03</v>
      </c>
      <c r="H554" s="183">
        <f t="shared" si="0"/>
        <v>13186.529999999999</v>
      </c>
      <c r="I554" s="48"/>
    </row>
    <row r="555" spans="2:12" ht="14" thickBot="1" x14ac:dyDescent="0.2">
      <c r="B555" s="1"/>
      <c r="C555" s="1"/>
      <c r="D555" s="1"/>
      <c r="E555" s="1"/>
      <c r="F555" s="1"/>
      <c r="G555" s="1"/>
      <c r="H555" s="37" t="s">
        <v>26</v>
      </c>
      <c r="I555" s="175">
        <f>SUM(H550:H554)</f>
        <v>452737.53</v>
      </c>
      <c r="L555" s="105"/>
    </row>
    <row r="556" spans="2:12" ht="14" thickBot="1" x14ac:dyDescent="0.2">
      <c r="B556" s="28" t="s">
        <v>31</v>
      </c>
      <c r="C556" s="28"/>
      <c r="D556" s="26"/>
      <c r="E556" s="1"/>
      <c r="F556" s="1"/>
      <c r="G556" s="1"/>
      <c r="H556" s="1"/>
      <c r="I556" s="1"/>
    </row>
    <row r="557" spans="2:12" x14ac:dyDescent="0.15">
      <c r="B557" s="51" t="s">
        <v>32</v>
      </c>
      <c r="C557" s="52"/>
      <c r="D557" s="96" t="s">
        <v>33</v>
      </c>
      <c r="E557" s="205" t="s">
        <v>34</v>
      </c>
      <c r="F557" s="205" t="s">
        <v>35</v>
      </c>
      <c r="G557" s="205" t="s">
        <v>36</v>
      </c>
      <c r="H557" s="59" t="s">
        <v>25</v>
      </c>
      <c r="I557" s="43"/>
    </row>
    <row r="558" spans="2:12" x14ac:dyDescent="0.15">
      <c r="B558" s="4" t="s">
        <v>148</v>
      </c>
      <c r="C558" s="6"/>
      <c r="D558" s="60">
        <f>G551</f>
        <v>0.78600000000000003</v>
      </c>
      <c r="E558" s="2">
        <v>15</v>
      </c>
      <c r="F558" s="2">
        <f t="shared" ref="F558:F560" si="1">E558*D558</f>
        <v>11.790000000000001</v>
      </c>
      <c r="G558" s="160">
        <v>1100</v>
      </c>
      <c r="H558" s="55">
        <f t="shared" ref="H558:H560" si="2">G558*F558</f>
        <v>12969.000000000002</v>
      </c>
      <c r="I558" s="44"/>
    </row>
    <row r="559" spans="2:12" x14ac:dyDescent="0.15">
      <c r="B559" s="4" t="s">
        <v>59</v>
      </c>
      <c r="C559" s="6"/>
      <c r="D559" s="60">
        <f>G552</f>
        <v>0.54900000000000004</v>
      </c>
      <c r="E559" s="2">
        <v>15</v>
      </c>
      <c r="F559" s="2">
        <f t="shared" si="1"/>
        <v>8.2350000000000012</v>
      </c>
      <c r="G559" s="160">
        <v>1100</v>
      </c>
      <c r="H559" s="55">
        <f t="shared" si="2"/>
        <v>9058.5000000000018</v>
      </c>
      <c r="I559" s="44"/>
    </row>
    <row r="560" spans="2:12" ht="14" thickBot="1" x14ac:dyDescent="0.2">
      <c r="B560" s="33" t="s">
        <v>111</v>
      </c>
      <c r="C560" s="54"/>
      <c r="D560" s="107">
        <v>0.47</v>
      </c>
      <c r="E560" s="108">
        <v>15</v>
      </c>
      <c r="F560" s="108">
        <f t="shared" si="1"/>
        <v>7.05</v>
      </c>
      <c r="G560" s="165">
        <v>1100</v>
      </c>
      <c r="H560" s="87">
        <f t="shared" si="2"/>
        <v>7755</v>
      </c>
      <c r="I560" s="48"/>
    </row>
    <row r="561" spans="2:9" ht="14" thickBot="1" x14ac:dyDescent="0.2">
      <c r="B561" s="1"/>
      <c r="C561" s="1"/>
      <c r="D561" s="1"/>
      <c r="E561" s="1"/>
      <c r="F561" s="1"/>
      <c r="G561" s="1"/>
      <c r="H561" s="37" t="s">
        <v>26</v>
      </c>
      <c r="I561" s="109">
        <f>SUM(H558:H560)</f>
        <v>29782.500000000004</v>
      </c>
    </row>
    <row r="562" spans="2:9" ht="14" thickBot="1" x14ac:dyDescent="0.2">
      <c r="B562" s="28" t="s">
        <v>37</v>
      </c>
      <c r="C562" s="28"/>
      <c r="D562" s="1"/>
      <c r="E562" s="1"/>
      <c r="F562" s="1"/>
      <c r="G562" s="1"/>
      <c r="H562" s="1"/>
      <c r="I562" s="1"/>
    </row>
    <row r="563" spans="2:9" x14ac:dyDescent="0.15">
      <c r="B563" s="51" t="s">
        <v>38</v>
      </c>
      <c r="C563" s="86"/>
      <c r="D563" s="31" t="s">
        <v>39</v>
      </c>
      <c r="E563" s="205" t="s">
        <v>40</v>
      </c>
      <c r="F563" s="19" t="s">
        <v>41</v>
      </c>
      <c r="G563" s="31" t="s">
        <v>24</v>
      </c>
      <c r="H563" s="204" t="s">
        <v>25</v>
      </c>
      <c r="I563" s="43"/>
    </row>
    <row r="564" spans="2:9" x14ac:dyDescent="0.15">
      <c r="B564" s="4" t="s">
        <v>120</v>
      </c>
      <c r="C564" s="24"/>
      <c r="D564" s="32">
        <f>'MANO DE OBRA'!E14*12</f>
        <v>624000</v>
      </c>
      <c r="E564" s="88">
        <v>1.75</v>
      </c>
      <c r="F564" s="162">
        <f>+E564*D564</f>
        <v>1092000</v>
      </c>
      <c r="G564" s="20">
        <f>G544</f>
        <v>10</v>
      </c>
      <c r="H564" s="167">
        <f>+F564/G564</f>
        <v>109200</v>
      </c>
      <c r="I564" s="44"/>
    </row>
    <row r="565" spans="2:9" ht="14" thickBot="1" x14ac:dyDescent="0.2">
      <c r="B565" s="33"/>
      <c r="C565" s="34"/>
      <c r="D565" s="110"/>
      <c r="E565" s="113"/>
      <c r="F565" s="165"/>
      <c r="G565" s="23"/>
      <c r="H565" s="207"/>
      <c r="I565" s="48"/>
    </row>
    <row r="566" spans="2:9" ht="14" thickBot="1" x14ac:dyDescent="0.2">
      <c r="B566" s="1"/>
      <c r="C566" s="1"/>
      <c r="D566" s="1"/>
      <c r="E566" s="1"/>
      <c r="F566" s="1"/>
      <c r="G566" s="1"/>
      <c r="H566" s="37" t="s">
        <v>26</v>
      </c>
      <c r="I566" s="175">
        <f>SUM(H564:H564)</f>
        <v>109200</v>
      </c>
    </row>
    <row r="567" spans="2:9" ht="14" thickBot="1" x14ac:dyDescent="0.2">
      <c r="B567" s="1"/>
      <c r="C567" s="1"/>
      <c r="D567" s="1"/>
      <c r="E567" s="1"/>
      <c r="F567" s="1"/>
      <c r="G567" s="1"/>
      <c r="H567" s="61"/>
      <c r="I567" s="1"/>
    </row>
    <row r="568" spans="2:9" ht="15" thickBot="1" x14ac:dyDescent="0.2">
      <c r="B568" s="1"/>
      <c r="C568" s="1"/>
      <c r="D568" s="1"/>
      <c r="E568" s="1"/>
      <c r="F568" s="35" t="s">
        <v>43</v>
      </c>
      <c r="G568" s="16"/>
      <c r="H568" s="16"/>
      <c r="I568" s="222">
        <f>ROUND((I547+I555+I561+I566),0)</f>
        <v>602220</v>
      </c>
    </row>
    <row r="569" spans="2:9" x14ac:dyDescent="0.15">
      <c r="B569" s="12"/>
      <c r="C569" s="12"/>
      <c r="D569" s="1"/>
      <c r="E569" s="1"/>
      <c r="F569" s="1"/>
      <c r="G569" s="1"/>
      <c r="H569" s="1"/>
      <c r="I569" s="1"/>
    </row>
    <row r="570" spans="2:9" x14ac:dyDescent="0.15">
      <c r="B570" s="16"/>
      <c r="C570" s="16"/>
      <c r="D570" s="16"/>
      <c r="E570" s="16"/>
      <c r="F570" s="16"/>
      <c r="G570" s="61"/>
      <c r="H570" s="61"/>
      <c r="I570" s="1"/>
    </row>
    <row r="571" spans="2:9" x14ac:dyDescent="0.15">
      <c r="B571" s="1"/>
      <c r="C571" s="1"/>
      <c r="D571" s="1"/>
      <c r="E571" s="1"/>
      <c r="F571" s="1"/>
      <c r="G571" s="159"/>
      <c r="H571" s="170"/>
      <c r="I571" s="170"/>
    </row>
    <row r="572" spans="2:9" x14ac:dyDescent="0.15">
      <c r="B572" s="1"/>
      <c r="C572" s="1"/>
      <c r="D572" s="1"/>
      <c r="E572" s="1"/>
      <c r="F572" s="1"/>
      <c r="G572" s="159"/>
      <c r="H572" s="170"/>
      <c r="I572" s="170"/>
    </row>
    <row r="573" spans="2:9" x14ac:dyDescent="0.15">
      <c r="B573" s="1"/>
      <c r="C573" s="1"/>
      <c r="D573" s="1"/>
      <c r="E573" s="1"/>
      <c r="F573" s="1"/>
      <c r="G573" s="159"/>
      <c r="H573" s="170"/>
      <c r="I573" s="170"/>
    </row>
    <row r="574" spans="2:9" x14ac:dyDescent="0.15">
      <c r="B574" s="1"/>
      <c r="C574" s="1"/>
      <c r="D574" s="1"/>
      <c r="E574" s="1"/>
      <c r="F574" s="1"/>
      <c r="G574" s="1"/>
      <c r="H574" s="37"/>
      <c r="I574" s="170"/>
    </row>
    <row r="575" spans="2:9" ht="14" x14ac:dyDescent="0.15">
      <c r="B575" s="101"/>
      <c r="C575" s="1"/>
      <c r="D575" s="1"/>
      <c r="E575" s="1"/>
      <c r="F575" s="1"/>
      <c r="G575" s="1"/>
      <c r="H575" s="1"/>
      <c r="I575" s="1"/>
    </row>
    <row r="576" spans="2:9" ht="14" x14ac:dyDescent="0.15">
      <c r="B576" s="83"/>
      <c r="D576" s="1"/>
      <c r="E576" s="15"/>
      <c r="F576" s="16"/>
      <c r="G576" s="16"/>
      <c r="H576" s="16"/>
      <c r="I576" s="169"/>
    </row>
    <row r="577" spans="2:10" ht="14" x14ac:dyDescent="0.15">
      <c r="B577" s="83"/>
      <c r="D577" s="1"/>
      <c r="E577" s="15"/>
      <c r="F577" s="16"/>
      <c r="G577" s="16"/>
      <c r="H577" s="16"/>
      <c r="I577" s="169"/>
    </row>
    <row r="578" spans="2:10" ht="14" x14ac:dyDescent="0.15">
      <c r="B578" s="83"/>
      <c r="D578" s="1"/>
      <c r="E578" s="15"/>
      <c r="F578" s="16"/>
      <c r="G578" s="16"/>
      <c r="H578" s="16"/>
      <c r="I578" s="169"/>
    </row>
    <row r="579" spans="2:10" ht="14" x14ac:dyDescent="0.15">
      <c r="B579" s="83"/>
      <c r="D579" s="1"/>
      <c r="E579" s="15"/>
      <c r="F579" s="16"/>
      <c r="G579" s="16"/>
      <c r="H579" s="16"/>
      <c r="I579" s="169"/>
    </row>
    <row r="580" spans="2:10" ht="14" x14ac:dyDescent="0.15">
      <c r="B580" s="83"/>
      <c r="D580" s="1"/>
      <c r="E580" s="15"/>
      <c r="F580" s="16"/>
      <c r="G580" s="16"/>
      <c r="H580" s="16"/>
      <c r="I580" s="169"/>
    </row>
    <row r="581" spans="2:10" ht="14" x14ac:dyDescent="0.15">
      <c r="B581" s="83"/>
      <c r="D581" s="1"/>
      <c r="E581" s="15"/>
      <c r="F581" s="16"/>
      <c r="G581" s="16"/>
      <c r="H581" s="16"/>
      <c r="I581" s="169"/>
    </row>
    <row r="582" spans="2:10" ht="14" x14ac:dyDescent="0.15">
      <c r="B582" s="101"/>
      <c r="D582" s="1"/>
      <c r="E582" s="15"/>
      <c r="F582" s="16"/>
      <c r="G582" s="16"/>
      <c r="H582" s="16"/>
      <c r="I582" s="169"/>
    </row>
    <row r="583" spans="2:10" ht="14" x14ac:dyDescent="0.15">
      <c r="B583" s="83"/>
      <c r="D583" s="1"/>
      <c r="E583" s="15"/>
      <c r="F583" s="16"/>
      <c r="G583" s="16"/>
      <c r="H583" s="16"/>
      <c r="I583" s="169"/>
    </row>
    <row r="584" spans="2:10" x14ac:dyDescent="0.15">
      <c r="D584" s="1"/>
      <c r="E584" s="15"/>
      <c r="F584" s="16"/>
      <c r="G584" s="16"/>
      <c r="H584" s="16"/>
      <c r="I584" s="169"/>
    </row>
    <row r="585" spans="2:10" x14ac:dyDescent="0.15">
      <c r="D585" s="1"/>
      <c r="E585" s="15"/>
      <c r="F585" s="16"/>
      <c r="G585" s="16"/>
      <c r="H585" s="16"/>
      <c r="I585" s="169"/>
    </row>
    <row r="586" spans="2:10" x14ac:dyDescent="0.15">
      <c r="D586" s="1"/>
      <c r="E586" s="15"/>
      <c r="F586" s="16"/>
      <c r="G586" s="16"/>
      <c r="H586" s="16"/>
      <c r="I586" s="169"/>
    </row>
    <row r="587" spans="2:10" ht="14" x14ac:dyDescent="0.15">
      <c r="B587" s="101"/>
      <c r="C587" s="83"/>
      <c r="D587" s="84"/>
      <c r="E587" s="83"/>
      <c r="F587" s="83"/>
      <c r="G587" s="102"/>
      <c r="H587" s="83"/>
      <c r="I587" s="85"/>
      <c r="J587" s="85"/>
    </row>
    <row r="588" spans="2:10" ht="14" x14ac:dyDescent="0.15">
      <c r="B588" s="83"/>
      <c r="C588" s="83"/>
      <c r="D588" s="84"/>
      <c r="E588" s="83"/>
      <c r="F588" s="83"/>
      <c r="G588" s="103"/>
      <c r="H588" s="83"/>
      <c r="I588" s="85"/>
      <c r="J588" s="85"/>
    </row>
    <row r="589" spans="2:10" ht="14" x14ac:dyDescent="0.15">
      <c r="B589" s="83"/>
      <c r="C589" s="83"/>
      <c r="D589" s="84"/>
      <c r="E589" s="83"/>
      <c r="F589" s="83"/>
      <c r="G589" s="103"/>
      <c r="H589" s="83"/>
      <c r="I589" s="85"/>
      <c r="J589" s="85"/>
    </row>
    <row r="590" spans="2:10" ht="14" thickBot="1" x14ac:dyDescent="0.2">
      <c r="D590" s="1"/>
      <c r="E590" s="15"/>
      <c r="F590" s="16"/>
      <c r="G590" s="16"/>
      <c r="H590" s="16"/>
      <c r="I590" s="169"/>
    </row>
    <row r="591" spans="2:10" ht="21" customHeight="1" x14ac:dyDescent="0.15">
      <c r="B591" s="607" t="s">
        <v>1065</v>
      </c>
      <c r="C591" s="608"/>
      <c r="D591" s="608"/>
      <c r="E591" s="608"/>
      <c r="F591" s="609"/>
      <c r="G591" s="1"/>
      <c r="H591" s="638" t="s">
        <v>20</v>
      </c>
      <c r="I591" s="639"/>
    </row>
    <row r="592" spans="2:10" ht="16.5" customHeight="1" x14ac:dyDescent="0.15">
      <c r="B592" s="604" t="s">
        <v>446</v>
      </c>
      <c r="C592" s="605"/>
      <c r="D592" s="605"/>
      <c r="E592" s="605"/>
      <c r="F592" s="606"/>
      <c r="G592" s="63"/>
      <c r="H592" s="640"/>
      <c r="I592" s="641"/>
    </row>
    <row r="593" spans="2:9" ht="12.75" customHeight="1" x14ac:dyDescent="0.15">
      <c r="B593" s="610" t="s">
        <v>447</v>
      </c>
      <c r="C593" s="611"/>
      <c r="D593" s="611"/>
      <c r="E593" s="611"/>
      <c r="F593" s="612"/>
      <c r="G593" s="63"/>
      <c r="H593" s="642"/>
      <c r="I593" s="643"/>
    </row>
    <row r="594" spans="2:9" ht="16.5" customHeight="1" thickBot="1" x14ac:dyDescent="0.2">
      <c r="B594" s="613"/>
      <c r="C594" s="614"/>
      <c r="D594" s="614"/>
      <c r="E594" s="614"/>
      <c r="F594" s="615"/>
      <c r="G594" s="1"/>
      <c r="H594" s="662" t="s">
        <v>664</v>
      </c>
      <c r="I594" s="663"/>
    </row>
    <row r="595" spans="2:9" ht="14" thickBot="1" x14ac:dyDescent="0.2">
      <c r="B595" s="15"/>
      <c r="C595" s="16"/>
      <c r="D595" s="1"/>
      <c r="E595" s="1"/>
      <c r="F595" s="1"/>
      <c r="G595" s="1"/>
      <c r="H595" s="664"/>
      <c r="I595" s="665"/>
    </row>
    <row r="596" spans="2:9" ht="12.75" customHeight="1" x14ac:dyDescent="0.15">
      <c r="B596" s="650" t="s">
        <v>890</v>
      </c>
      <c r="C596" s="651"/>
      <c r="D596" s="651"/>
      <c r="E596" s="651"/>
      <c r="F596" s="652"/>
      <c r="G596" s="1"/>
      <c r="H596" s="664"/>
      <c r="I596" s="665"/>
    </row>
    <row r="597" spans="2:9" ht="12.75" customHeight="1" x14ac:dyDescent="0.15">
      <c r="B597" s="653"/>
      <c r="C597" s="654"/>
      <c r="D597" s="654"/>
      <c r="E597" s="654"/>
      <c r="F597" s="655"/>
      <c r="H597" s="664"/>
      <c r="I597" s="665"/>
    </row>
    <row r="598" spans="2:9" ht="13.5" customHeight="1" x14ac:dyDescent="0.15">
      <c r="B598" s="653"/>
      <c r="C598" s="654"/>
      <c r="D598" s="654"/>
      <c r="E598" s="654"/>
      <c r="F598" s="655"/>
      <c r="G598" s="11"/>
      <c r="H598" s="666"/>
      <c r="I598" s="667"/>
    </row>
    <row r="599" spans="2:9" ht="21.75" customHeight="1" thickBot="1" x14ac:dyDescent="0.2">
      <c r="B599" s="656"/>
      <c r="C599" s="657"/>
      <c r="D599" s="657"/>
      <c r="E599" s="657"/>
      <c r="F599" s="658"/>
      <c r="H599" s="64" t="s">
        <v>45</v>
      </c>
      <c r="I599" s="17" t="s">
        <v>426</v>
      </c>
    </row>
    <row r="600" spans="2:9" x14ac:dyDescent="0.15">
      <c r="B600" s="18"/>
      <c r="C600" s="18"/>
      <c r="D600" s="1"/>
      <c r="E600" s="18"/>
      <c r="F600" s="18"/>
      <c r="G600" s="18"/>
      <c r="H600" s="18"/>
      <c r="I600" s="1"/>
    </row>
    <row r="601" spans="2:9" ht="14" thickBot="1" x14ac:dyDescent="0.2">
      <c r="B601" s="12" t="s">
        <v>21</v>
      </c>
      <c r="C601" s="12"/>
      <c r="D601" s="1"/>
      <c r="E601" s="1"/>
      <c r="F601" s="1"/>
      <c r="G601" s="1"/>
      <c r="H601" s="1"/>
      <c r="I601" s="1"/>
    </row>
    <row r="602" spans="2:9" x14ac:dyDescent="0.15">
      <c r="B602" s="628" t="s">
        <v>22</v>
      </c>
      <c r="C602" s="629"/>
      <c r="D602" s="630"/>
      <c r="E602" s="205" t="s">
        <v>23</v>
      </c>
      <c r="F602" s="19" t="s">
        <v>47</v>
      </c>
      <c r="G602" s="205" t="s">
        <v>24</v>
      </c>
      <c r="H602" s="204" t="s">
        <v>25</v>
      </c>
      <c r="I602" s="43"/>
    </row>
    <row r="603" spans="2:9" x14ac:dyDescent="0.15">
      <c r="B603" s="631" t="s">
        <v>56</v>
      </c>
      <c r="C603" s="632"/>
      <c r="D603" s="633"/>
      <c r="E603" s="5"/>
      <c r="F603" s="160"/>
      <c r="G603" s="58"/>
      <c r="H603" s="160">
        <f>I626*0.05</f>
        <v>5091.6625000000004</v>
      </c>
      <c r="I603" s="44"/>
    </row>
    <row r="604" spans="2:9" x14ac:dyDescent="0.15">
      <c r="B604" s="631"/>
      <c r="C604" s="632"/>
      <c r="D604" s="633"/>
      <c r="E604" s="5"/>
      <c r="F604" s="46"/>
      <c r="G604" s="20"/>
      <c r="H604" s="56"/>
      <c r="I604" s="44"/>
    </row>
    <row r="605" spans="2:9" ht="14" thickBot="1" x14ac:dyDescent="0.2">
      <c r="B605" s="634"/>
      <c r="C605" s="635"/>
      <c r="D605" s="636"/>
      <c r="E605" s="21"/>
      <c r="F605" s="22"/>
      <c r="G605" s="23"/>
      <c r="H605" s="47"/>
      <c r="I605" s="48"/>
    </row>
    <row r="606" spans="2:9" ht="14" thickBot="1" x14ac:dyDescent="0.2">
      <c r="B606" s="1"/>
      <c r="C606" s="1"/>
      <c r="D606" s="1"/>
      <c r="E606" s="1"/>
      <c r="F606" s="1"/>
      <c r="G606" s="1"/>
      <c r="H606" s="37" t="s">
        <v>26</v>
      </c>
      <c r="I606" s="161">
        <f>SUM(H603:H605)</f>
        <v>5091.6625000000004</v>
      </c>
    </row>
    <row r="607" spans="2:9" ht="14" thickBot="1" x14ac:dyDescent="0.2">
      <c r="B607" s="12" t="s">
        <v>27</v>
      </c>
      <c r="C607" s="12"/>
      <c r="D607" s="1"/>
      <c r="E607" s="1"/>
      <c r="F607" s="1"/>
      <c r="G607" s="1"/>
      <c r="H607" s="1"/>
      <c r="I607" s="1"/>
    </row>
    <row r="608" spans="2:9" x14ac:dyDescent="0.15">
      <c r="B608" s="628" t="s">
        <v>22</v>
      </c>
      <c r="C608" s="629"/>
      <c r="D608" s="630"/>
      <c r="E608" s="205" t="s">
        <v>28</v>
      </c>
      <c r="F608" s="205" t="s">
        <v>29</v>
      </c>
      <c r="G608" s="205" t="s">
        <v>30</v>
      </c>
      <c r="H608" s="204" t="s">
        <v>25</v>
      </c>
      <c r="I608" s="43"/>
    </row>
    <row r="609" spans="2:11" x14ac:dyDescent="0.15">
      <c r="B609" s="4" t="s">
        <v>66</v>
      </c>
      <c r="C609" s="24"/>
      <c r="D609" s="6"/>
      <c r="E609" s="3" t="s">
        <v>58</v>
      </c>
      <c r="F609" s="164">
        <f>'APU -BASICOS'!H204</f>
        <v>9182</v>
      </c>
      <c r="G609" s="73">
        <f>1.1*10</f>
        <v>11</v>
      </c>
      <c r="H609" s="163">
        <f>G609*F609</f>
        <v>101002</v>
      </c>
      <c r="I609" s="44"/>
    </row>
    <row r="610" spans="2:11" x14ac:dyDescent="0.15">
      <c r="B610" s="4" t="s">
        <v>63</v>
      </c>
      <c r="C610" s="24"/>
      <c r="D610" s="6"/>
      <c r="E610" s="3" t="s">
        <v>6</v>
      </c>
      <c r="F610" s="162">
        <f>'APU -BASICOS'!H96</f>
        <v>585821</v>
      </c>
      <c r="G610" s="65">
        <f>1*1*0.3</f>
        <v>0.3</v>
      </c>
      <c r="H610" s="163">
        <f>G610*F610</f>
        <v>175746.3</v>
      </c>
      <c r="I610" s="44"/>
    </row>
    <row r="611" spans="2:11" x14ac:dyDescent="0.15">
      <c r="B611" s="4"/>
      <c r="C611" s="24"/>
      <c r="D611" s="6"/>
      <c r="E611" s="3"/>
      <c r="F611" s="162"/>
      <c r="G611" s="65"/>
      <c r="H611" s="163"/>
      <c r="I611" s="44"/>
    </row>
    <row r="612" spans="2:11" ht="14" thickBot="1" x14ac:dyDescent="0.2">
      <c r="B612" s="25"/>
      <c r="C612" s="26"/>
      <c r="D612" s="27"/>
      <c r="E612" s="21"/>
      <c r="F612" s="22"/>
      <c r="G612" s="165"/>
      <c r="H612" s="47"/>
      <c r="I612" s="48"/>
    </row>
    <row r="613" spans="2:11" ht="14" thickBot="1" x14ac:dyDescent="0.2">
      <c r="B613" s="1"/>
      <c r="C613" s="1"/>
      <c r="D613" s="1"/>
      <c r="E613" s="1"/>
      <c r="F613" s="1"/>
      <c r="G613" s="1"/>
      <c r="H613" s="37" t="s">
        <v>26</v>
      </c>
      <c r="I613" s="161">
        <f>SUM(H609:H612)</f>
        <v>276748.3</v>
      </c>
    </row>
    <row r="614" spans="2:11" ht="14" thickBot="1" x14ac:dyDescent="0.2">
      <c r="B614" s="28" t="s">
        <v>31</v>
      </c>
      <c r="C614" s="28"/>
      <c r="D614" s="26"/>
      <c r="E614" s="1"/>
      <c r="F614" s="1"/>
      <c r="G614" s="1"/>
      <c r="H614" s="1"/>
      <c r="I614" s="1"/>
    </row>
    <row r="615" spans="2:11" x14ac:dyDescent="0.15">
      <c r="B615" s="51" t="s">
        <v>32</v>
      </c>
      <c r="C615" s="52"/>
      <c r="D615" s="291" t="s">
        <v>33</v>
      </c>
      <c r="E615" s="205" t="s">
        <v>34</v>
      </c>
      <c r="F615" s="205" t="s">
        <v>499</v>
      </c>
      <c r="G615" s="205" t="s">
        <v>36</v>
      </c>
      <c r="H615" s="59" t="s">
        <v>25</v>
      </c>
      <c r="I615" s="43"/>
    </row>
    <row r="616" spans="2:11" x14ac:dyDescent="0.15">
      <c r="B616" s="24"/>
      <c r="C616" s="6"/>
      <c r="D616" s="53"/>
      <c r="E616" s="2"/>
      <c r="F616" s="2"/>
      <c r="G616" s="60"/>
      <c r="H616" s="20"/>
      <c r="I616" s="44"/>
    </row>
    <row r="617" spans="2:11" x14ac:dyDescent="0.15">
      <c r="B617" s="310"/>
      <c r="C617" s="66"/>
      <c r="D617" s="67"/>
      <c r="E617" s="68"/>
      <c r="F617" s="68"/>
      <c r="G617" s="69"/>
      <c r="H617" s="65"/>
      <c r="I617" s="44"/>
    </row>
    <row r="618" spans="2:11" ht="14" thickBot="1" x14ac:dyDescent="0.2">
      <c r="B618" s="33"/>
      <c r="C618" s="54"/>
      <c r="D618" s="21"/>
      <c r="E618" s="22"/>
      <c r="F618" s="23"/>
      <c r="G618" s="47"/>
      <c r="H618" s="21"/>
      <c r="I618" s="44"/>
    </row>
    <row r="619" spans="2:11" ht="14" thickBot="1" x14ac:dyDescent="0.2">
      <c r="B619" s="1"/>
      <c r="C619" s="1"/>
      <c r="D619" s="1"/>
      <c r="E619" s="1"/>
      <c r="F619" s="1"/>
      <c r="G619" s="1"/>
      <c r="H619" s="37" t="s">
        <v>26</v>
      </c>
      <c r="I619" s="161">
        <f>SUM(H616:H618)</f>
        <v>0</v>
      </c>
    </row>
    <row r="620" spans="2:11" ht="14" thickBot="1" x14ac:dyDescent="0.2">
      <c r="B620" s="28" t="s">
        <v>37</v>
      </c>
      <c r="C620" s="28"/>
      <c r="D620" s="1"/>
      <c r="E620" s="1"/>
      <c r="F620" s="1"/>
      <c r="G620" s="1"/>
      <c r="H620" s="1"/>
      <c r="I620" s="1"/>
    </row>
    <row r="621" spans="2:11" x14ac:dyDescent="0.15">
      <c r="B621" s="51" t="s">
        <v>38</v>
      </c>
      <c r="C621" s="86"/>
      <c r="D621" s="31" t="s">
        <v>39</v>
      </c>
      <c r="E621" s="205" t="s">
        <v>40</v>
      </c>
      <c r="F621" s="19" t="s">
        <v>41</v>
      </c>
      <c r="G621" s="31" t="s">
        <v>24</v>
      </c>
      <c r="H621" s="204" t="s">
        <v>25</v>
      </c>
      <c r="I621" s="43"/>
    </row>
    <row r="622" spans="2:11" x14ac:dyDescent="0.15">
      <c r="B622" s="4" t="s">
        <v>65</v>
      </c>
      <c r="C622" s="24"/>
      <c r="D622" s="32">
        <f>'MANO DE OBRA'!E15</f>
        <v>95333</v>
      </c>
      <c r="E622" s="88">
        <v>1.75</v>
      </c>
      <c r="F622" s="162">
        <f>+E622*D622</f>
        <v>166832.75</v>
      </c>
      <c r="G622" s="20">
        <v>7</v>
      </c>
      <c r="H622" s="167">
        <f>+F622/G622</f>
        <v>23833.25</v>
      </c>
      <c r="I622" s="44"/>
    </row>
    <row r="623" spans="2:11" x14ac:dyDescent="0.15">
      <c r="B623" s="4" t="s">
        <v>94</v>
      </c>
      <c r="C623" s="24"/>
      <c r="D623" s="32">
        <f>'MANO DE OBRA'!E14*6</f>
        <v>312000</v>
      </c>
      <c r="E623" s="88">
        <v>1.75</v>
      </c>
      <c r="F623" s="162">
        <f>+E623*D623</f>
        <v>546000</v>
      </c>
      <c r="G623" s="20">
        <v>7</v>
      </c>
      <c r="H623" s="167">
        <f>+F623/G623</f>
        <v>78000</v>
      </c>
      <c r="I623" s="44"/>
    </row>
    <row r="624" spans="2:11" x14ac:dyDescent="0.15">
      <c r="B624" s="4"/>
      <c r="C624" s="24"/>
      <c r="D624" s="32"/>
      <c r="E624" s="166"/>
      <c r="F624" s="20"/>
      <c r="G624" s="20"/>
      <c r="H624" s="55"/>
      <c r="I624" s="44"/>
      <c r="K624" s="105"/>
    </row>
    <row r="625" spans="2:9" ht="14" thickBot="1" x14ac:dyDescent="0.2">
      <c r="B625" s="33"/>
      <c r="C625" s="34"/>
      <c r="D625" s="22"/>
      <c r="E625" s="21"/>
      <c r="F625" s="22"/>
      <c r="G625" s="23"/>
      <c r="H625" s="47"/>
      <c r="I625" s="48"/>
    </row>
    <row r="626" spans="2:9" ht="14" thickBot="1" x14ac:dyDescent="0.2">
      <c r="B626" s="1"/>
      <c r="C626" s="1"/>
      <c r="D626" s="1"/>
      <c r="E626" s="1"/>
      <c r="F626" s="1"/>
      <c r="G626" s="1"/>
      <c r="H626" s="37" t="s">
        <v>26</v>
      </c>
      <c r="I626" s="175">
        <f>SUM(H622:H625)</f>
        <v>101833.25</v>
      </c>
    </row>
    <row r="627" spans="2:9" ht="14" thickBot="1" x14ac:dyDescent="0.2">
      <c r="B627" s="1"/>
      <c r="C627" s="1"/>
      <c r="D627" s="1"/>
      <c r="E627" s="1"/>
      <c r="F627" s="1"/>
      <c r="G627" s="1"/>
      <c r="H627" s="61"/>
      <c r="I627" s="1"/>
    </row>
    <row r="628" spans="2:9" ht="15" thickBot="1" x14ac:dyDescent="0.2">
      <c r="B628" s="1"/>
      <c r="C628" s="1"/>
      <c r="D628" s="1"/>
      <c r="E628" s="1"/>
      <c r="F628" s="15" t="s">
        <v>182</v>
      </c>
      <c r="G628" s="16"/>
      <c r="H628" s="16"/>
      <c r="I628" s="222">
        <f>ROUND((I606+I613+I619+I626),0)</f>
        <v>383673</v>
      </c>
    </row>
    <row r="629" spans="2:9" x14ac:dyDescent="0.15">
      <c r="B629" s="1"/>
      <c r="C629" s="1"/>
      <c r="D629" s="1"/>
      <c r="E629" s="1"/>
      <c r="F629" s="1"/>
      <c r="G629" s="1"/>
      <c r="H629" s="61"/>
      <c r="I629" s="1"/>
    </row>
    <row r="630" spans="2:9" x14ac:dyDescent="0.15">
      <c r="B630" s="1"/>
      <c r="C630" s="1"/>
      <c r="D630" s="1"/>
      <c r="E630" s="1"/>
      <c r="F630" s="1"/>
      <c r="G630" s="1"/>
      <c r="H630" s="61"/>
      <c r="I630" s="1"/>
    </row>
    <row r="631" spans="2:9" x14ac:dyDescent="0.15">
      <c r="B631" s="1"/>
      <c r="C631" s="1"/>
      <c r="D631" s="1"/>
      <c r="E631" s="1"/>
      <c r="F631" s="1"/>
      <c r="G631" s="1"/>
      <c r="H631" s="61"/>
      <c r="I631" s="1"/>
    </row>
    <row r="632" spans="2:9" x14ac:dyDescent="0.15">
      <c r="B632" s="1"/>
      <c r="C632" s="1"/>
      <c r="D632" s="1"/>
      <c r="E632" s="1"/>
      <c r="F632" s="1"/>
      <c r="G632" s="1"/>
      <c r="H632" s="61"/>
      <c r="I632" s="1"/>
    </row>
    <row r="633" spans="2:9" x14ac:dyDescent="0.15">
      <c r="B633" s="1"/>
      <c r="C633" s="1"/>
      <c r="D633" s="1"/>
      <c r="E633" s="1"/>
      <c r="F633" s="1"/>
      <c r="G633" s="1"/>
      <c r="H633" s="61"/>
      <c r="I633" s="1"/>
    </row>
    <row r="634" spans="2:9" x14ac:dyDescent="0.15">
      <c r="B634" s="1"/>
      <c r="C634" s="1"/>
      <c r="D634" s="1"/>
      <c r="E634" s="1"/>
      <c r="F634" s="1"/>
      <c r="G634" s="1"/>
      <c r="H634" s="61"/>
      <c r="I634" s="1"/>
    </row>
    <row r="635" spans="2:9" x14ac:dyDescent="0.15">
      <c r="B635" s="1"/>
      <c r="C635" s="1"/>
      <c r="D635" s="1"/>
      <c r="E635" s="1"/>
      <c r="F635" s="1"/>
      <c r="G635" s="1"/>
      <c r="H635" s="61"/>
      <c r="I635" s="1"/>
    </row>
    <row r="636" spans="2:9" x14ac:dyDescent="0.15">
      <c r="B636" s="1"/>
      <c r="C636" s="1"/>
      <c r="D636" s="1"/>
      <c r="E636" s="1"/>
      <c r="F636" s="1"/>
      <c r="G636" s="1"/>
      <c r="H636" s="61"/>
      <c r="I636" s="1"/>
    </row>
    <row r="637" spans="2:9" x14ac:dyDescent="0.15">
      <c r="B637" s="11"/>
      <c r="C637" s="11"/>
      <c r="D637" s="1"/>
      <c r="E637" s="153"/>
      <c r="F637" s="153"/>
      <c r="G637" s="153"/>
      <c r="H637" s="153"/>
      <c r="I637" s="169"/>
    </row>
    <row r="638" spans="2:9" x14ac:dyDescent="0.15">
      <c r="B638" s="11"/>
      <c r="C638" s="11"/>
      <c r="D638" s="1"/>
      <c r="E638" s="153"/>
      <c r="F638" s="153"/>
      <c r="G638" s="153"/>
      <c r="H638" s="153"/>
      <c r="I638" s="169"/>
    </row>
    <row r="639" spans="2:9" x14ac:dyDescent="0.15">
      <c r="B639" s="11"/>
      <c r="C639" s="11"/>
      <c r="D639" s="1"/>
      <c r="E639" s="153"/>
      <c r="F639" s="153"/>
      <c r="G639" s="153"/>
      <c r="H639" s="153"/>
      <c r="I639" s="169"/>
    </row>
    <row r="640" spans="2:9" x14ac:dyDescent="0.15">
      <c r="B640" s="11"/>
      <c r="C640" s="11"/>
      <c r="D640" s="1"/>
      <c r="E640" s="153"/>
      <c r="F640" s="153"/>
      <c r="G640" s="153"/>
      <c r="H640" s="153"/>
      <c r="I640" s="169"/>
    </row>
    <row r="641" spans="2:9" x14ac:dyDescent="0.15">
      <c r="B641" s="11"/>
      <c r="C641" s="11"/>
      <c r="D641" s="1"/>
      <c r="E641" s="153"/>
      <c r="F641" s="153"/>
      <c r="G641" s="153"/>
      <c r="H641" s="153"/>
      <c r="I641" s="169"/>
    </row>
    <row r="642" spans="2:9" x14ac:dyDescent="0.15">
      <c r="B642" s="11"/>
      <c r="C642" s="11"/>
      <c r="D642" s="1"/>
      <c r="E642" s="153"/>
      <c r="F642" s="153"/>
      <c r="G642" s="153"/>
      <c r="H642" s="153"/>
      <c r="I642" s="169"/>
    </row>
    <row r="643" spans="2:9" ht="14" x14ac:dyDescent="0.15">
      <c r="B643" s="83"/>
      <c r="C643" s="11"/>
      <c r="D643" s="1"/>
      <c r="E643" s="637"/>
      <c r="F643" s="637"/>
      <c r="G643" s="637"/>
      <c r="H643" s="637"/>
      <c r="I643" s="169"/>
    </row>
    <row r="644" spans="2:9" ht="14" x14ac:dyDescent="0.15">
      <c r="B644" s="101"/>
      <c r="C644" s="11"/>
      <c r="D644" s="1"/>
      <c r="E644" s="153"/>
      <c r="F644" s="153"/>
      <c r="G644" s="153"/>
      <c r="H644" s="153"/>
      <c r="I644" s="169"/>
    </row>
    <row r="645" spans="2:9" ht="14" x14ac:dyDescent="0.15">
      <c r="B645" s="83"/>
      <c r="C645" s="11"/>
      <c r="D645" s="1"/>
      <c r="E645" s="153"/>
      <c r="F645" s="153"/>
      <c r="G645" s="153"/>
      <c r="H645" s="153"/>
      <c r="I645" s="169"/>
    </row>
    <row r="646" spans="2:9" x14ac:dyDescent="0.15">
      <c r="B646" s="11"/>
      <c r="C646" s="11"/>
      <c r="D646" s="1"/>
      <c r="E646" s="153"/>
      <c r="F646" s="153"/>
      <c r="G646" s="153"/>
      <c r="H646" s="153"/>
      <c r="I646" s="169"/>
    </row>
    <row r="647" spans="2:9" x14ac:dyDescent="0.15">
      <c r="B647" s="11"/>
      <c r="C647" s="11"/>
      <c r="D647" s="1"/>
      <c r="E647" s="153"/>
      <c r="F647" s="153"/>
      <c r="G647" s="153"/>
      <c r="H647" s="153"/>
      <c r="I647" s="169"/>
    </row>
    <row r="648" spans="2:9" x14ac:dyDescent="0.15">
      <c r="B648" s="11"/>
      <c r="C648" s="11"/>
      <c r="D648" s="1"/>
      <c r="E648" s="153"/>
      <c r="F648" s="153"/>
      <c r="G648" s="153"/>
      <c r="H648" s="153"/>
      <c r="I648" s="169"/>
    </row>
    <row r="649" spans="2:9" x14ac:dyDescent="0.15">
      <c r="B649" s="11"/>
      <c r="C649" s="11"/>
      <c r="D649" s="1"/>
      <c r="E649" s="153"/>
      <c r="F649" s="153"/>
      <c r="G649" s="153"/>
      <c r="H649" s="153"/>
      <c r="I649" s="169"/>
    </row>
    <row r="650" spans="2:9" x14ac:dyDescent="0.15">
      <c r="B650" s="11"/>
      <c r="C650" s="11"/>
      <c r="D650" s="1"/>
      <c r="E650" s="153"/>
      <c r="F650" s="153"/>
      <c r="G650" s="153"/>
      <c r="H650" s="153"/>
      <c r="I650" s="169"/>
    </row>
    <row r="651" spans="2:9" ht="14" thickBot="1" x14ac:dyDescent="0.2"/>
    <row r="652" spans="2:9" ht="21" customHeight="1" x14ac:dyDescent="0.15">
      <c r="B652" s="607" t="s">
        <v>1065</v>
      </c>
      <c r="C652" s="608"/>
      <c r="D652" s="608"/>
      <c r="E652" s="608"/>
      <c r="F652" s="609"/>
      <c r="G652" s="1"/>
      <c r="H652" s="638" t="s">
        <v>20</v>
      </c>
      <c r="I652" s="639"/>
    </row>
    <row r="653" spans="2:9" ht="16.5" customHeight="1" x14ac:dyDescent="0.15">
      <c r="B653" s="604" t="s">
        <v>446</v>
      </c>
      <c r="C653" s="605"/>
      <c r="D653" s="605"/>
      <c r="E653" s="605"/>
      <c r="F653" s="606"/>
      <c r="G653" s="63"/>
      <c r="H653" s="640"/>
      <c r="I653" s="641"/>
    </row>
    <row r="654" spans="2:9" ht="12.75" customHeight="1" x14ac:dyDescent="0.15">
      <c r="B654" s="610" t="s">
        <v>447</v>
      </c>
      <c r="C654" s="611"/>
      <c r="D654" s="611"/>
      <c r="E654" s="611"/>
      <c r="F654" s="612"/>
      <c r="G654" s="63"/>
      <c r="H654" s="642"/>
      <c r="I654" s="643"/>
    </row>
    <row r="655" spans="2:9" ht="16.5" customHeight="1" thickBot="1" x14ac:dyDescent="0.2">
      <c r="B655" s="613"/>
      <c r="C655" s="614"/>
      <c r="D655" s="614"/>
      <c r="E655" s="614"/>
      <c r="F655" s="615"/>
      <c r="G655" s="1"/>
      <c r="H655" s="662" t="s">
        <v>884</v>
      </c>
      <c r="I655" s="663"/>
    </row>
    <row r="656" spans="2:9" ht="14" thickBot="1" x14ac:dyDescent="0.2">
      <c r="B656" s="15"/>
      <c r="C656" s="16"/>
      <c r="D656" s="1"/>
      <c r="E656" s="1"/>
      <c r="F656" s="1"/>
      <c r="G656" s="1"/>
      <c r="H656" s="664"/>
      <c r="I656" s="665"/>
    </row>
    <row r="657" spans="2:9" ht="12.75" customHeight="1" x14ac:dyDescent="0.15">
      <c r="B657" s="650" t="s">
        <v>890</v>
      </c>
      <c r="C657" s="651"/>
      <c r="D657" s="651"/>
      <c r="E657" s="651"/>
      <c r="F657" s="652"/>
      <c r="G657" s="1"/>
      <c r="H657" s="664"/>
      <c r="I657" s="665"/>
    </row>
    <row r="658" spans="2:9" ht="39" customHeight="1" x14ac:dyDescent="0.15">
      <c r="B658" s="653"/>
      <c r="C658" s="654"/>
      <c r="D658" s="654"/>
      <c r="E658" s="654"/>
      <c r="F658" s="655"/>
      <c r="H658" s="664"/>
      <c r="I658" s="665"/>
    </row>
    <row r="659" spans="2:9" ht="13.5" customHeight="1" x14ac:dyDescent="0.15">
      <c r="B659" s="653"/>
      <c r="C659" s="654"/>
      <c r="D659" s="654"/>
      <c r="E659" s="654"/>
      <c r="F659" s="655"/>
      <c r="G659" s="11"/>
      <c r="H659" s="666"/>
      <c r="I659" s="667"/>
    </row>
    <row r="660" spans="2:9" ht="21.75" customHeight="1" thickBot="1" x14ac:dyDescent="0.2">
      <c r="B660" s="656"/>
      <c r="C660" s="657"/>
      <c r="D660" s="657"/>
      <c r="E660" s="657"/>
      <c r="F660" s="658"/>
      <c r="H660" s="64" t="s">
        <v>45</v>
      </c>
      <c r="I660" s="17" t="s">
        <v>426</v>
      </c>
    </row>
    <row r="661" spans="2:9" x14ac:dyDescent="0.15">
      <c r="B661" s="18"/>
      <c r="C661" s="18"/>
      <c r="D661" s="1"/>
      <c r="E661" s="18"/>
      <c r="F661" s="18"/>
      <c r="G661" s="18"/>
      <c r="H661" s="18"/>
      <c r="I661" s="1"/>
    </row>
    <row r="662" spans="2:9" ht="14" thickBot="1" x14ac:dyDescent="0.2">
      <c r="B662" s="12" t="s">
        <v>21</v>
      </c>
      <c r="C662" s="12"/>
      <c r="D662" s="1"/>
      <c r="E662" s="1"/>
      <c r="F662" s="1"/>
      <c r="G662" s="1"/>
      <c r="H662" s="1"/>
      <c r="I662" s="1"/>
    </row>
    <row r="663" spans="2:9" x14ac:dyDescent="0.15">
      <c r="B663" s="628" t="s">
        <v>22</v>
      </c>
      <c r="C663" s="629"/>
      <c r="D663" s="630"/>
      <c r="E663" s="205" t="s">
        <v>23</v>
      </c>
      <c r="F663" s="19" t="s">
        <v>47</v>
      </c>
      <c r="G663" s="205" t="s">
        <v>24</v>
      </c>
      <c r="H663" s="204" t="s">
        <v>25</v>
      </c>
      <c r="I663" s="43"/>
    </row>
    <row r="664" spans="2:9" x14ac:dyDescent="0.15">
      <c r="B664" s="631" t="s">
        <v>56</v>
      </c>
      <c r="C664" s="632"/>
      <c r="D664" s="633"/>
      <c r="E664" s="5"/>
      <c r="F664" s="160"/>
      <c r="G664" s="58"/>
      <c r="H664" s="160">
        <f>I687*0.05</f>
        <v>3564.1637499999997</v>
      </c>
      <c r="I664" s="44"/>
    </row>
    <row r="665" spans="2:9" x14ac:dyDescent="0.15">
      <c r="B665" s="631"/>
      <c r="C665" s="632"/>
      <c r="D665" s="633"/>
      <c r="E665" s="5"/>
      <c r="F665" s="46"/>
      <c r="G665" s="20"/>
      <c r="H665" s="56"/>
      <c r="I665" s="44"/>
    </row>
    <row r="666" spans="2:9" ht="14" thickBot="1" x14ac:dyDescent="0.2">
      <c r="B666" s="634"/>
      <c r="C666" s="635"/>
      <c r="D666" s="636"/>
      <c r="E666" s="21"/>
      <c r="F666" s="22"/>
      <c r="G666" s="23"/>
      <c r="H666" s="47"/>
      <c r="I666" s="48"/>
    </row>
    <row r="667" spans="2:9" ht="14" thickBot="1" x14ac:dyDescent="0.2">
      <c r="B667" s="1"/>
      <c r="C667" s="1"/>
      <c r="D667" s="1"/>
      <c r="E667" s="1"/>
      <c r="F667" s="1"/>
      <c r="G667" s="1"/>
      <c r="H667" s="37" t="s">
        <v>26</v>
      </c>
      <c r="I667" s="161">
        <f>SUM(H664:H666)</f>
        <v>3564.1637499999997</v>
      </c>
    </row>
    <row r="668" spans="2:9" ht="14" thickBot="1" x14ac:dyDescent="0.2">
      <c r="B668" s="12" t="s">
        <v>27</v>
      </c>
      <c r="C668" s="12"/>
      <c r="D668" s="1"/>
      <c r="E668" s="1"/>
      <c r="F668" s="1"/>
      <c r="G668" s="1"/>
      <c r="H668" s="1"/>
      <c r="I668" s="1"/>
    </row>
    <row r="669" spans="2:9" x14ac:dyDescent="0.15">
      <c r="B669" s="628" t="s">
        <v>22</v>
      </c>
      <c r="C669" s="629"/>
      <c r="D669" s="630"/>
      <c r="E669" s="205" t="s">
        <v>28</v>
      </c>
      <c r="F669" s="205" t="s">
        <v>29</v>
      </c>
      <c r="G669" s="205" t="s">
        <v>30</v>
      </c>
      <c r="H669" s="204" t="s">
        <v>25</v>
      </c>
      <c r="I669" s="43"/>
    </row>
    <row r="670" spans="2:9" x14ac:dyDescent="0.15">
      <c r="B670" s="4" t="s">
        <v>66</v>
      </c>
      <c r="C670" s="24"/>
      <c r="D670" s="6"/>
      <c r="E670" s="3" t="s">
        <v>58</v>
      </c>
      <c r="F670" s="164">
        <f>'APU -BASICOS'!H204</f>
        <v>9182</v>
      </c>
      <c r="G670" s="73">
        <f>0.7*8</f>
        <v>5.6</v>
      </c>
      <c r="H670" s="163">
        <f>G670*F670</f>
        <v>51419.199999999997</v>
      </c>
      <c r="I670" s="44"/>
    </row>
    <row r="671" spans="2:9" x14ac:dyDescent="0.15">
      <c r="B671" s="4" t="s">
        <v>63</v>
      </c>
      <c r="C671" s="24"/>
      <c r="D671" s="6"/>
      <c r="E671" s="3" t="s">
        <v>6</v>
      </c>
      <c r="F671" s="162">
        <f>'APU -BASICOS'!H96</f>
        <v>585821</v>
      </c>
      <c r="G671" s="65">
        <f>0.6*0.6*0.25</f>
        <v>0.09</v>
      </c>
      <c r="H671" s="163">
        <f>G671*F671</f>
        <v>52723.89</v>
      </c>
      <c r="I671" s="44"/>
    </row>
    <row r="672" spans="2:9" x14ac:dyDescent="0.15">
      <c r="B672" s="4"/>
      <c r="C672" s="24"/>
      <c r="D672" s="6"/>
      <c r="E672" s="3"/>
      <c r="F672" s="162"/>
      <c r="G672" s="65"/>
      <c r="H672" s="163"/>
      <c r="I672" s="44"/>
    </row>
    <row r="673" spans="2:11" ht="14" thickBot="1" x14ac:dyDescent="0.2">
      <c r="B673" s="25"/>
      <c r="C673" s="26"/>
      <c r="D673" s="27"/>
      <c r="E673" s="21"/>
      <c r="F673" s="22"/>
      <c r="G673" s="165"/>
      <c r="H673" s="47"/>
      <c r="I673" s="48"/>
    </row>
    <row r="674" spans="2:11" ht="14" thickBot="1" x14ac:dyDescent="0.2">
      <c r="B674" s="1"/>
      <c r="C674" s="1"/>
      <c r="D674" s="1"/>
      <c r="E674" s="1"/>
      <c r="F674" s="1"/>
      <c r="G674" s="1"/>
      <c r="H674" s="37" t="s">
        <v>26</v>
      </c>
      <c r="I674" s="161">
        <f>SUM(H670:H673)</f>
        <v>104143.09</v>
      </c>
    </row>
    <row r="675" spans="2:11" ht="14" thickBot="1" x14ac:dyDescent="0.2">
      <c r="B675" s="28" t="s">
        <v>31</v>
      </c>
      <c r="C675" s="28"/>
      <c r="D675" s="26"/>
      <c r="E675" s="1"/>
      <c r="F675" s="1"/>
      <c r="G675" s="1"/>
      <c r="H675" s="1"/>
      <c r="I675" s="1"/>
    </row>
    <row r="676" spans="2:11" x14ac:dyDescent="0.15">
      <c r="B676" s="51" t="s">
        <v>32</v>
      </c>
      <c r="C676" s="52"/>
      <c r="D676" s="291" t="s">
        <v>33</v>
      </c>
      <c r="E676" s="205" t="s">
        <v>34</v>
      </c>
      <c r="F676" s="205" t="s">
        <v>499</v>
      </c>
      <c r="G676" s="205" t="s">
        <v>36</v>
      </c>
      <c r="H676" s="59" t="s">
        <v>25</v>
      </c>
      <c r="I676" s="43"/>
    </row>
    <row r="677" spans="2:11" x14ac:dyDescent="0.15">
      <c r="B677" s="24"/>
      <c r="C677" s="6"/>
      <c r="D677" s="53"/>
      <c r="E677" s="2"/>
      <c r="F677" s="2"/>
      <c r="G677" s="60"/>
      <c r="H677" s="20"/>
      <c r="I677" s="44"/>
      <c r="K677" s="105"/>
    </row>
    <row r="678" spans="2:11" x14ac:dyDescent="0.15">
      <c r="B678" s="310"/>
      <c r="C678" s="66"/>
      <c r="D678" s="67"/>
      <c r="E678" s="68"/>
      <c r="F678" s="68"/>
      <c r="G678" s="69"/>
      <c r="H678" s="65"/>
      <c r="I678" s="44"/>
    </row>
    <row r="679" spans="2:11" ht="14" thickBot="1" x14ac:dyDescent="0.2">
      <c r="B679" s="33"/>
      <c r="C679" s="54"/>
      <c r="D679" s="21"/>
      <c r="E679" s="22"/>
      <c r="F679" s="23"/>
      <c r="G679" s="47"/>
      <c r="H679" s="21"/>
      <c r="I679" s="44"/>
    </row>
    <row r="680" spans="2:11" ht="14" thickBot="1" x14ac:dyDescent="0.2">
      <c r="B680" s="1"/>
      <c r="C680" s="1"/>
      <c r="D680" s="1"/>
      <c r="E680" s="1"/>
      <c r="F680" s="1"/>
      <c r="G680" s="1"/>
      <c r="H680" s="37" t="s">
        <v>26</v>
      </c>
      <c r="I680" s="161">
        <f>SUM(H677:H679)</f>
        <v>0</v>
      </c>
    </row>
    <row r="681" spans="2:11" ht="14" thickBot="1" x14ac:dyDescent="0.2">
      <c r="B681" s="28" t="s">
        <v>37</v>
      </c>
      <c r="C681" s="28"/>
      <c r="D681" s="1"/>
      <c r="E681" s="1"/>
      <c r="F681" s="1"/>
      <c r="G681" s="1"/>
      <c r="H681" s="1"/>
      <c r="I681" s="1"/>
    </row>
    <row r="682" spans="2:11" x14ac:dyDescent="0.15">
      <c r="B682" s="51" t="s">
        <v>38</v>
      </c>
      <c r="C682" s="86"/>
      <c r="D682" s="31" t="s">
        <v>39</v>
      </c>
      <c r="E682" s="205" t="s">
        <v>40</v>
      </c>
      <c r="F682" s="19" t="s">
        <v>41</v>
      </c>
      <c r="G682" s="31" t="s">
        <v>24</v>
      </c>
      <c r="H682" s="204" t="s">
        <v>25</v>
      </c>
      <c r="I682" s="43"/>
    </row>
    <row r="683" spans="2:11" x14ac:dyDescent="0.15">
      <c r="B683" s="4" t="s">
        <v>65</v>
      </c>
      <c r="C683" s="24"/>
      <c r="D683" s="32">
        <f>'MANO DE OBRA'!E15</f>
        <v>95333</v>
      </c>
      <c r="E683" s="88">
        <v>1.75</v>
      </c>
      <c r="F683" s="162">
        <f>+E683*D683</f>
        <v>166832.75</v>
      </c>
      <c r="G683" s="20">
        <v>10</v>
      </c>
      <c r="H683" s="167">
        <f>+F683/G683</f>
        <v>16683.275000000001</v>
      </c>
      <c r="I683" s="44"/>
    </row>
    <row r="684" spans="2:11" x14ac:dyDescent="0.15">
      <c r="B684" s="4" t="s">
        <v>94</v>
      </c>
      <c r="C684" s="24"/>
      <c r="D684" s="32">
        <f>'MANO DE OBRA'!E14*6</f>
        <v>312000</v>
      </c>
      <c r="E684" s="88">
        <v>1.75</v>
      </c>
      <c r="F684" s="162">
        <f>+E684*D684</f>
        <v>546000</v>
      </c>
      <c r="G684" s="20">
        <v>10</v>
      </c>
      <c r="H684" s="167">
        <f>+F684/G684</f>
        <v>54600</v>
      </c>
      <c r="I684" s="44"/>
    </row>
    <row r="685" spans="2:11" x14ac:dyDescent="0.15">
      <c r="B685" s="4"/>
      <c r="C685" s="24"/>
      <c r="D685" s="32"/>
      <c r="E685" s="166"/>
      <c r="F685" s="20"/>
      <c r="G685" s="20"/>
      <c r="H685" s="55"/>
      <c r="I685" s="44"/>
    </row>
    <row r="686" spans="2:11" ht="14" thickBot="1" x14ac:dyDescent="0.2">
      <c r="B686" s="33"/>
      <c r="C686" s="34"/>
      <c r="D686" s="22"/>
      <c r="E686" s="21"/>
      <c r="F686" s="22"/>
      <c r="G686" s="23"/>
      <c r="H686" s="47"/>
      <c r="I686" s="48"/>
    </row>
    <row r="687" spans="2:11" ht="14" thickBot="1" x14ac:dyDescent="0.2">
      <c r="B687" s="1"/>
      <c r="C687" s="1"/>
      <c r="D687" s="1"/>
      <c r="E687" s="1"/>
      <c r="F687" s="1"/>
      <c r="G687" s="1"/>
      <c r="H687" s="37" t="s">
        <v>26</v>
      </c>
      <c r="I687" s="175">
        <f>SUM(H683:H686)</f>
        <v>71283.274999999994</v>
      </c>
    </row>
    <row r="688" spans="2:11" ht="14" thickBot="1" x14ac:dyDescent="0.2">
      <c r="B688" s="1"/>
      <c r="C688" s="1"/>
      <c r="D688" s="1"/>
      <c r="E688" s="1"/>
      <c r="F688" s="1"/>
      <c r="G688" s="1"/>
      <c r="H688" s="61"/>
      <c r="I688" s="1"/>
    </row>
    <row r="689" spans="2:9" ht="15" thickBot="1" x14ac:dyDescent="0.2">
      <c r="B689" s="1"/>
      <c r="C689" s="1"/>
      <c r="D689" s="1"/>
      <c r="E689" s="1"/>
      <c r="F689" s="15" t="s">
        <v>182</v>
      </c>
      <c r="G689" s="16"/>
      <c r="H689" s="16"/>
      <c r="I689" s="222">
        <f>ROUND((I667+I674+I680+I687),0)</f>
        <v>178991</v>
      </c>
    </row>
    <row r="690" spans="2:9" x14ac:dyDescent="0.15">
      <c r="B690" s="1"/>
      <c r="C690" s="1"/>
      <c r="D690" s="1"/>
      <c r="E690" s="1"/>
      <c r="F690" s="1"/>
      <c r="G690" s="1"/>
      <c r="H690" s="61"/>
      <c r="I690" s="1"/>
    </row>
    <row r="691" spans="2:9" x14ac:dyDescent="0.15">
      <c r="B691" s="1"/>
      <c r="C691" s="1"/>
      <c r="D691" s="1"/>
      <c r="E691" s="1"/>
      <c r="F691" s="1"/>
      <c r="G691" s="1"/>
      <c r="H691" s="61"/>
      <c r="I691" s="1"/>
    </row>
    <row r="692" spans="2:9" x14ac:dyDescent="0.15">
      <c r="B692" s="1"/>
      <c r="C692" s="1"/>
      <c r="D692" s="1"/>
      <c r="E692" s="1"/>
      <c r="F692" s="1"/>
      <c r="G692" s="1"/>
      <c r="H692" s="61"/>
      <c r="I692" s="1"/>
    </row>
    <row r="693" spans="2:9" x14ac:dyDescent="0.15">
      <c r="B693" s="1"/>
      <c r="C693" s="1"/>
      <c r="D693" s="1"/>
      <c r="E693" s="1"/>
      <c r="F693" s="1"/>
      <c r="G693" s="1"/>
      <c r="H693" s="61"/>
      <c r="I693" s="1"/>
    </row>
    <row r="694" spans="2:9" x14ac:dyDescent="0.15">
      <c r="B694" s="1"/>
      <c r="C694" s="1"/>
      <c r="D694" s="1"/>
      <c r="E694" s="1"/>
      <c r="F694" s="1"/>
      <c r="G694" s="1"/>
      <c r="H694" s="61"/>
      <c r="I694" s="1"/>
    </row>
    <row r="695" spans="2:9" x14ac:dyDescent="0.15">
      <c r="B695" s="1"/>
      <c r="C695" s="1"/>
      <c r="D695" s="1"/>
      <c r="E695" s="1"/>
      <c r="F695" s="1"/>
      <c r="G695" s="1"/>
      <c r="H695" s="61"/>
      <c r="I695" s="1"/>
    </row>
    <row r="696" spans="2:9" x14ac:dyDescent="0.15">
      <c r="B696" s="1"/>
      <c r="C696" s="1"/>
      <c r="D696" s="1"/>
      <c r="E696" s="1"/>
      <c r="F696" s="1"/>
      <c r="G696" s="1"/>
      <c r="H696" s="61"/>
      <c r="I696" s="1"/>
    </row>
    <row r="697" spans="2:9" x14ac:dyDescent="0.15">
      <c r="B697" s="1"/>
      <c r="C697" s="1"/>
      <c r="D697" s="1"/>
      <c r="E697" s="1"/>
      <c r="F697" s="1"/>
      <c r="G697" s="1"/>
      <c r="H697" s="61"/>
      <c r="I697" s="1"/>
    </row>
    <row r="698" spans="2:9" x14ac:dyDescent="0.15">
      <c r="B698" s="1"/>
      <c r="C698" s="1"/>
      <c r="D698" s="1"/>
      <c r="E698" s="1"/>
      <c r="F698" s="1"/>
      <c r="G698" s="1"/>
      <c r="H698" s="61"/>
      <c r="I698" s="1"/>
    </row>
    <row r="699" spans="2:9" x14ac:dyDescent="0.15">
      <c r="B699" s="1"/>
      <c r="C699" s="1"/>
      <c r="D699" s="1"/>
      <c r="E699" s="1"/>
      <c r="F699" s="1"/>
      <c r="G699" s="1"/>
      <c r="H699" s="61"/>
      <c r="I699" s="1"/>
    </row>
    <row r="700" spans="2:9" x14ac:dyDescent="0.15">
      <c r="B700" s="1"/>
      <c r="C700" s="1"/>
      <c r="D700" s="1"/>
      <c r="E700" s="1"/>
      <c r="F700" s="1"/>
      <c r="G700" s="1"/>
      <c r="H700" s="61"/>
      <c r="I700" s="1"/>
    </row>
    <row r="701" spans="2:9" x14ac:dyDescent="0.15">
      <c r="B701" s="1"/>
      <c r="C701" s="1"/>
      <c r="D701" s="1"/>
      <c r="E701" s="1"/>
      <c r="F701" s="1"/>
      <c r="G701" s="1"/>
      <c r="H701" s="61"/>
      <c r="I701" s="1"/>
    </row>
    <row r="702" spans="2:9" x14ac:dyDescent="0.15">
      <c r="B702" s="1"/>
      <c r="C702" s="1"/>
      <c r="D702" s="1"/>
      <c r="E702" s="1"/>
      <c r="F702" s="1"/>
      <c r="G702" s="1"/>
      <c r="H702" s="61"/>
      <c r="I702" s="1"/>
    </row>
    <row r="703" spans="2:9" x14ac:dyDescent="0.15">
      <c r="B703" s="11"/>
      <c r="C703" s="11"/>
      <c r="D703" s="1"/>
      <c r="E703" s="153"/>
      <c r="F703" s="153"/>
      <c r="G703" s="153"/>
      <c r="H703" s="153"/>
      <c r="I703" s="169"/>
    </row>
    <row r="704" spans="2:9" x14ac:dyDescent="0.15">
      <c r="B704" s="11"/>
      <c r="C704" s="11"/>
      <c r="D704" s="1"/>
      <c r="E704" s="153"/>
      <c r="F704" s="153"/>
      <c r="G704" s="153"/>
      <c r="H704" s="153"/>
      <c r="I704" s="169"/>
    </row>
    <row r="705" spans="2:9" ht="14" x14ac:dyDescent="0.15">
      <c r="B705" s="83"/>
      <c r="C705" s="11"/>
      <c r="D705" s="1"/>
      <c r="E705" s="637"/>
      <c r="F705" s="637"/>
      <c r="G705" s="637"/>
      <c r="H705" s="637"/>
      <c r="I705" s="169"/>
    </row>
    <row r="706" spans="2:9" ht="14" x14ac:dyDescent="0.15">
      <c r="B706" s="101"/>
      <c r="C706" s="11"/>
      <c r="D706" s="1"/>
      <c r="E706" s="153"/>
      <c r="F706" s="153"/>
      <c r="G706" s="153"/>
      <c r="H706" s="153"/>
      <c r="I706" s="169"/>
    </row>
    <row r="707" spans="2:9" ht="14" x14ac:dyDescent="0.15">
      <c r="B707" s="83"/>
      <c r="C707" s="11"/>
      <c r="D707" s="1"/>
      <c r="E707" s="153"/>
      <c r="F707" s="153"/>
      <c r="G707" s="153"/>
      <c r="H707" s="153"/>
      <c r="I707" s="169"/>
    </row>
    <row r="708" spans="2:9" x14ac:dyDescent="0.15">
      <c r="B708" s="11"/>
      <c r="C708" s="11"/>
      <c r="D708" s="1"/>
      <c r="E708" s="153"/>
      <c r="F708" s="153"/>
      <c r="G708" s="153"/>
      <c r="H708" s="153"/>
      <c r="I708" s="169"/>
    </row>
    <row r="709" spans="2:9" x14ac:dyDescent="0.15">
      <c r="B709" s="11"/>
      <c r="C709" s="11"/>
      <c r="D709" s="1"/>
      <c r="E709" s="153"/>
      <c r="F709" s="153"/>
      <c r="G709" s="153"/>
      <c r="H709" s="153"/>
      <c r="I709" s="169"/>
    </row>
    <row r="710" spans="2:9" x14ac:dyDescent="0.15">
      <c r="B710" s="11"/>
      <c r="C710" s="11"/>
      <c r="D710" s="1"/>
      <c r="E710" s="153"/>
      <c r="F710" s="153"/>
      <c r="G710" s="153"/>
      <c r="H710" s="153"/>
      <c r="I710" s="169"/>
    </row>
    <row r="711" spans="2:9" ht="14" thickBot="1" x14ac:dyDescent="0.2">
      <c r="B711" s="11"/>
      <c r="C711" s="11"/>
      <c r="D711" s="1"/>
      <c r="E711" s="153"/>
      <c r="F711" s="153"/>
      <c r="G711" s="153"/>
      <c r="H711" s="153"/>
      <c r="I711" s="169"/>
    </row>
    <row r="712" spans="2:9" ht="21" customHeight="1" x14ac:dyDescent="0.15">
      <c r="B712" s="607" t="s">
        <v>1065</v>
      </c>
      <c r="C712" s="608"/>
      <c r="D712" s="608"/>
      <c r="E712" s="608"/>
      <c r="F712" s="609"/>
      <c r="G712" s="1"/>
      <c r="H712" s="638" t="s">
        <v>20</v>
      </c>
      <c r="I712" s="639"/>
    </row>
    <row r="713" spans="2:9" ht="16.5" customHeight="1" x14ac:dyDescent="0.15">
      <c r="B713" s="604" t="s">
        <v>446</v>
      </c>
      <c r="C713" s="605"/>
      <c r="D713" s="605"/>
      <c r="E713" s="605"/>
      <c r="F713" s="606"/>
      <c r="G713" s="63"/>
      <c r="H713" s="640"/>
      <c r="I713" s="641"/>
    </row>
    <row r="714" spans="2:9" ht="12.75" customHeight="1" x14ac:dyDescent="0.15">
      <c r="B714" s="610" t="s">
        <v>447</v>
      </c>
      <c r="C714" s="611"/>
      <c r="D714" s="611"/>
      <c r="E714" s="611"/>
      <c r="F714" s="612"/>
      <c r="G714" s="63"/>
      <c r="H714" s="642"/>
      <c r="I714" s="643"/>
    </row>
    <row r="715" spans="2:9" ht="16.5" customHeight="1" thickBot="1" x14ac:dyDescent="0.2">
      <c r="B715" s="613"/>
      <c r="C715" s="614"/>
      <c r="D715" s="614"/>
      <c r="E715" s="614"/>
      <c r="F715" s="615"/>
      <c r="G715" s="1"/>
      <c r="H715" s="662" t="s">
        <v>887</v>
      </c>
      <c r="I715" s="663"/>
    </row>
    <row r="716" spans="2:9" ht="14" thickBot="1" x14ac:dyDescent="0.2">
      <c r="B716" s="15"/>
      <c r="C716" s="16"/>
      <c r="D716" s="1"/>
      <c r="E716" s="1"/>
      <c r="F716" s="1"/>
      <c r="G716" s="1"/>
      <c r="H716" s="664"/>
      <c r="I716" s="665"/>
    </row>
    <row r="717" spans="2:9" ht="12.75" customHeight="1" x14ac:dyDescent="0.15">
      <c r="B717" s="650" t="s">
        <v>890</v>
      </c>
      <c r="C717" s="651"/>
      <c r="D717" s="651"/>
      <c r="E717" s="651"/>
      <c r="F717" s="652"/>
      <c r="G717" s="1"/>
      <c r="H717" s="664"/>
      <c r="I717" s="665"/>
    </row>
    <row r="718" spans="2:9" ht="12.75" customHeight="1" x14ac:dyDescent="0.15">
      <c r="B718" s="653"/>
      <c r="C718" s="654"/>
      <c r="D718" s="654"/>
      <c r="E718" s="654"/>
      <c r="F718" s="655"/>
      <c r="H718" s="664"/>
      <c r="I718" s="665"/>
    </row>
    <row r="719" spans="2:9" ht="13.5" customHeight="1" x14ac:dyDescent="0.15">
      <c r="B719" s="653"/>
      <c r="C719" s="654"/>
      <c r="D719" s="654"/>
      <c r="E719" s="654"/>
      <c r="F719" s="655"/>
      <c r="G719" s="11"/>
      <c r="H719" s="666"/>
      <c r="I719" s="667"/>
    </row>
    <row r="720" spans="2:9" ht="21.75" customHeight="1" thickBot="1" x14ac:dyDescent="0.2">
      <c r="B720" s="656"/>
      <c r="C720" s="657"/>
      <c r="D720" s="657"/>
      <c r="E720" s="657"/>
      <c r="F720" s="658"/>
      <c r="H720" s="64" t="s">
        <v>45</v>
      </c>
      <c r="I720" s="17" t="s">
        <v>426</v>
      </c>
    </row>
    <row r="721" spans="2:9" x14ac:dyDescent="0.15">
      <c r="B721" s="18"/>
      <c r="C721" s="18"/>
      <c r="D721" s="1"/>
      <c r="E721" s="18"/>
      <c r="F721" s="18"/>
      <c r="G721" s="18"/>
      <c r="H721" s="18"/>
      <c r="I721" s="1"/>
    </row>
    <row r="722" spans="2:9" ht="14" thickBot="1" x14ac:dyDescent="0.2">
      <c r="B722" s="12" t="s">
        <v>21</v>
      </c>
      <c r="C722" s="12"/>
      <c r="D722" s="1"/>
      <c r="E722" s="1"/>
      <c r="F722" s="1"/>
      <c r="G722" s="1"/>
      <c r="H722" s="1"/>
      <c r="I722" s="1"/>
    </row>
    <row r="723" spans="2:9" x14ac:dyDescent="0.15">
      <c r="B723" s="628" t="s">
        <v>22</v>
      </c>
      <c r="C723" s="629"/>
      <c r="D723" s="630"/>
      <c r="E723" s="205" t="s">
        <v>23</v>
      </c>
      <c r="F723" s="19" t="s">
        <v>47</v>
      </c>
      <c r="G723" s="205" t="s">
        <v>24</v>
      </c>
      <c r="H723" s="204" t="s">
        <v>25</v>
      </c>
      <c r="I723" s="43"/>
    </row>
    <row r="724" spans="2:9" x14ac:dyDescent="0.15">
      <c r="B724" s="631" t="s">
        <v>56</v>
      </c>
      <c r="C724" s="632"/>
      <c r="D724" s="633"/>
      <c r="E724" s="5"/>
      <c r="F724" s="160"/>
      <c r="G724" s="58"/>
      <c r="H724" s="160">
        <f>I747*0.05</f>
        <v>2376.1091666666666</v>
      </c>
      <c r="I724" s="44"/>
    </row>
    <row r="725" spans="2:9" x14ac:dyDescent="0.15">
      <c r="B725" s="631"/>
      <c r="C725" s="632"/>
      <c r="D725" s="633"/>
      <c r="E725" s="5"/>
      <c r="F725" s="46"/>
      <c r="G725" s="20"/>
      <c r="H725" s="56"/>
      <c r="I725" s="44"/>
    </row>
    <row r="726" spans="2:9" ht="14" thickBot="1" x14ac:dyDescent="0.2">
      <c r="B726" s="634"/>
      <c r="C726" s="635"/>
      <c r="D726" s="636"/>
      <c r="E726" s="21"/>
      <c r="F726" s="22"/>
      <c r="G726" s="23"/>
      <c r="H726" s="47"/>
      <c r="I726" s="48"/>
    </row>
    <row r="727" spans="2:9" ht="14" thickBot="1" x14ac:dyDescent="0.2">
      <c r="B727" s="1"/>
      <c r="C727" s="1"/>
      <c r="D727" s="1"/>
      <c r="E727" s="1"/>
      <c r="F727" s="1"/>
      <c r="G727" s="1"/>
      <c r="H727" s="37" t="s">
        <v>26</v>
      </c>
      <c r="I727" s="161">
        <f>SUM(H724:H726)</f>
        <v>2376.1091666666666</v>
      </c>
    </row>
    <row r="728" spans="2:9" ht="14" thickBot="1" x14ac:dyDescent="0.2">
      <c r="B728" s="12" t="s">
        <v>27</v>
      </c>
      <c r="C728" s="12"/>
      <c r="D728" s="1"/>
      <c r="E728" s="1"/>
      <c r="F728" s="1"/>
      <c r="G728" s="1"/>
      <c r="H728" s="1"/>
      <c r="I728" s="1"/>
    </row>
    <row r="729" spans="2:9" x14ac:dyDescent="0.15">
      <c r="B729" s="628" t="s">
        <v>22</v>
      </c>
      <c r="C729" s="629"/>
      <c r="D729" s="630"/>
      <c r="E729" s="205" t="s">
        <v>28</v>
      </c>
      <c r="F729" s="205" t="s">
        <v>29</v>
      </c>
      <c r="G729" s="205" t="s">
        <v>30</v>
      </c>
      <c r="H729" s="204" t="s">
        <v>25</v>
      </c>
      <c r="I729" s="43"/>
    </row>
    <row r="730" spans="2:9" x14ac:dyDescent="0.15">
      <c r="B730" s="4" t="s">
        <v>66</v>
      </c>
      <c r="C730" s="24"/>
      <c r="D730" s="6"/>
      <c r="E730" s="3" t="s">
        <v>58</v>
      </c>
      <c r="F730" s="164">
        <f>'APU -BASICOS'!H204</f>
        <v>9182</v>
      </c>
      <c r="G730" s="73">
        <f>0.5*6</f>
        <v>3</v>
      </c>
      <c r="H730" s="163">
        <f>G730*F730</f>
        <v>27546</v>
      </c>
      <c r="I730" s="44"/>
    </row>
    <row r="731" spans="2:9" x14ac:dyDescent="0.15">
      <c r="B731" s="4" t="s">
        <v>63</v>
      </c>
      <c r="C731" s="24"/>
      <c r="D731" s="6"/>
      <c r="E731" s="3" t="s">
        <v>6</v>
      </c>
      <c r="F731" s="162">
        <f>'APU -BASICOS'!H96</f>
        <v>585821</v>
      </c>
      <c r="G731" s="65">
        <f>0.4*0.4*0.25</f>
        <v>4.0000000000000008E-2</v>
      </c>
      <c r="H731" s="163">
        <f>G731*F731</f>
        <v>23432.840000000004</v>
      </c>
      <c r="I731" s="44"/>
    </row>
    <row r="732" spans="2:9" x14ac:dyDescent="0.15">
      <c r="B732" s="4"/>
      <c r="C732" s="24"/>
      <c r="D732" s="6"/>
      <c r="E732" s="3"/>
      <c r="F732" s="162"/>
      <c r="G732" s="65"/>
      <c r="H732" s="163"/>
      <c r="I732" s="44"/>
    </row>
    <row r="733" spans="2:9" ht="14" thickBot="1" x14ac:dyDescent="0.2">
      <c r="B733" s="25"/>
      <c r="C733" s="26"/>
      <c r="D733" s="27"/>
      <c r="E733" s="21"/>
      <c r="F733" s="22"/>
      <c r="G733" s="165"/>
      <c r="H733" s="47"/>
      <c r="I733" s="48"/>
    </row>
    <row r="734" spans="2:9" ht="14" thickBot="1" x14ac:dyDescent="0.2">
      <c r="B734" s="1"/>
      <c r="C734" s="1"/>
      <c r="D734" s="1"/>
      <c r="E734" s="1"/>
      <c r="F734" s="1"/>
      <c r="G734" s="1"/>
      <c r="H734" s="37" t="s">
        <v>26</v>
      </c>
      <c r="I734" s="161">
        <f>SUM(H730:H733)</f>
        <v>50978.840000000004</v>
      </c>
    </row>
    <row r="735" spans="2:9" ht="14" thickBot="1" x14ac:dyDescent="0.2">
      <c r="B735" s="28" t="s">
        <v>31</v>
      </c>
      <c r="C735" s="28"/>
      <c r="D735" s="26"/>
      <c r="E735" s="1"/>
      <c r="F735" s="1"/>
      <c r="G735" s="1"/>
      <c r="H735" s="1"/>
      <c r="I735" s="1"/>
    </row>
    <row r="736" spans="2:9" x14ac:dyDescent="0.15">
      <c r="B736" s="51" t="s">
        <v>32</v>
      </c>
      <c r="C736" s="52"/>
      <c r="D736" s="291" t="s">
        <v>33</v>
      </c>
      <c r="E736" s="205" t="s">
        <v>34</v>
      </c>
      <c r="F736" s="205" t="s">
        <v>499</v>
      </c>
      <c r="G736" s="205" t="s">
        <v>36</v>
      </c>
      <c r="H736" s="59" t="s">
        <v>25</v>
      </c>
      <c r="I736" s="43"/>
    </row>
    <row r="737" spans="2:11" x14ac:dyDescent="0.15">
      <c r="B737" s="24"/>
      <c r="C737" s="6"/>
      <c r="D737" s="53"/>
      <c r="E737" s="2"/>
      <c r="F737" s="2"/>
      <c r="G737" s="60"/>
      <c r="H737" s="20"/>
      <c r="I737" s="44"/>
      <c r="K737" s="105"/>
    </row>
    <row r="738" spans="2:11" x14ac:dyDescent="0.15">
      <c r="B738" s="310"/>
      <c r="C738" s="66"/>
      <c r="D738" s="67"/>
      <c r="E738" s="68"/>
      <c r="F738" s="68"/>
      <c r="G738" s="69"/>
      <c r="H738" s="65"/>
      <c r="I738" s="44"/>
    </row>
    <row r="739" spans="2:11" ht="14" thickBot="1" x14ac:dyDescent="0.2">
      <c r="B739" s="33"/>
      <c r="C739" s="54"/>
      <c r="D739" s="21"/>
      <c r="E739" s="22"/>
      <c r="F739" s="23"/>
      <c r="G739" s="47"/>
      <c r="H739" s="21"/>
      <c r="I739" s="44"/>
    </row>
    <row r="740" spans="2:11" ht="14" thickBot="1" x14ac:dyDescent="0.2">
      <c r="B740" s="1"/>
      <c r="C740" s="1"/>
      <c r="D740" s="1"/>
      <c r="E740" s="1"/>
      <c r="F740" s="1"/>
      <c r="G740" s="1"/>
      <c r="H740" s="37" t="s">
        <v>26</v>
      </c>
      <c r="I740" s="161">
        <f>SUM(H737:H739)</f>
        <v>0</v>
      </c>
    </row>
    <row r="741" spans="2:11" ht="14" thickBot="1" x14ac:dyDescent="0.2">
      <c r="B741" s="28" t="s">
        <v>37</v>
      </c>
      <c r="C741" s="28"/>
      <c r="D741" s="1"/>
      <c r="E741" s="1"/>
      <c r="F741" s="1"/>
      <c r="G741" s="1"/>
      <c r="H741" s="1"/>
      <c r="I741" s="1"/>
    </row>
    <row r="742" spans="2:11" x14ac:dyDescent="0.15">
      <c r="B742" s="51" t="s">
        <v>38</v>
      </c>
      <c r="C742" s="86"/>
      <c r="D742" s="31" t="s">
        <v>39</v>
      </c>
      <c r="E742" s="205" t="s">
        <v>40</v>
      </c>
      <c r="F742" s="19" t="s">
        <v>41</v>
      </c>
      <c r="G742" s="31" t="s">
        <v>24</v>
      </c>
      <c r="H742" s="204" t="s">
        <v>25</v>
      </c>
      <c r="I742" s="43"/>
    </row>
    <row r="743" spans="2:11" x14ac:dyDescent="0.15">
      <c r="B743" s="4" t="s">
        <v>65</v>
      </c>
      <c r="C743" s="24"/>
      <c r="D743" s="32">
        <f>'MANO DE OBRA'!E15</f>
        <v>95333</v>
      </c>
      <c r="E743" s="88">
        <v>1.75</v>
      </c>
      <c r="F743" s="162">
        <f>+E743*D743</f>
        <v>166832.75</v>
      </c>
      <c r="G743" s="20">
        <v>15</v>
      </c>
      <c r="H743" s="167">
        <f>+F743/G743</f>
        <v>11122.183333333332</v>
      </c>
      <c r="I743" s="44"/>
    </row>
    <row r="744" spans="2:11" x14ac:dyDescent="0.15">
      <c r="B744" s="4" t="s">
        <v>94</v>
      </c>
      <c r="C744" s="24"/>
      <c r="D744" s="32">
        <f>'MANO DE OBRA'!E14*6</f>
        <v>312000</v>
      </c>
      <c r="E744" s="88">
        <v>1.75</v>
      </c>
      <c r="F744" s="162">
        <f>+E744*D744</f>
        <v>546000</v>
      </c>
      <c r="G744" s="20">
        <v>15</v>
      </c>
      <c r="H744" s="167">
        <f>+F744/G744</f>
        <v>36400</v>
      </c>
      <c r="I744" s="44"/>
    </row>
    <row r="745" spans="2:11" x14ac:dyDescent="0.15">
      <c r="B745" s="4"/>
      <c r="C745" s="24"/>
      <c r="D745" s="32"/>
      <c r="E745" s="166"/>
      <c r="F745" s="20"/>
      <c r="G745" s="20"/>
      <c r="H745" s="55"/>
      <c r="I745" s="44"/>
    </row>
    <row r="746" spans="2:11" ht="14" thickBot="1" x14ac:dyDescent="0.2">
      <c r="B746" s="33"/>
      <c r="C746" s="34"/>
      <c r="D746" s="22"/>
      <c r="E746" s="21"/>
      <c r="F746" s="22"/>
      <c r="G746" s="23"/>
      <c r="H746" s="47"/>
      <c r="I746" s="48"/>
      <c r="K746" s="105"/>
    </row>
    <row r="747" spans="2:11" ht="14" thickBot="1" x14ac:dyDescent="0.2">
      <c r="B747" s="1"/>
      <c r="C747" s="1"/>
      <c r="D747" s="1"/>
      <c r="E747" s="1"/>
      <c r="F747" s="1"/>
      <c r="G747" s="1"/>
      <c r="H747" s="37" t="s">
        <v>26</v>
      </c>
      <c r="I747" s="175">
        <f>SUM(H743:H746)</f>
        <v>47522.183333333334</v>
      </c>
    </row>
    <row r="748" spans="2:11" ht="14" thickBot="1" x14ac:dyDescent="0.2">
      <c r="B748" s="1"/>
      <c r="C748" s="1"/>
      <c r="D748" s="1"/>
      <c r="E748" s="1"/>
      <c r="F748" s="1"/>
      <c r="G748" s="1"/>
      <c r="H748" s="61"/>
      <c r="I748" s="1"/>
    </row>
    <row r="749" spans="2:11" ht="15" thickBot="1" x14ac:dyDescent="0.2">
      <c r="B749" s="1"/>
      <c r="C749" s="1"/>
      <c r="D749" s="1"/>
      <c r="E749" s="1"/>
      <c r="F749" s="15" t="s">
        <v>182</v>
      </c>
      <c r="G749" s="16"/>
      <c r="H749" s="16"/>
      <c r="I749" s="222">
        <f>ROUND((I727+I734+I740+I747),0)</f>
        <v>100877</v>
      </c>
    </row>
    <row r="750" spans="2:11" x14ac:dyDescent="0.15">
      <c r="B750" s="1"/>
      <c r="C750" s="1"/>
      <c r="D750" s="1"/>
      <c r="E750" s="1"/>
      <c r="F750" s="1"/>
      <c r="G750" s="1"/>
      <c r="H750" s="61"/>
      <c r="I750" s="1"/>
    </row>
    <row r="751" spans="2:11" x14ac:dyDescent="0.15">
      <c r="B751" s="1"/>
      <c r="C751" s="1"/>
      <c r="D751" s="1"/>
      <c r="E751" s="1"/>
      <c r="F751" s="1"/>
      <c r="G751" s="1"/>
      <c r="H751" s="61"/>
      <c r="I751" s="1"/>
    </row>
    <row r="752" spans="2:11" x14ac:dyDescent="0.15">
      <c r="B752" s="1"/>
      <c r="C752" s="1"/>
      <c r="D752" s="1"/>
      <c r="E752" s="1"/>
      <c r="F752" s="1"/>
      <c r="G752" s="1"/>
      <c r="H752" s="61"/>
      <c r="I752" s="1"/>
    </row>
    <row r="753" spans="2:9" x14ac:dyDescent="0.15">
      <c r="B753" s="1"/>
      <c r="C753" s="1"/>
      <c r="D753" s="1"/>
      <c r="E753" s="1"/>
      <c r="F753" s="1"/>
      <c r="G753" s="1"/>
      <c r="H753" s="61"/>
      <c r="I753" s="1"/>
    </row>
    <row r="754" spans="2:9" x14ac:dyDescent="0.15">
      <c r="B754" s="1"/>
      <c r="C754" s="1"/>
      <c r="D754" s="1"/>
      <c r="E754" s="1"/>
      <c r="F754" s="1"/>
      <c r="G754" s="1"/>
      <c r="H754" s="61"/>
      <c r="I754" s="1"/>
    </row>
    <row r="755" spans="2:9" x14ac:dyDescent="0.15">
      <c r="B755" s="1"/>
      <c r="C755" s="1"/>
      <c r="D755" s="1"/>
      <c r="E755" s="1"/>
      <c r="F755" s="1"/>
      <c r="G755" s="1"/>
      <c r="H755" s="61"/>
      <c r="I755" s="1"/>
    </row>
    <row r="756" spans="2:9" x14ac:dyDescent="0.15">
      <c r="B756" s="1"/>
      <c r="C756" s="1"/>
      <c r="D756" s="1"/>
      <c r="E756" s="1"/>
      <c r="F756" s="1"/>
      <c r="G756" s="1"/>
      <c r="H756" s="61"/>
      <c r="I756" s="1"/>
    </row>
    <row r="757" spans="2:9" x14ac:dyDescent="0.15">
      <c r="B757" s="1"/>
      <c r="C757" s="1"/>
      <c r="D757" s="1"/>
      <c r="E757" s="1"/>
      <c r="F757" s="1"/>
      <c r="G757" s="1"/>
      <c r="H757" s="61"/>
      <c r="I757" s="1"/>
    </row>
    <row r="758" spans="2:9" x14ac:dyDescent="0.15">
      <c r="B758" s="11"/>
      <c r="C758" s="11"/>
      <c r="D758" s="1"/>
      <c r="E758" s="153"/>
      <c r="F758" s="153"/>
      <c r="G758" s="153"/>
      <c r="H758" s="153"/>
      <c r="I758" s="169"/>
    </row>
    <row r="759" spans="2:9" x14ac:dyDescent="0.15">
      <c r="B759" s="11"/>
      <c r="C759" s="11"/>
      <c r="D759" s="1"/>
      <c r="E759" s="153"/>
      <c r="F759" s="153"/>
      <c r="G759" s="153"/>
      <c r="H759" s="153"/>
      <c r="I759" s="169"/>
    </row>
    <row r="760" spans="2:9" x14ac:dyDescent="0.15">
      <c r="B760" s="11"/>
      <c r="C760" s="11"/>
      <c r="D760" s="1"/>
      <c r="E760" s="153"/>
      <c r="F760" s="153"/>
      <c r="G760" s="153"/>
      <c r="H760" s="153"/>
      <c r="I760" s="169"/>
    </row>
    <row r="761" spans="2:9" x14ac:dyDescent="0.15">
      <c r="B761" s="11"/>
      <c r="C761" s="11"/>
      <c r="D761" s="1"/>
      <c r="E761" s="153"/>
      <c r="F761" s="153"/>
      <c r="G761" s="153"/>
      <c r="H761" s="153"/>
      <c r="I761" s="169"/>
    </row>
    <row r="762" spans="2:9" x14ac:dyDescent="0.15">
      <c r="B762" s="11"/>
      <c r="C762" s="11"/>
      <c r="D762" s="1"/>
      <c r="E762" s="153"/>
      <c r="F762" s="153"/>
      <c r="G762" s="153"/>
      <c r="H762" s="153"/>
      <c r="I762" s="169"/>
    </row>
    <row r="763" spans="2:9" x14ac:dyDescent="0.15">
      <c r="B763" s="11"/>
      <c r="C763" s="11"/>
      <c r="D763" s="1"/>
      <c r="E763" s="153"/>
      <c r="F763" s="153"/>
      <c r="G763" s="153"/>
      <c r="H763" s="153"/>
      <c r="I763" s="169"/>
    </row>
    <row r="764" spans="2:9" x14ac:dyDescent="0.15">
      <c r="B764" s="11"/>
      <c r="C764" s="11"/>
      <c r="D764" s="1"/>
      <c r="E764" s="153"/>
      <c r="F764" s="153"/>
      <c r="G764" s="153"/>
      <c r="H764" s="153"/>
      <c r="I764" s="169"/>
    </row>
    <row r="765" spans="2:9" ht="14" x14ac:dyDescent="0.15">
      <c r="B765" s="83"/>
      <c r="C765" s="11"/>
      <c r="D765" s="1"/>
      <c r="E765" s="637"/>
      <c r="F765" s="637"/>
      <c r="G765" s="637"/>
      <c r="H765" s="637"/>
      <c r="I765" s="169"/>
    </row>
    <row r="766" spans="2:9" ht="14" x14ac:dyDescent="0.15">
      <c r="B766" s="101"/>
      <c r="C766" s="11"/>
      <c r="D766" s="1"/>
      <c r="E766" s="153"/>
      <c r="F766" s="153"/>
      <c r="G766" s="153"/>
      <c r="H766" s="153"/>
      <c r="I766" s="169"/>
    </row>
    <row r="767" spans="2:9" ht="14" x14ac:dyDescent="0.15">
      <c r="B767" s="83"/>
      <c r="C767" s="11"/>
      <c r="D767" s="1"/>
      <c r="E767" s="153"/>
      <c r="F767" s="153"/>
      <c r="G767" s="153"/>
      <c r="H767" s="153"/>
      <c r="I767" s="169"/>
    </row>
    <row r="768" spans="2:9" x14ac:dyDescent="0.15">
      <c r="B768" s="11"/>
      <c r="C768" s="11"/>
      <c r="D768" s="1"/>
      <c r="E768" s="153"/>
      <c r="F768" s="153"/>
      <c r="G768" s="153"/>
      <c r="H768" s="153"/>
      <c r="I768" s="169"/>
    </row>
    <row r="769" spans="2:9" x14ac:dyDescent="0.15">
      <c r="B769" s="11"/>
      <c r="C769" s="11"/>
      <c r="D769" s="1"/>
      <c r="E769" s="153"/>
      <c r="F769" s="153"/>
      <c r="G769" s="153"/>
      <c r="H769" s="153"/>
      <c r="I769" s="169"/>
    </row>
    <row r="770" spans="2:9" x14ac:dyDescent="0.15">
      <c r="B770" s="11"/>
      <c r="C770" s="11"/>
      <c r="D770" s="1"/>
      <c r="E770" s="153"/>
      <c r="F770" s="153"/>
      <c r="G770" s="153"/>
      <c r="H770" s="153"/>
      <c r="I770" s="169"/>
    </row>
    <row r="771" spans="2:9" x14ac:dyDescent="0.15">
      <c r="B771" s="11"/>
      <c r="C771" s="11"/>
      <c r="D771" s="1"/>
      <c r="E771" s="153"/>
      <c r="F771" s="153"/>
      <c r="G771" s="153"/>
      <c r="H771" s="153"/>
      <c r="I771" s="169"/>
    </row>
    <row r="772" spans="2:9" x14ac:dyDescent="0.15">
      <c r="B772" s="11"/>
      <c r="C772" s="11"/>
      <c r="D772" s="1"/>
      <c r="E772" s="153"/>
      <c r="F772" s="153"/>
      <c r="G772" s="153"/>
      <c r="H772" s="153"/>
      <c r="I772" s="169"/>
    </row>
    <row r="773" spans="2:9" ht="14" thickBot="1" x14ac:dyDescent="0.2"/>
    <row r="774" spans="2:9" ht="21" customHeight="1" x14ac:dyDescent="0.15">
      <c r="B774" s="607" t="s">
        <v>1065</v>
      </c>
      <c r="C774" s="608"/>
      <c r="D774" s="608"/>
      <c r="E774" s="608"/>
      <c r="F774" s="609"/>
      <c r="G774" s="1"/>
      <c r="H774" s="638" t="s">
        <v>20</v>
      </c>
      <c r="I774" s="639"/>
    </row>
    <row r="775" spans="2:9" ht="16.5" customHeight="1" x14ac:dyDescent="0.15">
      <c r="B775" s="604" t="s">
        <v>446</v>
      </c>
      <c r="C775" s="605"/>
      <c r="D775" s="605"/>
      <c r="E775" s="605"/>
      <c r="F775" s="606"/>
      <c r="G775" s="63"/>
      <c r="H775" s="640"/>
      <c r="I775" s="641"/>
    </row>
    <row r="776" spans="2:9" ht="12.75" customHeight="1" x14ac:dyDescent="0.15">
      <c r="B776" s="610" t="s">
        <v>447</v>
      </c>
      <c r="C776" s="611"/>
      <c r="D776" s="611"/>
      <c r="E776" s="611"/>
      <c r="F776" s="612"/>
      <c r="G776" s="63"/>
      <c r="H776" s="642"/>
      <c r="I776" s="643"/>
    </row>
    <row r="777" spans="2:9" ht="16.5" customHeight="1" thickBot="1" x14ac:dyDescent="0.2">
      <c r="B777" s="613"/>
      <c r="C777" s="614"/>
      <c r="D777" s="614"/>
      <c r="E777" s="614"/>
      <c r="F777" s="615"/>
      <c r="G777" s="1"/>
      <c r="H777" s="662" t="s">
        <v>919</v>
      </c>
      <c r="I777" s="663"/>
    </row>
    <row r="778" spans="2:9" ht="14" thickBot="1" x14ac:dyDescent="0.2">
      <c r="B778" s="15"/>
      <c r="C778" s="16"/>
      <c r="D778" s="1"/>
      <c r="E778" s="1"/>
      <c r="F778" s="1"/>
      <c r="G778" s="1"/>
      <c r="H778" s="664"/>
      <c r="I778" s="665"/>
    </row>
    <row r="779" spans="2:9" ht="12.75" customHeight="1" x14ac:dyDescent="0.15">
      <c r="B779" s="650" t="s">
        <v>890</v>
      </c>
      <c r="C779" s="651"/>
      <c r="D779" s="651"/>
      <c r="E779" s="651"/>
      <c r="F779" s="652"/>
      <c r="G779" s="1"/>
      <c r="H779" s="664"/>
      <c r="I779" s="665"/>
    </row>
    <row r="780" spans="2:9" ht="12.75" customHeight="1" x14ac:dyDescent="0.15">
      <c r="B780" s="653"/>
      <c r="C780" s="654"/>
      <c r="D780" s="654"/>
      <c r="E780" s="654"/>
      <c r="F780" s="655"/>
      <c r="H780" s="664"/>
      <c r="I780" s="665"/>
    </row>
    <row r="781" spans="2:9" ht="13.5" customHeight="1" x14ac:dyDescent="0.15">
      <c r="B781" s="653"/>
      <c r="C781" s="654"/>
      <c r="D781" s="654"/>
      <c r="E781" s="654"/>
      <c r="F781" s="655"/>
      <c r="G781" s="11"/>
      <c r="H781" s="666"/>
      <c r="I781" s="667"/>
    </row>
    <row r="782" spans="2:9" ht="21.75" customHeight="1" thickBot="1" x14ac:dyDescent="0.2">
      <c r="B782" s="656"/>
      <c r="C782" s="657"/>
      <c r="D782" s="657"/>
      <c r="E782" s="657"/>
      <c r="F782" s="658"/>
      <c r="H782" s="64" t="s">
        <v>45</v>
      </c>
      <c r="I782" s="17" t="s">
        <v>193</v>
      </c>
    </row>
    <row r="783" spans="2:9" x14ac:dyDescent="0.15">
      <c r="B783" s="18"/>
      <c r="C783" s="18"/>
      <c r="D783" s="1"/>
      <c r="E783" s="18"/>
      <c r="F783" s="18"/>
      <c r="G783" s="18"/>
      <c r="H783" s="18"/>
      <c r="I783" s="1"/>
    </row>
    <row r="784" spans="2:9" ht="14" thickBot="1" x14ac:dyDescent="0.2">
      <c r="B784" s="12" t="s">
        <v>21</v>
      </c>
      <c r="C784" s="12"/>
      <c r="D784" s="1"/>
      <c r="E784" s="1"/>
      <c r="F784" s="1"/>
      <c r="G784" s="1"/>
      <c r="H784" s="1"/>
      <c r="I784" s="1"/>
    </row>
    <row r="785" spans="2:13" x14ac:dyDescent="0.15">
      <c r="B785" s="628" t="s">
        <v>22</v>
      </c>
      <c r="C785" s="629"/>
      <c r="D785" s="630"/>
      <c r="E785" s="205" t="s">
        <v>23</v>
      </c>
      <c r="F785" s="19" t="s">
        <v>47</v>
      </c>
      <c r="G785" s="205" t="s">
        <v>24</v>
      </c>
      <c r="H785" s="204" t="s">
        <v>25</v>
      </c>
      <c r="I785" s="43"/>
    </row>
    <row r="786" spans="2:13" x14ac:dyDescent="0.15">
      <c r="B786" s="631" t="s">
        <v>56</v>
      </c>
      <c r="C786" s="632"/>
      <c r="D786" s="633"/>
      <c r="E786" s="5"/>
      <c r="F786" s="160"/>
      <c r="G786" s="58"/>
      <c r="H786" s="160">
        <f>I808*0.05</f>
        <v>1272.9156250000001</v>
      </c>
      <c r="I786" s="44"/>
    </row>
    <row r="787" spans="2:13" x14ac:dyDescent="0.15">
      <c r="B787" s="631"/>
      <c r="C787" s="632"/>
      <c r="D787" s="633"/>
      <c r="E787" s="5"/>
      <c r="F787" s="46"/>
      <c r="G787" s="20"/>
      <c r="H787" s="56"/>
      <c r="I787" s="44"/>
    </row>
    <row r="788" spans="2:13" ht="14" thickBot="1" x14ac:dyDescent="0.2">
      <c r="B788" s="634"/>
      <c r="C788" s="635"/>
      <c r="D788" s="636"/>
      <c r="E788" s="21"/>
      <c r="F788" s="22"/>
      <c r="G788" s="23"/>
      <c r="H788" s="47"/>
      <c r="I788" s="48"/>
    </row>
    <row r="789" spans="2:13" ht="14" thickBot="1" x14ac:dyDescent="0.2">
      <c r="B789" s="1"/>
      <c r="C789" s="1"/>
      <c r="D789" s="1"/>
      <c r="E789" s="1"/>
      <c r="F789" s="1"/>
      <c r="G789" s="1"/>
      <c r="H789" s="37" t="s">
        <v>26</v>
      </c>
      <c r="I789" s="161">
        <f>SUM(H786:H788)</f>
        <v>1272.9156250000001</v>
      </c>
    </row>
    <row r="790" spans="2:13" ht="14" thickBot="1" x14ac:dyDescent="0.2">
      <c r="B790" s="12" t="s">
        <v>27</v>
      </c>
      <c r="C790" s="12"/>
      <c r="D790" s="1"/>
      <c r="E790" s="1"/>
      <c r="F790" s="1"/>
      <c r="G790" s="1"/>
      <c r="H790" s="1"/>
      <c r="I790" s="1"/>
    </row>
    <row r="791" spans="2:13" x14ac:dyDescent="0.15">
      <c r="B791" s="628" t="s">
        <v>22</v>
      </c>
      <c r="C791" s="629"/>
      <c r="D791" s="630"/>
      <c r="E791" s="205" t="s">
        <v>28</v>
      </c>
      <c r="F791" s="205" t="s">
        <v>29</v>
      </c>
      <c r="G791" s="205" t="s">
        <v>30</v>
      </c>
      <c r="H791" s="204" t="s">
        <v>25</v>
      </c>
      <c r="I791" s="43"/>
    </row>
    <row r="792" spans="2:13" x14ac:dyDescent="0.15">
      <c r="B792" s="4" t="s">
        <v>473</v>
      </c>
      <c r="C792" s="24"/>
      <c r="D792" s="6"/>
      <c r="E792" s="3" t="s">
        <v>58</v>
      </c>
      <c r="F792" s="164">
        <f>'APU -BASICOS'!H204</f>
        <v>9182</v>
      </c>
      <c r="G792" s="73">
        <v>7.2</v>
      </c>
      <c r="H792" s="163">
        <f>G792*F792</f>
        <v>66110.400000000009</v>
      </c>
      <c r="I792" s="44"/>
    </row>
    <row r="793" spans="2:13" x14ac:dyDescent="0.15">
      <c r="B793" s="4" t="s">
        <v>474</v>
      </c>
      <c r="C793" s="24"/>
      <c r="D793" s="6"/>
      <c r="E793" s="3" t="s">
        <v>58</v>
      </c>
      <c r="F793" s="164">
        <f>'APU -BASICOS'!H260</f>
        <v>9182</v>
      </c>
      <c r="G793" s="73">
        <f>1.2*5*0.56</f>
        <v>3.3600000000000003</v>
      </c>
      <c r="H793" s="163">
        <f>G793*F793</f>
        <v>30851.520000000004</v>
      </c>
      <c r="I793" s="44"/>
    </row>
    <row r="794" spans="2:13" x14ac:dyDescent="0.15">
      <c r="B794" s="4" t="s">
        <v>63</v>
      </c>
      <c r="C794" s="24"/>
      <c r="D794" s="6"/>
      <c r="E794" s="3" t="s">
        <v>6</v>
      </c>
      <c r="F794" s="162">
        <f>'APU -BASICOS'!H96</f>
        <v>585821</v>
      </c>
      <c r="G794" s="73">
        <f>0.3*0.3*1</f>
        <v>0.09</v>
      </c>
      <c r="H794" s="163">
        <f>G794*F794</f>
        <v>52723.89</v>
      </c>
      <c r="I794" s="44"/>
    </row>
    <row r="795" spans="2:13" ht="14" thickBot="1" x14ac:dyDescent="0.2">
      <c r="B795" s="25"/>
      <c r="C795" s="26"/>
      <c r="D795" s="27"/>
      <c r="E795" s="21"/>
      <c r="F795" s="22"/>
      <c r="G795" s="165"/>
      <c r="H795" s="47"/>
      <c r="I795" s="48"/>
      <c r="K795" s="223"/>
      <c r="M795" s="223"/>
    </row>
    <row r="796" spans="2:13" ht="14" thickBot="1" x14ac:dyDescent="0.2">
      <c r="B796" s="1"/>
      <c r="C796" s="1"/>
      <c r="D796" s="1"/>
      <c r="E796" s="1"/>
      <c r="F796" s="1"/>
      <c r="G796" s="1"/>
      <c r="H796" s="37" t="s">
        <v>26</v>
      </c>
      <c r="I796" s="161">
        <f>SUM(H792:H794)</f>
        <v>149685.81</v>
      </c>
    </row>
    <row r="797" spans="2:13" ht="14" thickBot="1" x14ac:dyDescent="0.2">
      <c r="B797" s="28" t="s">
        <v>31</v>
      </c>
      <c r="C797" s="28"/>
      <c r="D797" s="26"/>
      <c r="E797" s="1"/>
      <c r="F797" s="1"/>
      <c r="G797" s="1"/>
      <c r="H797" s="1"/>
      <c r="I797" s="1"/>
    </row>
    <row r="798" spans="2:13" x14ac:dyDescent="0.15">
      <c r="B798" s="51" t="s">
        <v>32</v>
      </c>
      <c r="C798" s="52"/>
      <c r="D798" s="96" t="s">
        <v>33</v>
      </c>
      <c r="E798" s="205" t="s">
        <v>34</v>
      </c>
      <c r="F798" s="205" t="s">
        <v>35</v>
      </c>
      <c r="G798" s="205" t="s">
        <v>36</v>
      </c>
      <c r="H798" s="59" t="s">
        <v>25</v>
      </c>
      <c r="I798" s="43"/>
    </row>
    <row r="799" spans="2:13" x14ac:dyDescent="0.15">
      <c r="B799" s="4"/>
      <c r="C799" s="24"/>
      <c r="D799" s="60"/>
      <c r="E799" s="2"/>
      <c r="F799" s="2"/>
      <c r="G799" s="160"/>
      <c r="H799" s="55"/>
      <c r="I799" s="44"/>
      <c r="K799" s="105"/>
    </row>
    <row r="800" spans="2:13" x14ac:dyDescent="0.15">
      <c r="B800" s="106"/>
      <c r="C800" s="66"/>
      <c r="D800" s="67"/>
      <c r="E800" s="68"/>
      <c r="F800" s="68"/>
      <c r="G800" s="69"/>
      <c r="H800" s="65"/>
      <c r="I800" s="44"/>
    </row>
    <row r="801" spans="2:11" ht="14" thickBot="1" x14ac:dyDescent="0.2">
      <c r="B801" s="33"/>
      <c r="C801" s="54"/>
      <c r="D801" s="21"/>
      <c r="E801" s="22"/>
      <c r="F801" s="23"/>
      <c r="G801" s="47"/>
      <c r="H801" s="21"/>
      <c r="I801" s="48"/>
    </row>
    <row r="802" spans="2:11" ht="14" thickBot="1" x14ac:dyDescent="0.2">
      <c r="B802" s="1"/>
      <c r="C802" s="1"/>
      <c r="D802" s="1"/>
      <c r="E802" s="1"/>
      <c r="F802" s="1"/>
      <c r="G802" s="1"/>
      <c r="H802" s="37" t="s">
        <v>26</v>
      </c>
      <c r="I802" s="161">
        <f>SUM(H799:H801)</f>
        <v>0</v>
      </c>
    </row>
    <row r="803" spans="2:11" ht="14" thickBot="1" x14ac:dyDescent="0.2">
      <c r="B803" s="28" t="s">
        <v>37</v>
      </c>
      <c r="C803" s="28"/>
      <c r="D803" s="1"/>
      <c r="E803" s="1"/>
      <c r="F803" s="1"/>
      <c r="G803" s="1"/>
      <c r="H803" s="1"/>
      <c r="I803" s="1"/>
    </row>
    <row r="804" spans="2:11" x14ac:dyDescent="0.15">
      <c r="B804" s="51" t="s">
        <v>38</v>
      </c>
      <c r="C804" s="86"/>
      <c r="D804" s="31" t="s">
        <v>39</v>
      </c>
      <c r="E804" s="205" t="s">
        <v>40</v>
      </c>
      <c r="F804" s="19" t="s">
        <v>41</v>
      </c>
      <c r="G804" s="31" t="s">
        <v>24</v>
      </c>
      <c r="H804" s="204" t="s">
        <v>25</v>
      </c>
      <c r="I804" s="43"/>
      <c r="K804" s="105"/>
    </row>
    <row r="805" spans="2:11" x14ac:dyDescent="0.15">
      <c r="B805" s="4" t="s">
        <v>65</v>
      </c>
      <c r="C805" s="24"/>
      <c r="D805" s="32">
        <f>'MANO DE OBRA'!E15</f>
        <v>95333</v>
      </c>
      <c r="E805" s="88">
        <v>1.75</v>
      </c>
      <c r="F805" s="162">
        <f>+E805*D805</f>
        <v>166832.75</v>
      </c>
      <c r="G805" s="20">
        <v>28</v>
      </c>
      <c r="H805" s="167">
        <f>+F805/G805</f>
        <v>5958.3125</v>
      </c>
      <c r="I805" s="44"/>
    </row>
    <row r="806" spans="2:11" x14ac:dyDescent="0.15">
      <c r="B806" s="4" t="s">
        <v>94</v>
      </c>
      <c r="C806" s="24"/>
      <c r="D806" s="32">
        <f>'MANO DE OBRA'!E14*6</f>
        <v>312000</v>
      </c>
      <c r="E806" s="88">
        <v>1.75</v>
      </c>
      <c r="F806" s="162">
        <f>+E806*D806</f>
        <v>546000</v>
      </c>
      <c r="G806" s="20">
        <v>28</v>
      </c>
      <c r="H806" s="167">
        <f>+F806/G806</f>
        <v>19500</v>
      </c>
      <c r="I806" s="44"/>
    </row>
    <row r="807" spans="2:11" ht="14" thickBot="1" x14ac:dyDescent="0.2">
      <c r="B807" s="33"/>
      <c r="C807" s="34"/>
      <c r="D807" s="22"/>
      <c r="E807" s="21"/>
      <c r="F807" s="22"/>
      <c r="G807" s="23"/>
      <c r="H807" s="47"/>
      <c r="I807" s="48"/>
      <c r="K807" s="105"/>
    </row>
    <row r="808" spans="2:11" ht="14" thickBot="1" x14ac:dyDescent="0.2">
      <c r="B808" s="1"/>
      <c r="C808" s="1"/>
      <c r="D808" s="1"/>
      <c r="E808" s="1"/>
      <c r="F808" s="1"/>
      <c r="G808" s="1"/>
      <c r="H808" s="37" t="s">
        <v>26</v>
      </c>
      <c r="I808" s="175">
        <f>SUM(H805:H807)</f>
        <v>25458.3125</v>
      </c>
    </row>
    <row r="809" spans="2:11" ht="14" thickBot="1" x14ac:dyDescent="0.2">
      <c r="B809" s="1"/>
      <c r="C809" s="1"/>
      <c r="D809" s="1"/>
      <c r="E809" s="1"/>
      <c r="F809" s="1"/>
      <c r="G809" s="1"/>
      <c r="H809" s="61"/>
      <c r="I809" s="1"/>
    </row>
    <row r="810" spans="2:11" ht="15" thickBot="1" x14ac:dyDescent="0.2">
      <c r="B810" s="1"/>
      <c r="C810" s="1"/>
      <c r="D810" s="1"/>
      <c r="E810" s="1"/>
      <c r="F810" s="35" t="s">
        <v>43</v>
      </c>
      <c r="G810" s="16"/>
      <c r="H810" s="16"/>
      <c r="I810" s="222">
        <f>ROUND((I789+I796+I802+I808),0)</f>
        <v>176417</v>
      </c>
    </row>
    <row r="811" spans="2:11" x14ac:dyDescent="0.15">
      <c r="B811" s="12"/>
      <c r="C811" s="12"/>
      <c r="D811" s="1"/>
      <c r="E811" s="1"/>
      <c r="F811" s="1"/>
      <c r="G811" s="1"/>
      <c r="H811" s="170"/>
      <c r="I811" s="170"/>
    </row>
    <row r="812" spans="2:11" x14ac:dyDescent="0.15">
      <c r="B812" s="16"/>
      <c r="C812" s="16"/>
      <c r="D812" s="16"/>
      <c r="E812" s="16"/>
      <c r="F812" s="16"/>
      <c r="G812" s="61"/>
      <c r="H812" s="171"/>
      <c r="I812" s="170"/>
    </row>
    <row r="813" spans="2:11" x14ac:dyDescent="0.15">
      <c r="B813" s="1"/>
      <c r="C813" s="1"/>
      <c r="D813" s="1"/>
      <c r="E813" s="1"/>
      <c r="F813" s="1"/>
      <c r="G813" s="159"/>
      <c r="H813" s="170"/>
      <c r="I813" s="170"/>
    </row>
    <row r="814" spans="2:11" x14ac:dyDescent="0.15">
      <c r="B814" s="1"/>
      <c r="C814" s="1"/>
      <c r="D814" s="1"/>
      <c r="E814" s="1"/>
      <c r="F814" s="1"/>
      <c r="G814" s="159"/>
      <c r="H814" s="170"/>
      <c r="I814" s="170"/>
    </row>
    <row r="815" spans="2:11" x14ac:dyDescent="0.15">
      <c r="B815" s="1"/>
      <c r="C815" s="1"/>
      <c r="D815" s="1"/>
      <c r="E815" s="1"/>
      <c r="F815" s="1"/>
      <c r="G815" s="159"/>
      <c r="H815" s="170"/>
      <c r="I815" s="170"/>
    </row>
    <row r="816" spans="2:11" x14ac:dyDescent="0.15">
      <c r="B816" s="1"/>
      <c r="C816" s="1"/>
      <c r="D816" s="1"/>
      <c r="E816" s="1"/>
      <c r="F816" s="1"/>
      <c r="G816" s="1"/>
      <c r="H816" s="37"/>
      <c r="I816" s="170"/>
    </row>
    <row r="817" spans="2:10" ht="14" x14ac:dyDescent="0.15">
      <c r="B817" s="101"/>
      <c r="C817" s="1"/>
      <c r="D817" s="1"/>
      <c r="E817" s="1"/>
      <c r="F817" s="1"/>
      <c r="G817" s="1"/>
      <c r="H817" s="1"/>
      <c r="I817" s="170"/>
    </row>
    <row r="818" spans="2:10" ht="14" x14ac:dyDescent="0.15">
      <c r="B818" s="83"/>
      <c r="C818" s="11"/>
      <c r="D818" s="1"/>
      <c r="E818" s="637"/>
      <c r="F818" s="637"/>
      <c r="G818" s="637"/>
      <c r="H818" s="637"/>
      <c r="I818" s="169"/>
    </row>
    <row r="819" spans="2:10" ht="14" x14ac:dyDescent="0.15">
      <c r="B819" s="101"/>
      <c r="C819" s="11"/>
      <c r="D819" s="1"/>
      <c r="E819" s="153"/>
      <c r="F819" s="153"/>
      <c r="G819" s="153"/>
      <c r="H819" s="153"/>
      <c r="I819" s="169"/>
    </row>
    <row r="820" spans="2:10" ht="14" x14ac:dyDescent="0.15">
      <c r="B820" s="83"/>
      <c r="C820" s="11"/>
      <c r="D820" s="1"/>
      <c r="E820" s="153"/>
      <c r="F820" s="153"/>
      <c r="G820" s="153"/>
      <c r="H820" s="153"/>
      <c r="I820" s="169"/>
    </row>
    <row r="821" spans="2:10" ht="14" x14ac:dyDescent="0.15">
      <c r="B821" s="83"/>
      <c r="C821" s="11"/>
      <c r="D821" s="1"/>
      <c r="E821" s="153"/>
      <c r="F821" s="153"/>
      <c r="G821" s="153"/>
      <c r="H821" s="153"/>
      <c r="I821" s="169"/>
    </row>
    <row r="822" spans="2:10" ht="14" x14ac:dyDescent="0.15">
      <c r="B822" s="83"/>
      <c r="C822" s="11"/>
      <c r="D822" s="1"/>
      <c r="E822" s="153"/>
      <c r="F822" s="153"/>
      <c r="G822" s="153"/>
      <c r="H822" s="153"/>
      <c r="I822" s="169"/>
    </row>
    <row r="823" spans="2:10" ht="14" x14ac:dyDescent="0.15">
      <c r="B823" s="83"/>
      <c r="C823" s="11"/>
      <c r="D823" s="1"/>
      <c r="E823" s="153"/>
      <c r="F823" s="153"/>
      <c r="G823" s="153"/>
      <c r="H823" s="153"/>
      <c r="I823" s="169"/>
    </row>
    <row r="824" spans="2:10" ht="14" x14ac:dyDescent="0.15">
      <c r="B824" s="83"/>
      <c r="C824" s="11"/>
      <c r="D824" s="1"/>
      <c r="E824" s="153"/>
      <c r="F824" s="153"/>
      <c r="G824" s="153"/>
      <c r="H824" s="153"/>
      <c r="I824" s="169"/>
    </row>
    <row r="825" spans="2:10" ht="14" x14ac:dyDescent="0.15">
      <c r="B825" s="83"/>
      <c r="C825" s="11"/>
      <c r="D825" s="1"/>
      <c r="E825" s="153"/>
      <c r="F825" s="153"/>
      <c r="G825" s="153"/>
      <c r="H825" s="153"/>
      <c r="I825" s="169"/>
    </row>
    <row r="826" spans="2:10" x14ac:dyDescent="0.15">
      <c r="B826" s="11"/>
      <c r="C826" s="11"/>
      <c r="D826" s="1"/>
      <c r="E826" s="153"/>
      <c r="F826" s="153"/>
      <c r="G826" s="153"/>
      <c r="H826" s="153"/>
      <c r="I826" s="169"/>
    </row>
    <row r="827" spans="2:10" x14ac:dyDescent="0.15">
      <c r="B827" s="11"/>
      <c r="C827" s="11"/>
      <c r="D827" s="1"/>
      <c r="E827" s="153"/>
      <c r="F827" s="153"/>
      <c r="G827" s="153"/>
      <c r="H827" s="153"/>
      <c r="I827" s="169"/>
    </row>
    <row r="828" spans="2:10" x14ac:dyDescent="0.15">
      <c r="B828" s="11"/>
      <c r="C828" s="11"/>
      <c r="D828" s="1"/>
      <c r="E828" s="153"/>
      <c r="F828" s="153"/>
      <c r="G828" s="153"/>
      <c r="H828" s="153"/>
      <c r="I828" s="169"/>
    </row>
    <row r="829" spans="2:10" x14ac:dyDescent="0.15">
      <c r="B829" s="11"/>
      <c r="C829" s="11"/>
      <c r="D829" s="1"/>
      <c r="E829" s="153"/>
      <c r="F829" s="153"/>
      <c r="G829" s="153"/>
      <c r="H829" s="153"/>
      <c r="I829" s="169"/>
    </row>
    <row r="830" spans="2:10" x14ac:dyDescent="0.15">
      <c r="B830" s="11"/>
      <c r="C830" s="11"/>
      <c r="D830" s="1"/>
      <c r="E830" s="153"/>
      <c r="F830" s="153"/>
      <c r="G830" s="153"/>
      <c r="H830" s="153"/>
      <c r="I830" s="169"/>
    </row>
    <row r="831" spans="2:10" ht="14" x14ac:dyDescent="0.15">
      <c r="B831" s="83"/>
      <c r="C831" s="83"/>
      <c r="D831" s="84"/>
      <c r="E831" s="83"/>
      <c r="F831" s="83"/>
      <c r="G831" s="103"/>
      <c r="H831" s="83"/>
      <c r="I831" s="85"/>
      <c r="J831" s="85"/>
    </row>
    <row r="832" spans="2:10" ht="14" x14ac:dyDescent="0.15">
      <c r="B832" s="83"/>
      <c r="C832" s="83"/>
      <c r="D832" s="84"/>
      <c r="E832" s="83"/>
      <c r="F832" s="83"/>
      <c r="G832" s="103"/>
      <c r="H832" s="83"/>
      <c r="I832" s="85"/>
      <c r="J832" s="85"/>
    </row>
    <row r="833" spans="2:9" ht="14" thickBot="1" x14ac:dyDescent="0.2">
      <c r="B833" s="11"/>
      <c r="C833" s="11"/>
      <c r="D833" s="1"/>
      <c r="E833" s="153"/>
      <c r="F833" s="153"/>
      <c r="G833" s="153"/>
      <c r="H833" s="153"/>
      <c r="I833" s="169"/>
    </row>
    <row r="834" spans="2:9" ht="21" customHeight="1" x14ac:dyDescent="0.15">
      <c r="B834" s="607" t="s">
        <v>1065</v>
      </c>
      <c r="C834" s="608"/>
      <c r="D834" s="608"/>
      <c r="E834" s="608"/>
      <c r="F834" s="609"/>
      <c r="G834" s="1"/>
      <c r="H834" s="638" t="s">
        <v>20</v>
      </c>
      <c r="I834" s="639"/>
    </row>
    <row r="835" spans="2:9" ht="16.5" customHeight="1" x14ac:dyDescent="0.15">
      <c r="B835" s="604" t="s">
        <v>446</v>
      </c>
      <c r="C835" s="605"/>
      <c r="D835" s="605"/>
      <c r="E835" s="605"/>
      <c r="F835" s="606"/>
      <c r="G835" s="63"/>
      <c r="H835" s="640"/>
      <c r="I835" s="641"/>
    </row>
    <row r="836" spans="2:9" ht="12.75" customHeight="1" x14ac:dyDescent="0.15">
      <c r="B836" s="610" t="s">
        <v>447</v>
      </c>
      <c r="C836" s="611"/>
      <c r="D836" s="611"/>
      <c r="E836" s="611"/>
      <c r="F836" s="612"/>
      <c r="G836" s="63"/>
      <c r="H836" s="642"/>
      <c r="I836" s="643"/>
    </row>
    <row r="837" spans="2:9" ht="16.5" customHeight="1" thickBot="1" x14ac:dyDescent="0.2">
      <c r="B837" s="613"/>
      <c r="C837" s="614"/>
      <c r="D837" s="614"/>
      <c r="E837" s="614"/>
      <c r="F837" s="615"/>
      <c r="G837" s="1"/>
      <c r="H837" s="662" t="s">
        <v>888</v>
      </c>
      <c r="I837" s="663"/>
    </row>
    <row r="838" spans="2:9" ht="14" thickBot="1" x14ac:dyDescent="0.2">
      <c r="B838" s="15"/>
      <c r="C838" s="16"/>
      <c r="D838" s="1"/>
      <c r="E838" s="1"/>
      <c r="F838" s="1"/>
      <c r="G838" s="1"/>
      <c r="H838" s="664"/>
      <c r="I838" s="665"/>
    </row>
    <row r="839" spans="2:9" ht="12.75" customHeight="1" x14ac:dyDescent="0.15">
      <c r="B839" s="650" t="s">
        <v>890</v>
      </c>
      <c r="C839" s="651"/>
      <c r="D839" s="651"/>
      <c r="E839" s="651"/>
      <c r="F839" s="652"/>
      <c r="G839" s="1"/>
      <c r="H839" s="664"/>
      <c r="I839" s="665"/>
    </row>
    <row r="840" spans="2:9" ht="12.75" customHeight="1" x14ac:dyDescent="0.15">
      <c r="B840" s="653"/>
      <c r="C840" s="654"/>
      <c r="D840" s="654"/>
      <c r="E840" s="654"/>
      <c r="F840" s="655"/>
      <c r="H840" s="664"/>
      <c r="I840" s="665"/>
    </row>
    <row r="841" spans="2:9" ht="13.5" customHeight="1" x14ac:dyDescent="0.15">
      <c r="B841" s="653"/>
      <c r="C841" s="654"/>
      <c r="D841" s="654"/>
      <c r="E841" s="654"/>
      <c r="F841" s="655"/>
      <c r="G841" s="11"/>
      <c r="H841" s="666"/>
      <c r="I841" s="667"/>
    </row>
    <row r="842" spans="2:9" ht="21.75" customHeight="1" thickBot="1" x14ac:dyDescent="0.2">
      <c r="B842" s="656"/>
      <c r="C842" s="657"/>
      <c r="D842" s="657"/>
      <c r="E842" s="657"/>
      <c r="F842" s="658"/>
      <c r="H842" s="64" t="s">
        <v>45</v>
      </c>
      <c r="I842" s="17" t="s">
        <v>193</v>
      </c>
    </row>
    <row r="843" spans="2:9" x14ac:dyDescent="0.15">
      <c r="B843" s="18"/>
      <c r="C843" s="18"/>
      <c r="D843" s="1"/>
      <c r="E843" s="18"/>
      <c r="F843" s="18"/>
      <c r="G843" s="18"/>
      <c r="H843" s="18"/>
      <c r="I843" s="1"/>
    </row>
    <row r="844" spans="2:9" ht="14" thickBot="1" x14ac:dyDescent="0.2">
      <c r="B844" s="12" t="s">
        <v>21</v>
      </c>
      <c r="C844" s="12"/>
      <c r="D844" s="1"/>
      <c r="E844" s="1"/>
      <c r="F844" s="1"/>
      <c r="G844" s="1"/>
      <c r="H844" s="1"/>
      <c r="I844" s="1"/>
    </row>
    <row r="845" spans="2:9" x14ac:dyDescent="0.15">
      <c r="B845" s="628" t="s">
        <v>22</v>
      </c>
      <c r="C845" s="629"/>
      <c r="D845" s="630"/>
      <c r="E845" s="205" t="s">
        <v>23</v>
      </c>
      <c r="F845" s="19" t="s">
        <v>47</v>
      </c>
      <c r="G845" s="205" t="s">
        <v>24</v>
      </c>
      <c r="H845" s="204" t="s">
        <v>25</v>
      </c>
      <c r="I845" s="43"/>
    </row>
    <row r="846" spans="2:9" x14ac:dyDescent="0.15">
      <c r="B846" s="631" t="s">
        <v>56</v>
      </c>
      <c r="C846" s="632"/>
      <c r="D846" s="633"/>
      <c r="E846" s="5"/>
      <c r="F846" s="160"/>
      <c r="G846" s="58"/>
      <c r="H846" s="160">
        <f>I868*0.05</f>
        <v>1272.9156250000001</v>
      </c>
      <c r="I846" s="44"/>
    </row>
    <row r="847" spans="2:9" x14ac:dyDescent="0.15">
      <c r="B847" s="631" t="s">
        <v>527</v>
      </c>
      <c r="C847" s="632"/>
      <c r="D847" s="633"/>
      <c r="E847" s="5"/>
      <c r="F847" s="160">
        <f>'HERRAMIENTAS Y EQUIPOS'!C24*2</f>
        <v>9000</v>
      </c>
      <c r="G847" s="58">
        <v>28</v>
      </c>
      <c r="H847" s="160">
        <f>F847/G847</f>
        <v>321.42857142857144</v>
      </c>
      <c r="I847" s="44"/>
    </row>
    <row r="848" spans="2:9" ht="14" thickBot="1" x14ac:dyDescent="0.2">
      <c r="B848" s="634"/>
      <c r="C848" s="635"/>
      <c r="D848" s="636"/>
      <c r="E848" s="21"/>
      <c r="F848" s="22"/>
      <c r="G848" s="23"/>
      <c r="H848" s="47"/>
      <c r="I848" s="48"/>
    </row>
    <row r="849" spans="2:13" ht="14" thickBot="1" x14ac:dyDescent="0.2">
      <c r="B849" s="1"/>
      <c r="C849" s="1"/>
      <c r="D849" s="1"/>
      <c r="E849" s="1"/>
      <c r="F849" s="1"/>
      <c r="G849" s="1"/>
      <c r="H849" s="37" t="s">
        <v>26</v>
      </c>
      <c r="I849" s="161">
        <f>SUM(H846:H848)</f>
        <v>1594.3441964285716</v>
      </c>
    </row>
    <row r="850" spans="2:13" ht="14" thickBot="1" x14ac:dyDescent="0.2">
      <c r="B850" s="12" t="s">
        <v>27</v>
      </c>
      <c r="C850" s="12"/>
      <c r="D850" s="1"/>
      <c r="E850" s="1"/>
      <c r="F850" s="1"/>
      <c r="G850" s="1"/>
      <c r="H850" s="1"/>
      <c r="I850" s="1"/>
    </row>
    <row r="851" spans="2:13" x14ac:dyDescent="0.15">
      <c r="B851" s="628" t="s">
        <v>22</v>
      </c>
      <c r="C851" s="629"/>
      <c r="D851" s="630"/>
      <c r="E851" s="205" t="s">
        <v>28</v>
      </c>
      <c r="F851" s="205" t="s">
        <v>29</v>
      </c>
      <c r="G851" s="205" t="s">
        <v>30</v>
      </c>
      <c r="H851" s="204" t="s">
        <v>25</v>
      </c>
      <c r="I851" s="43"/>
    </row>
    <row r="852" spans="2:13" x14ac:dyDescent="0.15">
      <c r="B852" s="4" t="s">
        <v>473</v>
      </c>
      <c r="C852" s="24"/>
      <c r="D852" s="6"/>
      <c r="E852" s="3" t="s">
        <v>58</v>
      </c>
      <c r="F852" s="164">
        <f>'APU -BASICOS'!H204</f>
        <v>9182</v>
      </c>
      <c r="G852" s="73">
        <f>4.8*1*0.56</f>
        <v>2.6880000000000002</v>
      </c>
      <c r="H852" s="163">
        <f>G852*F852</f>
        <v>24681.216</v>
      </c>
      <c r="I852" s="44"/>
    </row>
    <row r="853" spans="2:13" x14ac:dyDescent="0.15">
      <c r="B853" s="4" t="s">
        <v>474</v>
      </c>
      <c r="C853" s="24"/>
      <c r="D853" s="6"/>
      <c r="E853" s="3" t="s">
        <v>58</v>
      </c>
      <c r="F853" s="164">
        <f>'APU -BASICOS'!H260</f>
        <v>9182</v>
      </c>
      <c r="G853" s="73">
        <f>1*7*0.56</f>
        <v>3.9200000000000004</v>
      </c>
      <c r="H853" s="163">
        <f>G853*F853</f>
        <v>35993.440000000002</v>
      </c>
      <c r="I853" s="44"/>
    </row>
    <row r="854" spans="2:13" x14ac:dyDescent="0.15">
      <c r="B854" s="4" t="s">
        <v>63</v>
      </c>
      <c r="C854" s="24"/>
      <c r="D854" s="6"/>
      <c r="E854" s="3" t="s">
        <v>6</v>
      </c>
      <c r="F854" s="162">
        <f>'APU -BASICOS'!H96</f>
        <v>585821</v>
      </c>
      <c r="G854" s="73">
        <f>0.25*0.25*1</f>
        <v>6.25E-2</v>
      </c>
      <c r="H854" s="163">
        <f>G854*F854</f>
        <v>36613.8125</v>
      </c>
      <c r="I854" s="44"/>
    </row>
    <row r="855" spans="2:13" ht="14" thickBot="1" x14ac:dyDescent="0.2">
      <c r="B855" s="25"/>
      <c r="C855" s="26"/>
      <c r="D855" s="27"/>
      <c r="E855" s="21"/>
      <c r="F855" s="22"/>
      <c r="G855" s="165"/>
      <c r="H855" s="47"/>
      <c r="I855" s="48"/>
      <c r="K855" s="223"/>
    </row>
    <row r="856" spans="2:13" ht="14" thickBot="1" x14ac:dyDescent="0.2">
      <c r="B856" s="1"/>
      <c r="C856" s="1"/>
      <c r="D856" s="1"/>
      <c r="E856" s="1"/>
      <c r="F856" s="1"/>
      <c r="G856" s="1"/>
      <c r="H856" s="37" t="s">
        <v>26</v>
      </c>
      <c r="I856" s="161">
        <f>SUM(H852:H854)</f>
        <v>97288.468500000003</v>
      </c>
    </row>
    <row r="857" spans="2:13" ht="14" thickBot="1" x14ac:dyDescent="0.2">
      <c r="B857" s="28" t="s">
        <v>31</v>
      </c>
      <c r="C857" s="28"/>
      <c r="D857" s="26"/>
      <c r="E857" s="1"/>
      <c r="F857" s="1"/>
      <c r="G857" s="1"/>
      <c r="H857" s="1"/>
      <c r="I857" s="1"/>
    </row>
    <row r="858" spans="2:13" x14ac:dyDescent="0.15">
      <c r="B858" s="51" t="s">
        <v>32</v>
      </c>
      <c r="C858" s="52"/>
      <c r="D858" s="96" t="s">
        <v>33</v>
      </c>
      <c r="E858" s="205" t="s">
        <v>34</v>
      </c>
      <c r="F858" s="205" t="s">
        <v>35</v>
      </c>
      <c r="G858" s="205" t="s">
        <v>36</v>
      </c>
      <c r="H858" s="59" t="s">
        <v>25</v>
      </c>
      <c r="I858" s="43"/>
    </row>
    <row r="859" spans="2:13" x14ac:dyDescent="0.15">
      <c r="B859" s="4"/>
      <c r="C859" s="24"/>
      <c r="D859" s="60"/>
      <c r="E859" s="2"/>
      <c r="F859" s="2"/>
      <c r="G859" s="160"/>
      <c r="H859" s="55"/>
      <c r="I859" s="44"/>
      <c r="K859" s="105"/>
      <c r="M859" s="223"/>
    </row>
    <row r="860" spans="2:13" x14ac:dyDescent="0.15">
      <c r="B860" s="106"/>
      <c r="C860" s="66"/>
      <c r="D860" s="67"/>
      <c r="E860" s="68"/>
      <c r="F860" s="68"/>
      <c r="G860" s="69"/>
      <c r="H860" s="65"/>
      <c r="I860" s="44"/>
    </row>
    <row r="861" spans="2:13" ht="14" thickBot="1" x14ac:dyDescent="0.2">
      <c r="B861" s="33"/>
      <c r="C861" s="54"/>
      <c r="D861" s="21"/>
      <c r="E861" s="22"/>
      <c r="F861" s="23"/>
      <c r="G861" s="47"/>
      <c r="H861" s="21"/>
      <c r="I861" s="48"/>
      <c r="M861" s="105"/>
    </row>
    <row r="862" spans="2:13" ht="14" thickBot="1" x14ac:dyDescent="0.2">
      <c r="B862" s="1"/>
      <c r="C862" s="1"/>
      <c r="D862" s="1"/>
      <c r="E862" s="1"/>
      <c r="F862" s="1"/>
      <c r="G862" s="1"/>
      <c r="H862" s="37" t="s">
        <v>26</v>
      </c>
      <c r="I862" s="161">
        <f>SUM(H859:H861)</f>
        <v>0</v>
      </c>
    </row>
    <row r="863" spans="2:13" ht="14" thickBot="1" x14ac:dyDescent="0.2">
      <c r="B863" s="28" t="s">
        <v>37</v>
      </c>
      <c r="C863" s="28"/>
      <c r="D863" s="1"/>
      <c r="E863" s="1"/>
      <c r="F863" s="1"/>
      <c r="G863" s="1"/>
      <c r="H863" s="1"/>
      <c r="I863" s="1"/>
    </row>
    <row r="864" spans="2:13" x14ac:dyDescent="0.15">
      <c r="B864" s="51" t="s">
        <v>38</v>
      </c>
      <c r="C864" s="86"/>
      <c r="D864" s="31" t="s">
        <v>39</v>
      </c>
      <c r="E864" s="205" t="s">
        <v>40</v>
      </c>
      <c r="F864" s="19" t="s">
        <v>41</v>
      </c>
      <c r="G864" s="31" t="s">
        <v>24</v>
      </c>
      <c r="H864" s="204" t="s">
        <v>25</v>
      </c>
      <c r="I864" s="43"/>
      <c r="K864" s="105"/>
    </row>
    <row r="865" spans="2:11" x14ac:dyDescent="0.15">
      <c r="B865" s="4" t="s">
        <v>65</v>
      </c>
      <c r="C865" s="24"/>
      <c r="D865" s="32">
        <f>'MANO DE OBRA'!E15</f>
        <v>95333</v>
      </c>
      <c r="E865" s="88">
        <v>1.75</v>
      </c>
      <c r="F865" s="162">
        <f>+E865*D865</f>
        <v>166832.75</v>
      </c>
      <c r="G865" s="20">
        <f>G847</f>
        <v>28</v>
      </c>
      <c r="H865" s="167">
        <f>+F865/G865</f>
        <v>5958.3125</v>
      </c>
      <c r="I865" s="44"/>
    </row>
    <row r="866" spans="2:11" x14ac:dyDescent="0.15">
      <c r="B866" s="4" t="s">
        <v>94</v>
      </c>
      <c r="C866" s="24"/>
      <c r="D866" s="32">
        <f>'MANO DE OBRA'!E14*6</f>
        <v>312000</v>
      </c>
      <c r="E866" s="88">
        <v>1.75</v>
      </c>
      <c r="F866" s="162">
        <f>+E866*D866</f>
        <v>546000</v>
      </c>
      <c r="G866" s="20">
        <f>G847</f>
        <v>28</v>
      </c>
      <c r="H866" s="167">
        <f>+F866/G866</f>
        <v>19500</v>
      </c>
      <c r="I866" s="44"/>
    </row>
    <row r="867" spans="2:11" ht="14" thickBot="1" x14ac:dyDescent="0.2">
      <c r="B867" s="33"/>
      <c r="C867" s="34"/>
      <c r="D867" s="22"/>
      <c r="E867" s="21"/>
      <c r="F867" s="22"/>
      <c r="G867" s="23"/>
      <c r="H867" s="47"/>
      <c r="I867" s="48"/>
      <c r="K867" s="105"/>
    </row>
    <row r="868" spans="2:11" ht="14" thickBot="1" x14ac:dyDescent="0.2">
      <c r="B868" s="1"/>
      <c r="C868" s="1"/>
      <c r="D868" s="1"/>
      <c r="E868" s="1"/>
      <c r="F868" s="1"/>
      <c r="G868" s="1"/>
      <c r="H868" s="37" t="s">
        <v>26</v>
      </c>
      <c r="I868" s="175">
        <f>SUM(H865:H867)</f>
        <v>25458.3125</v>
      </c>
    </row>
    <row r="869" spans="2:11" ht="14" thickBot="1" x14ac:dyDescent="0.2">
      <c r="B869" s="1"/>
      <c r="C869" s="1"/>
      <c r="D869" s="1"/>
      <c r="E869" s="1"/>
      <c r="F869" s="1"/>
      <c r="G869" s="1"/>
      <c r="H869" s="61"/>
      <c r="I869" s="1"/>
    </row>
    <row r="870" spans="2:11" ht="15" thickBot="1" x14ac:dyDescent="0.2">
      <c r="B870" s="1"/>
      <c r="C870" s="1"/>
      <c r="D870" s="1"/>
      <c r="E870" s="1"/>
      <c r="F870" s="35" t="s">
        <v>43</v>
      </c>
      <c r="G870" s="16"/>
      <c r="H870" s="16"/>
      <c r="I870" s="222">
        <f>ROUND((I849+I856+I862+I868),0)</f>
        <v>124341</v>
      </c>
    </row>
    <row r="871" spans="2:11" x14ac:dyDescent="0.15">
      <c r="B871" s="12"/>
      <c r="C871" s="12"/>
      <c r="D871" s="1"/>
      <c r="E871" s="1"/>
      <c r="F871" s="1"/>
      <c r="G871" s="1"/>
      <c r="H871" s="170"/>
      <c r="I871" s="170"/>
    </row>
    <row r="872" spans="2:11" x14ac:dyDescent="0.15">
      <c r="B872" s="16"/>
      <c r="C872" s="16"/>
      <c r="D872" s="16"/>
      <c r="E872" s="16"/>
      <c r="F872" s="16"/>
      <c r="G872" s="61"/>
      <c r="H872" s="171"/>
      <c r="I872" s="170"/>
    </row>
    <row r="873" spans="2:11" x14ac:dyDescent="0.15">
      <c r="B873" s="1"/>
      <c r="C873" s="1"/>
      <c r="D873" s="1"/>
      <c r="E873" s="1"/>
      <c r="F873" s="1"/>
      <c r="G873" s="159"/>
      <c r="H873" s="170"/>
      <c r="I873" s="170"/>
    </row>
    <row r="874" spans="2:11" x14ac:dyDescent="0.15">
      <c r="B874" s="1"/>
      <c r="C874" s="1"/>
      <c r="D874" s="1"/>
      <c r="E874" s="1"/>
      <c r="F874" s="1"/>
      <c r="G874" s="159"/>
      <c r="H874" s="170"/>
      <c r="I874" s="170"/>
    </row>
    <row r="875" spans="2:11" x14ac:dyDescent="0.15">
      <c r="B875" s="1"/>
      <c r="C875" s="1"/>
      <c r="D875" s="1"/>
      <c r="E875" s="1"/>
      <c r="F875" s="1"/>
      <c r="G875" s="159"/>
      <c r="H875" s="170"/>
      <c r="I875" s="170"/>
    </row>
    <row r="876" spans="2:11" x14ac:dyDescent="0.15">
      <c r="B876" s="1"/>
      <c r="C876" s="1"/>
      <c r="D876" s="1"/>
      <c r="E876" s="1"/>
      <c r="F876" s="1"/>
      <c r="G876" s="159"/>
      <c r="H876" s="170"/>
      <c r="I876" s="170"/>
    </row>
    <row r="877" spans="2:11" x14ac:dyDescent="0.15">
      <c r="B877" s="1"/>
      <c r="C877" s="1"/>
      <c r="D877" s="1"/>
      <c r="E877" s="1"/>
      <c r="F877" s="1"/>
      <c r="G877" s="1"/>
      <c r="H877" s="37"/>
      <c r="I877" s="170"/>
    </row>
    <row r="878" spans="2:11" x14ac:dyDescent="0.15">
      <c r="B878" s="1"/>
      <c r="C878" s="1"/>
      <c r="D878" s="1"/>
      <c r="E878" s="1"/>
      <c r="F878" s="1"/>
      <c r="G878" s="1"/>
      <c r="H878" s="37"/>
      <c r="I878" s="170"/>
    </row>
    <row r="879" spans="2:11" x14ac:dyDescent="0.15">
      <c r="B879" s="1"/>
      <c r="C879" s="1"/>
      <c r="D879" s="1"/>
      <c r="E879" s="1"/>
      <c r="F879" s="1"/>
      <c r="G879" s="1"/>
      <c r="H879" s="37"/>
      <c r="I879" s="170"/>
    </row>
    <row r="880" spans="2:11" x14ac:dyDescent="0.15">
      <c r="B880" s="1"/>
      <c r="C880" s="1"/>
      <c r="D880" s="1"/>
      <c r="E880" s="1"/>
      <c r="F880" s="1"/>
      <c r="G880" s="1"/>
      <c r="H880" s="37"/>
      <c r="I880" s="170"/>
    </row>
    <row r="881" spans="2:10" x14ac:dyDescent="0.15">
      <c r="B881" s="1"/>
      <c r="C881" s="1"/>
      <c r="D881" s="1"/>
      <c r="E881" s="1"/>
      <c r="F881" s="1"/>
      <c r="G881" s="1"/>
      <c r="H881" s="37"/>
      <c r="I881" s="170"/>
    </row>
    <row r="882" spans="2:10" x14ac:dyDescent="0.15">
      <c r="B882" s="1"/>
      <c r="C882" s="1"/>
      <c r="D882" s="1"/>
      <c r="E882" s="1"/>
      <c r="F882" s="1"/>
      <c r="G882" s="1"/>
      <c r="H882" s="37"/>
      <c r="I882" s="170"/>
    </row>
    <row r="883" spans="2:10" ht="14" x14ac:dyDescent="0.15">
      <c r="B883" s="101"/>
      <c r="C883" s="1"/>
      <c r="D883" s="1"/>
      <c r="E883" s="1"/>
      <c r="F883" s="1"/>
      <c r="G883" s="1"/>
      <c r="H883" s="1"/>
      <c r="I883" s="170"/>
    </row>
    <row r="884" spans="2:10" ht="14" x14ac:dyDescent="0.15">
      <c r="B884" s="101"/>
      <c r="C884" s="11"/>
      <c r="D884" s="1"/>
      <c r="E884" s="153"/>
      <c r="F884" s="153"/>
      <c r="G884" s="153"/>
      <c r="H884" s="153"/>
      <c r="I884" s="169"/>
    </row>
    <row r="885" spans="2:10" ht="14" x14ac:dyDescent="0.15">
      <c r="B885" s="83"/>
      <c r="C885" s="11"/>
      <c r="D885" s="1"/>
      <c r="E885" s="153"/>
      <c r="F885" s="153"/>
      <c r="G885" s="153"/>
      <c r="H885" s="153"/>
      <c r="I885" s="169"/>
    </row>
    <row r="886" spans="2:10" x14ac:dyDescent="0.15">
      <c r="B886" s="11"/>
      <c r="C886" s="11"/>
      <c r="D886" s="1"/>
      <c r="E886" s="153"/>
      <c r="F886" s="153"/>
      <c r="G886" s="153"/>
      <c r="H886" s="153"/>
      <c r="I886" s="169"/>
    </row>
    <row r="887" spans="2:10" x14ac:dyDescent="0.15">
      <c r="B887" s="11"/>
      <c r="C887" s="11"/>
      <c r="D887" s="1"/>
      <c r="E887" s="153"/>
      <c r="F887" s="153"/>
      <c r="G887" s="153"/>
      <c r="H887" s="153"/>
      <c r="I887" s="169"/>
    </row>
    <row r="888" spans="2:10" x14ac:dyDescent="0.15">
      <c r="B888" s="11"/>
      <c r="C888" s="11"/>
      <c r="D888" s="1"/>
      <c r="E888" s="153"/>
      <c r="F888" s="153"/>
      <c r="G888" s="153"/>
      <c r="H888" s="153"/>
      <c r="I888" s="169"/>
    </row>
    <row r="889" spans="2:10" x14ac:dyDescent="0.15">
      <c r="B889" s="11"/>
      <c r="C889" s="11"/>
      <c r="D889" s="1"/>
      <c r="E889" s="153"/>
      <c r="F889" s="153"/>
      <c r="G889" s="153"/>
      <c r="H889" s="153"/>
      <c r="I889" s="169"/>
    </row>
    <row r="890" spans="2:10" x14ac:dyDescent="0.15">
      <c r="B890" s="11"/>
      <c r="C890" s="11"/>
      <c r="D890" s="1"/>
      <c r="E890" s="153"/>
      <c r="F890" s="153"/>
      <c r="G890" s="153"/>
      <c r="H890" s="153"/>
      <c r="I890" s="169"/>
    </row>
    <row r="891" spans="2:10" x14ac:dyDescent="0.15">
      <c r="B891" s="11"/>
      <c r="C891" s="11"/>
      <c r="D891" s="1"/>
      <c r="E891" s="153"/>
      <c r="F891" s="153"/>
      <c r="G891" s="153"/>
      <c r="H891" s="153"/>
      <c r="I891" s="169"/>
    </row>
    <row r="892" spans="2:10" ht="14" x14ac:dyDescent="0.15">
      <c r="B892" s="83"/>
      <c r="C892" s="83"/>
      <c r="D892" s="84"/>
      <c r="E892" s="83"/>
      <c r="F892" s="83"/>
      <c r="G892" s="103"/>
      <c r="H892" s="83"/>
      <c r="I892" s="85"/>
      <c r="J892" s="85"/>
    </row>
    <row r="893" spans="2:10" ht="14" x14ac:dyDescent="0.15">
      <c r="B893" s="83"/>
      <c r="C893" s="83"/>
      <c r="D893" s="84"/>
      <c r="E893" s="83"/>
      <c r="F893" s="83"/>
      <c r="G893" s="103"/>
      <c r="H893" s="83"/>
      <c r="I893" s="85"/>
      <c r="J893" s="85"/>
    </row>
    <row r="894" spans="2:10" ht="14" thickBot="1" x14ac:dyDescent="0.2">
      <c r="B894" s="11"/>
      <c r="C894" s="11"/>
      <c r="D894" s="1"/>
      <c r="E894" s="153"/>
      <c r="F894" s="153"/>
      <c r="G894" s="153"/>
      <c r="H894" s="153"/>
      <c r="I894" s="169"/>
    </row>
    <row r="895" spans="2:10" ht="21" customHeight="1" x14ac:dyDescent="0.15">
      <c r="B895" s="607" t="s">
        <v>1065</v>
      </c>
      <c r="C895" s="608"/>
      <c r="D895" s="608"/>
      <c r="E895" s="608"/>
      <c r="F895" s="609"/>
      <c r="G895" s="1"/>
      <c r="H895" s="638" t="s">
        <v>20</v>
      </c>
      <c r="I895" s="639"/>
    </row>
    <row r="896" spans="2:10" ht="16.5" customHeight="1" x14ac:dyDescent="0.15">
      <c r="B896" s="604" t="s">
        <v>446</v>
      </c>
      <c r="C896" s="605"/>
      <c r="D896" s="605"/>
      <c r="E896" s="605"/>
      <c r="F896" s="606"/>
      <c r="G896" s="63"/>
      <c r="H896" s="640"/>
      <c r="I896" s="641"/>
    </row>
    <row r="897" spans="2:9" ht="12.75" customHeight="1" x14ac:dyDescent="0.15">
      <c r="B897" s="610" t="s">
        <v>447</v>
      </c>
      <c r="C897" s="611"/>
      <c r="D897" s="611"/>
      <c r="E897" s="611"/>
      <c r="F897" s="612"/>
      <c r="G897" s="63"/>
      <c r="H897" s="642"/>
      <c r="I897" s="643"/>
    </row>
    <row r="898" spans="2:9" ht="16.5" customHeight="1" thickBot="1" x14ac:dyDescent="0.2">
      <c r="B898" s="613"/>
      <c r="C898" s="614"/>
      <c r="D898" s="614"/>
      <c r="E898" s="614"/>
      <c r="F898" s="615"/>
      <c r="G898" s="1"/>
      <c r="H898" s="662" t="s">
        <v>921</v>
      </c>
      <c r="I898" s="663"/>
    </row>
    <row r="899" spans="2:9" ht="14" thickBot="1" x14ac:dyDescent="0.2">
      <c r="B899" s="15"/>
      <c r="C899" s="16"/>
      <c r="D899" s="1"/>
      <c r="E899" s="1"/>
      <c r="F899" s="1"/>
      <c r="G899" s="1"/>
      <c r="H899" s="664"/>
      <c r="I899" s="665"/>
    </row>
    <row r="900" spans="2:9" ht="12.75" customHeight="1" x14ac:dyDescent="0.15">
      <c r="B900" s="650" t="s">
        <v>890</v>
      </c>
      <c r="C900" s="651"/>
      <c r="D900" s="651"/>
      <c r="E900" s="651"/>
      <c r="F900" s="652"/>
      <c r="G900" s="1"/>
      <c r="H900" s="664"/>
      <c r="I900" s="665"/>
    </row>
    <row r="901" spans="2:9" ht="12.75" customHeight="1" x14ac:dyDescent="0.15">
      <c r="B901" s="653"/>
      <c r="C901" s="654"/>
      <c r="D901" s="654"/>
      <c r="E901" s="654"/>
      <c r="F901" s="655"/>
      <c r="H901" s="664"/>
      <c r="I901" s="665"/>
    </row>
    <row r="902" spans="2:9" ht="13.5" customHeight="1" x14ac:dyDescent="0.15">
      <c r="B902" s="653"/>
      <c r="C902" s="654"/>
      <c r="D902" s="654"/>
      <c r="E902" s="654"/>
      <c r="F902" s="655"/>
      <c r="G902" s="11"/>
      <c r="H902" s="666"/>
      <c r="I902" s="667"/>
    </row>
    <row r="903" spans="2:9" ht="21.75" customHeight="1" thickBot="1" x14ac:dyDescent="0.2">
      <c r="B903" s="656"/>
      <c r="C903" s="657"/>
      <c r="D903" s="657"/>
      <c r="E903" s="657"/>
      <c r="F903" s="658"/>
      <c r="H903" s="64" t="s">
        <v>45</v>
      </c>
      <c r="I903" s="17" t="s">
        <v>193</v>
      </c>
    </row>
    <row r="904" spans="2:9" x14ac:dyDescent="0.15">
      <c r="B904" s="18"/>
      <c r="C904" s="18"/>
      <c r="D904" s="1"/>
      <c r="E904" s="18"/>
      <c r="F904" s="18"/>
      <c r="G904" s="18"/>
      <c r="H904" s="18"/>
      <c r="I904" s="1"/>
    </row>
    <row r="905" spans="2:9" ht="14" thickBot="1" x14ac:dyDescent="0.2">
      <c r="B905" s="12" t="s">
        <v>21</v>
      </c>
      <c r="C905" s="12"/>
      <c r="D905" s="1"/>
      <c r="E905" s="1"/>
      <c r="F905" s="1"/>
      <c r="G905" s="1"/>
      <c r="H905" s="1"/>
      <c r="I905" s="1"/>
    </row>
    <row r="906" spans="2:9" x14ac:dyDescent="0.15">
      <c r="B906" s="628" t="s">
        <v>22</v>
      </c>
      <c r="C906" s="629"/>
      <c r="D906" s="630"/>
      <c r="E906" s="205" t="s">
        <v>23</v>
      </c>
      <c r="F906" s="19" t="s">
        <v>47</v>
      </c>
      <c r="G906" s="205" t="s">
        <v>24</v>
      </c>
      <c r="H906" s="204" t="s">
        <v>25</v>
      </c>
      <c r="I906" s="43"/>
    </row>
    <row r="907" spans="2:9" x14ac:dyDescent="0.15">
      <c r="B907" s="631" t="s">
        <v>56</v>
      </c>
      <c r="C907" s="632"/>
      <c r="D907" s="633"/>
      <c r="E907" s="5"/>
      <c r="F907" s="160"/>
      <c r="G907" s="58"/>
      <c r="H907" s="160">
        <f>I929*0.05</f>
        <v>1320.0606481481482</v>
      </c>
      <c r="I907" s="44"/>
    </row>
    <row r="908" spans="2:9" x14ac:dyDescent="0.15">
      <c r="B908" s="631" t="s">
        <v>527</v>
      </c>
      <c r="C908" s="632"/>
      <c r="D908" s="633"/>
      <c r="E908" s="5"/>
      <c r="F908" s="160">
        <f>'HERRAMIENTAS Y EQUIPOS'!C24*6</f>
        <v>27000</v>
      </c>
      <c r="G908" s="58">
        <v>27</v>
      </c>
      <c r="H908" s="160">
        <f>F908/G908</f>
        <v>1000</v>
      </c>
      <c r="I908" s="44"/>
    </row>
    <row r="909" spans="2:9" ht="14" thickBot="1" x14ac:dyDescent="0.2">
      <c r="B909" s="634"/>
      <c r="C909" s="635"/>
      <c r="D909" s="636"/>
      <c r="E909" s="21"/>
      <c r="F909" s="22"/>
      <c r="G909" s="23"/>
      <c r="H909" s="47"/>
      <c r="I909" s="48"/>
    </row>
    <row r="910" spans="2:9" ht="14" thickBot="1" x14ac:dyDescent="0.2">
      <c r="B910" s="1"/>
      <c r="C910" s="1"/>
      <c r="D910" s="1"/>
      <c r="E910" s="1"/>
      <c r="F910" s="1"/>
      <c r="G910" s="1"/>
      <c r="H910" s="37" t="s">
        <v>26</v>
      </c>
      <c r="I910" s="161">
        <f>SUM(H907:H909)</f>
        <v>2320.0606481481482</v>
      </c>
    </row>
    <row r="911" spans="2:9" ht="14" thickBot="1" x14ac:dyDescent="0.2">
      <c r="B911" s="12" t="s">
        <v>27</v>
      </c>
      <c r="C911" s="12"/>
      <c r="D911" s="1"/>
      <c r="E911" s="1"/>
      <c r="F911" s="1"/>
      <c r="G911" s="1"/>
      <c r="H911" s="1"/>
      <c r="I911" s="1"/>
    </row>
    <row r="912" spans="2:9" x14ac:dyDescent="0.15">
      <c r="B912" s="628" t="s">
        <v>22</v>
      </c>
      <c r="C912" s="629"/>
      <c r="D912" s="630"/>
      <c r="E912" s="205" t="s">
        <v>28</v>
      </c>
      <c r="F912" s="205" t="s">
        <v>29</v>
      </c>
      <c r="G912" s="205" t="s">
        <v>30</v>
      </c>
      <c r="H912" s="204" t="s">
        <v>25</v>
      </c>
      <c r="I912" s="43"/>
    </row>
    <row r="913" spans="2:11" x14ac:dyDescent="0.15">
      <c r="B913" s="4" t="s">
        <v>474</v>
      </c>
      <c r="C913" s="24"/>
      <c r="D913" s="6"/>
      <c r="E913" s="3" t="s">
        <v>58</v>
      </c>
      <c r="F913" s="164">
        <f>'APU -BASICOS'!H204</f>
        <v>9182</v>
      </c>
      <c r="G913" s="73">
        <f>4*1.2*0.56</f>
        <v>2.6880000000000002</v>
      </c>
      <c r="H913" s="163">
        <f>G913*F913</f>
        <v>24681.216</v>
      </c>
      <c r="I913" s="44"/>
    </row>
    <row r="914" spans="2:11" x14ac:dyDescent="0.15">
      <c r="B914" s="4" t="s">
        <v>474</v>
      </c>
      <c r="C914" s="24"/>
      <c r="D914" s="6"/>
      <c r="E914" s="3" t="s">
        <v>58</v>
      </c>
      <c r="F914" s="164">
        <f>'APU -BASICOS'!H260</f>
        <v>9182</v>
      </c>
      <c r="G914" s="73">
        <f>0.85*5*0.56</f>
        <v>2.3800000000000003</v>
      </c>
      <c r="H914" s="163">
        <f>G914*F914</f>
        <v>21853.160000000003</v>
      </c>
      <c r="I914" s="44"/>
    </row>
    <row r="915" spans="2:11" x14ac:dyDescent="0.15">
      <c r="B915" s="4" t="s">
        <v>63</v>
      </c>
      <c r="C915" s="24"/>
      <c r="D915" s="6"/>
      <c r="E915" s="3" t="s">
        <v>6</v>
      </c>
      <c r="F915" s="162">
        <f>'APU -BASICOS'!H96</f>
        <v>585821</v>
      </c>
      <c r="G915" s="73">
        <f>0.15*0.25*1</f>
        <v>3.7499999999999999E-2</v>
      </c>
      <c r="H915" s="163">
        <f>G915*F915</f>
        <v>21968.287499999999</v>
      </c>
      <c r="I915" s="44"/>
    </row>
    <row r="916" spans="2:11" ht="14" thickBot="1" x14ac:dyDescent="0.2">
      <c r="B916" s="25"/>
      <c r="C916" s="26"/>
      <c r="D916" s="27"/>
      <c r="E916" s="21"/>
      <c r="F916" s="22"/>
      <c r="G916" s="165"/>
      <c r="H916" s="47"/>
      <c r="I916" s="48"/>
      <c r="K916" s="223"/>
    </row>
    <row r="917" spans="2:11" ht="14" thickBot="1" x14ac:dyDescent="0.2">
      <c r="B917" s="1"/>
      <c r="C917" s="1"/>
      <c r="D917" s="1"/>
      <c r="E917" s="1"/>
      <c r="F917" s="1"/>
      <c r="G917" s="1"/>
      <c r="H917" s="37" t="s">
        <v>26</v>
      </c>
      <c r="I917" s="161">
        <f>SUM(H913:H915)</f>
        <v>68502.663499999995</v>
      </c>
    </row>
    <row r="918" spans="2:11" ht="14" thickBot="1" x14ac:dyDescent="0.2">
      <c r="B918" s="28" t="s">
        <v>31</v>
      </c>
      <c r="C918" s="28"/>
      <c r="D918" s="26"/>
      <c r="E918" s="1"/>
      <c r="F918" s="1"/>
      <c r="G918" s="1"/>
      <c r="H918" s="1"/>
      <c r="I918" s="1"/>
    </row>
    <row r="919" spans="2:11" x14ac:dyDescent="0.15">
      <c r="B919" s="51" t="s">
        <v>32</v>
      </c>
      <c r="C919" s="52"/>
      <c r="D919" s="96" t="s">
        <v>33</v>
      </c>
      <c r="E919" s="205" t="s">
        <v>34</v>
      </c>
      <c r="F919" s="205" t="s">
        <v>35</v>
      </c>
      <c r="G919" s="205" t="s">
        <v>36</v>
      </c>
      <c r="H919" s="59" t="s">
        <v>25</v>
      </c>
      <c r="I919" s="43"/>
    </row>
    <row r="920" spans="2:11" x14ac:dyDescent="0.15">
      <c r="B920" s="4"/>
      <c r="C920" s="24"/>
      <c r="D920" s="60"/>
      <c r="E920" s="2"/>
      <c r="F920" s="2"/>
      <c r="G920" s="160"/>
      <c r="H920" s="55"/>
      <c r="I920" s="44"/>
      <c r="K920" s="105"/>
    </row>
    <row r="921" spans="2:11" x14ac:dyDescent="0.15">
      <c r="B921" s="106"/>
      <c r="C921" s="66"/>
      <c r="D921" s="67"/>
      <c r="E921" s="68"/>
      <c r="F921" s="68"/>
      <c r="G921" s="69"/>
      <c r="H921" s="65"/>
      <c r="I921" s="44"/>
    </row>
    <row r="922" spans="2:11" ht="14" thickBot="1" x14ac:dyDescent="0.2">
      <c r="B922" s="33"/>
      <c r="C922" s="54"/>
      <c r="D922" s="21"/>
      <c r="E922" s="22"/>
      <c r="F922" s="23"/>
      <c r="G922" s="47"/>
      <c r="H922" s="21"/>
      <c r="I922" s="48"/>
    </row>
    <row r="923" spans="2:11" ht="14" thickBot="1" x14ac:dyDescent="0.2">
      <c r="B923" s="1"/>
      <c r="C923" s="1"/>
      <c r="D923" s="1"/>
      <c r="E923" s="1"/>
      <c r="F923" s="1"/>
      <c r="G923" s="1"/>
      <c r="H923" s="37" t="s">
        <v>26</v>
      </c>
      <c r="I923" s="161">
        <f>SUM(H920:H922)</f>
        <v>0</v>
      </c>
    </row>
    <row r="924" spans="2:11" ht="14" thickBot="1" x14ac:dyDescent="0.2">
      <c r="B924" s="28" t="s">
        <v>37</v>
      </c>
      <c r="C924" s="28"/>
      <c r="D924" s="1"/>
      <c r="E924" s="1"/>
      <c r="F924" s="1"/>
      <c r="G924" s="1"/>
      <c r="H924" s="1"/>
      <c r="I924" s="1"/>
    </row>
    <row r="925" spans="2:11" x14ac:dyDescent="0.15">
      <c r="B925" s="51" t="s">
        <v>38</v>
      </c>
      <c r="C925" s="86"/>
      <c r="D925" s="31" t="s">
        <v>39</v>
      </c>
      <c r="E925" s="205" t="s">
        <v>40</v>
      </c>
      <c r="F925" s="19" t="s">
        <v>41</v>
      </c>
      <c r="G925" s="31" t="s">
        <v>24</v>
      </c>
      <c r="H925" s="204" t="s">
        <v>25</v>
      </c>
      <c r="I925" s="43"/>
      <c r="K925" s="105"/>
    </row>
    <row r="926" spans="2:11" x14ac:dyDescent="0.15">
      <c r="B926" s="4" t="s">
        <v>65</v>
      </c>
      <c r="C926" s="24"/>
      <c r="D926" s="32">
        <f>'MANO DE OBRA'!E15</f>
        <v>95333</v>
      </c>
      <c r="E926" s="88">
        <v>1.75</v>
      </c>
      <c r="F926" s="162">
        <f>+E926*D926</f>
        <v>166832.75</v>
      </c>
      <c r="G926" s="20">
        <f>G908</f>
        <v>27</v>
      </c>
      <c r="H926" s="167">
        <f>+F926/G926</f>
        <v>6178.9907407407409</v>
      </c>
      <c r="I926" s="44"/>
    </row>
    <row r="927" spans="2:11" x14ac:dyDescent="0.15">
      <c r="B927" s="4" t="s">
        <v>94</v>
      </c>
      <c r="C927" s="24"/>
      <c r="D927" s="32">
        <f>'MANO DE OBRA'!E14*6</f>
        <v>312000</v>
      </c>
      <c r="E927" s="88">
        <v>1.75</v>
      </c>
      <c r="F927" s="162">
        <f>+E927*D927</f>
        <v>546000</v>
      </c>
      <c r="G927" s="20">
        <f>G908</f>
        <v>27</v>
      </c>
      <c r="H927" s="167">
        <f>+F927/G927</f>
        <v>20222.222222222223</v>
      </c>
      <c r="I927" s="44"/>
    </row>
    <row r="928" spans="2:11" ht="14" thickBot="1" x14ac:dyDescent="0.2">
      <c r="B928" s="33"/>
      <c r="C928" s="34"/>
      <c r="D928" s="22"/>
      <c r="E928" s="21"/>
      <c r="F928" s="22"/>
      <c r="G928" s="23"/>
      <c r="H928" s="47"/>
      <c r="I928" s="48"/>
      <c r="K928" s="105"/>
    </row>
    <row r="929" spans="2:9" ht="14" thickBot="1" x14ac:dyDescent="0.2">
      <c r="B929" s="1"/>
      <c r="C929" s="1"/>
      <c r="D929" s="1"/>
      <c r="E929" s="1"/>
      <c r="F929" s="1"/>
      <c r="G929" s="1"/>
      <c r="H929" s="37" t="s">
        <v>26</v>
      </c>
      <c r="I929" s="175">
        <f>SUM(H926:H928)</f>
        <v>26401.212962962964</v>
      </c>
    </row>
    <row r="930" spans="2:9" ht="14" thickBot="1" x14ac:dyDescent="0.2">
      <c r="B930" s="1"/>
      <c r="C930" s="1"/>
      <c r="D930" s="1"/>
      <c r="E930" s="1"/>
      <c r="F930" s="1"/>
      <c r="G930" s="1"/>
      <c r="H930" s="61"/>
      <c r="I930" s="1"/>
    </row>
    <row r="931" spans="2:9" ht="15" thickBot="1" x14ac:dyDescent="0.2">
      <c r="B931" s="1"/>
      <c r="C931" s="1"/>
      <c r="D931" s="1"/>
      <c r="E931" s="1"/>
      <c r="F931" s="35" t="s">
        <v>43</v>
      </c>
      <c r="G931" s="16"/>
      <c r="H931" s="16"/>
      <c r="I931" s="222">
        <f>ROUND((I910+I917+I923+I929),0)</f>
        <v>97224</v>
      </c>
    </row>
    <row r="932" spans="2:9" x14ac:dyDescent="0.15">
      <c r="B932" s="12"/>
      <c r="C932" s="12"/>
      <c r="D932" s="1"/>
      <c r="E932" s="1"/>
      <c r="F932" s="1"/>
      <c r="G932" s="1"/>
      <c r="H932" s="170"/>
      <c r="I932" s="170"/>
    </row>
    <row r="933" spans="2:9" x14ac:dyDescent="0.15">
      <c r="B933" s="16"/>
      <c r="C933" s="16"/>
      <c r="D933" s="16"/>
      <c r="E933" s="16"/>
      <c r="F933" s="16"/>
      <c r="G933" s="61"/>
      <c r="H933" s="171"/>
      <c r="I933" s="170"/>
    </row>
    <row r="934" spans="2:9" x14ac:dyDescent="0.15">
      <c r="B934" s="1"/>
      <c r="C934" s="1"/>
      <c r="D934" s="1"/>
      <c r="E934" s="1"/>
      <c r="F934" s="1"/>
      <c r="G934" s="159"/>
      <c r="H934" s="170"/>
      <c r="I934" s="170"/>
    </row>
    <row r="935" spans="2:9" x14ac:dyDescent="0.15">
      <c r="B935" s="1"/>
      <c r="C935" s="1"/>
      <c r="D935" s="1"/>
      <c r="E935" s="1"/>
      <c r="F935" s="1"/>
      <c r="G935" s="159"/>
      <c r="H935" s="170"/>
      <c r="I935" s="170"/>
    </row>
    <row r="936" spans="2:9" x14ac:dyDescent="0.15">
      <c r="B936" s="1"/>
      <c r="C936" s="1"/>
      <c r="D936" s="1"/>
      <c r="E936" s="1"/>
      <c r="F936" s="1"/>
      <c r="G936" s="159"/>
      <c r="H936" s="170"/>
      <c r="I936" s="170"/>
    </row>
    <row r="937" spans="2:9" x14ac:dyDescent="0.15">
      <c r="B937" s="1"/>
      <c r="C937" s="1"/>
      <c r="D937" s="1"/>
      <c r="E937" s="1"/>
      <c r="F937" s="1"/>
      <c r="G937" s="1"/>
      <c r="H937" s="37"/>
      <c r="I937" s="170"/>
    </row>
    <row r="938" spans="2:9" ht="14" x14ac:dyDescent="0.15">
      <c r="B938" s="101"/>
      <c r="C938" s="1"/>
      <c r="D938" s="1"/>
      <c r="E938" s="1"/>
      <c r="F938" s="1"/>
      <c r="G938" s="1"/>
      <c r="H938" s="1"/>
      <c r="I938" s="170"/>
    </row>
    <row r="939" spans="2:9" ht="14" x14ac:dyDescent="0.15">
      <c r="B939" s="83"/>
      <c r="C939" s="11"/>
      <c r="D939" s="1"/>
      <c r="E939" s="637"/>
      <c r="F939" s="637"/>
      <c r="G939" s="637"/>
      <c r="H939" s="637"/>
      <c r="I939" s="169"/>
    </row>
    <row r="940" spans="2:9" ht="14" x14ac:dyDescent="0.15">
      <c r="B940" s="101"/>
      <c r="C940" s="11"/>
      <c r="D940" s="1"/>
      <c r="E940" s="153"/>
      <c r="F940" s="153"/>
      <c r="G940" s="153"/>
      <c r="H940" s="153"/>
      <c r="I940" s="169"/>
    </row>
    <row r="941" spans="2:9" ht="14" x14ac:dyDescent="0.15">
      <c r="B941" s="101"/>
      <c r="C941" s="11"/>
      <c r="D941" s="1"/>
      <c r="E941" s="153"/>
      <c r="F941" s="153"/>
      <c r="G941" s="153"/>
      <c r="H941" s="153"/>
      <c r="I941" s="169"/>
    </row>
    <row r="942" spans="2:9" ht="14" x14ac:dyDescent="0.15">
      <c r="B942" s="101"/>
      <c r="C942" s="11"/>
      <c r="D942" s="1"/>
      <c r="E942" s="153"/>
      <c r="F942" s="153"/>
      <c r="G942" s="153"/>
      <c r="H942" s="153"/>
      <c r="I942" s="169"/>
    </row>
    <row r="943" spans="2:9" ht="14" x14ac:dyDescent="0.15">
      <c r="B943" s="101"/>
      <c r="C943" s="11"/>
      <c r="D943" s="1"/>
      <c r="E943" s="153"/>
      <c r="F943" s="153"/>
      <c r="G943" s="153"/>
      <c r="H943" s="153"/>
      <c r="I943" s="169"/>
    </row>
    <row r="944" spans="2:9" ht="14" x14ac:dyDescent="0.15">
      <c r="B944" s="101"/>
      <c r="C944" s="11"/>
      <c r="D944" s="1"/>
      <c r="E944" s="153"/>
      <c r="F944" s="153"/>
      <c r="G944" s="153"/>
      <c r="H944" s="153"/>
      <c r="I944" s="169"/>
    </row>
    <row r="945" spans="2:10" ht="14" x14ac:dyDescent="0.15">
      <c r="B945" s="101"/>
      <c r="C945" s="11"/>
      <c r="D945" s="1"/>
      <c r="E945" s="153"/>
      <c r="F945" s="153"/>
      <c r="G945" s="153"/>
      <c r="H945" s="153"/>
      <c r="I945" s="169"/>
    </row>
    <row r="946" spans="2:10" ht="14" x14ac:dyDescent="0.15">
      <c r="B946" s="101"/>
      <c r="C946" s="11"/>
      <c r="D946" s="1"/>
      <c r="E946" s="153"/>
      <c r="F946" s="153"/>
      <c r="G946" s="153"/>
      <c r="H946" s="153"/>
      <c r="I946" s="169"/>
    </row>
    <row r="947" spans="2:10" ht="14" x14ac:dyDescent="0.15">
      <c r="B947" s="83"/>
      <c r="C947" s="11"/>
      <c r="D947" s="1"/>
      <c r="E947" s="153"/>
      <c r="F947" s="153"/>
      <c r="G947" s="153"/>
      <c r="H947" s="153"/>
      <c r="I947" s="169"/>
    </row>
    <row r="948" spans="2:10" x14ac:dyDescent="0.15">
      <c r="B948" s="11"/>
      <c r="C948" s="11"/>
      <c r="D948" s="1"/>
      <c r="E948" s="153"/>
      <c r="F948" s="153"/>
      <c r="G948" s="153"/>
      <c r="H948" s="153"/>
      <c r="I948" s="169"/>
    </row>
    <row r="949" spans="2:10" x14ac:dyDescent="0.15">
      <c r="B949" s="11"/>
      <c r="C949" s="11"/>
      <c r="D949" s="1"/>
      <c r="E949" s="153"/>
      <c r="F949" s="153"/>
      <c r="G949" s="153"/>
      <c r="H949" s="153"/>
      <c r="I949" s="169"/>
    </row>
    <row r="950" spans="2:10" ht="14" x14ac:dyDescent="0.15">
      <c r="B950" s="101"/>
      <c r="C950" s="83"/>
      <c r="D950" s="84"/>
      <c r="E950" s="83"/>
      <c r="F950" s="83"/>
      <c r="G950" s="102"/>
      <c r="H950" s="83"/>
      <c r="I950" s="85"/>
      <c r="J950" s="85"/>
    </row>
    <row r="951" spans="2:10" ht="14" x14ac:dyDescent="0.15">
      <c r="B951" s="83"/>
      <c r="C951" s="83"/>
      <c r="D951" s="84"/>
      <c r="E951" s="83"/>
      <c r="F951" s="83"/>
      <c r="G951" s="103"/>
      <c r="H951" s="83"/>
      <c r="I951" s="85"/>
      <c r="J951" s="85"/>
    </row>
    <row r="952" spans="2:10" ht="14" x14ac:dyDescent="0.15">
      <c r="B952" s="83"/>
      <c r="C952" s="83"/>
      <c r="D952" s="84"/>
      <c r="E952" s="83"/>
      <c r="F952" s="83"/>
      <c r="G952" s="103"/>
      <c r="H952" s="83"/>
      <c r="I952" s="85"/>
      <c r="J952" s="85"/>
    </row>
    <row r="953" spans="2:10" ht="14" thickBot="1" x14ac:dyDescent="0.2">
      <c r="B953" s="11"/>
      <c r="C953" s="11"/>
      <c r="D953" s="1"/>
      <c r="E953" s="153"/>
      <c r="F953" s="153"/>
      <c r="G953" s="153"/>
      <c r="H953" s="153"/>
      <c r="I953" s="169"/>
    </row>
    <row r="954" spans="2:10" ht="21" customHeight="1" x14ac:dyDescent="0.15">
      <c r="B954" s="607" t="s">
        <v>1065</v>
      </c>
      <c r="C954" s="608"/>
      <c r="D954" s="608"/>
      <c r="E954" s="608"/>
      <c r="F954" s="609"/>
      <c r="G954" s="1"/>
      <c r="H954" s="638" t="s">
        <v>20</v>
      </c>
      <c r="I954" s="639"/>
    </row>
    <row r="955" spans="2:10" ht="16.5" customHeight="1" x14ac:dyDescent="0.15">
      <c r="B955" s="604" t="s">
        <v>446</v>
      </c>
      <c r="C955" s="605"/>
      <c r="D955" s="605"/>
      <c r="E955" s="605"/>
      <c r="F955" s="606"/>
      <c r="G955" s="63"/>
      <c r="H955" s="640"/>
      <c r="I955" s="641"/>
    </row>
    <row r="956" spans="2:10" ht="12.75" customHeight="1" x14ac:dyDescent="0.15">
      <c r="B956" s="610" t="s">
        <v>447</v>
      </c>
      <c r="C956" s="611"/>
      <c r="D956" s="611"/>
      <c r="E956" s="611"/>
      <c r="F956" s="612"/>
      <c r="G956" s="63"/>
      <c r="H956" s="642"/>
      <c r="I956" s="643"/>
    </row>
    <row r="957" spans="2:10" ht="16.5" customHeight="1" thickBot="1" x14ac:dyDescent="0.2">
      <c r="B957" s="613"/>
      <c r="C957" s="614"/>
      <c r="D957" s="614"/>
      <c r="E957" s="614"/>
      <c r="F957" s="615"/>
      <c r="G957" s="1"/>
      <c r="H957" s="662" t="s">
        <v>928</v>
      </c>
      <c r="I957" s="663"/>
    </row>
    <row r="958" spans="2:10" ht="14" thickBot="1" x14ac:dyDescent="0.2">
      <c r="B958" s="15"/>
      <c r="C958" s="16"/>
      <c r="D958" s="1"/>
      <c r="E958" s="1"/>
      <c r="F958" s="1"/>
      <c r="G958" s="1"/>
      <c r="H958" s="664"/>
      <c r="I958" s="665"/>
    </row>
    <row r="959" spans="2:10" ht="12.75" customHeight="1" x14ac:dyDescent="0.15">
      <c r="B959" s="650" t="s">
        <v>890</v>
      </c>
      <c r="C959" s="651"/>
      <c r="D959" s="651"/>
      <c r="E959" s="651"/>
      <c r="F959" s="652"/>
      <c r="G959" s="1"/>
      <c r="H959" s="664"/>
      <c r="I959" s="665"/>
    </row>
    <row r="960" spans="2:10" ht="12.75" customHeight="1" x14ac:dyDescent="0.15">
      <c r="B960" s="653"/>
      <c r="C960" s="654"/>
      <c r="D960" s="654"/>
      <c r="E960" s="654"/>
      <c r="F960" s="655"/>
      <c r="H960" s="664"/>
      <c r="I960" s="665"/>
    </row>
    <row r="961" spans="2:11" ht="13.5" customHeight="1" x14ac:dyDescent="0.15">
      <c r="B961" s="653"/>
      <c r="C961" s="654"/>
      <c r="D961" s="654"/>
      <c r="E961" s="654"/>
      <c r="F961" s="655"/>
      <c r="G961" s="11"/>
      <c r="H961" s="666"/>
      <c r="I961" s="667"/>
    </row>
    <row r="962" spans="2:11" ht="21.75" customHeight="1" thickBot="1" x14ac:dyDescent="0.2">
      <c r="B962" s="656"/>
      <c r="C962" s="657"/>
      <c r="D962" s="657"/>
      <c r="E962" s="657"/>
      <c r="F962" s="658"/>
      <c r="H962" s="64" t="s">
        <v>45</v>
      </c>
      <c r="I962" s="17" t="s">
        <v>193</v>
      </c>
    </row>
    <row r="963" spans="2:11" x14ac:dyDescent="0.15">
      <c r="B963" s="18"/>
      <c r="C963" s="18"/>
      <c r="D963" s="1"/>
      <c r="E963" s="18"/>
      <c r="F963" s="18"/>
      <c r="G963" s="18"/>
      <c r="H963" s="18"/>
      <c r="I963" s="1"/>
    </row>
    <row r="964" spans="2:11" ht="14" thickBot="1" x14ac:dyDescent="0.2">
      <c r="B964" s="12" t="s">
        <v>21</v>
      </c>
      <c r="C964" s="12"/>
      <c r="D964" s="1"/>
      <c r="E964" s="1"/>
      <c r="F964" s="1"/>
      <c r="G964" s="1"/>
      <c r="H964" s="1"/>
      <c r="I964" s="1"/>
    </row>
    <row r="965" spans="2:11" x14ac:dyDescent="0.15">
      <c r="B965" s="628" t="s">
        <v>22</v>
      </c>
      <c r="C965" s="629"/>
      <c r="D965" s="630"/>
      <c r="E965" s="205" t="s">
        <v>23</v>
      </c>
      <c r="F965" s="19" t="s">
        <v>47</v>
      </c>
      <c r="G965" s="205" t="s">
        <v>24</v>
      </c>
      <c r="H965" s="204" t="s">
        <v>25</v>
      </c>
      <c r="I965" s="43"/>
    </row>
    <row r="966" spans="2:11" x14ac:dyDescent="0.15">
      <c r="B966" s="631" t="s">
        <v>56</v>
      </c>
      <c r="C966" s="632"/>
      <c r="D966" s="633"/>
      <c r="E966" s="5"/>
      <c r="F966" s="160"/>
      <c r="G966" s="58"/>
      <c r="H966" s="160">
        <f>I988*0.05</f>
        <v>5091.6625000000004</v>
      </c>
      <c r="I966" s="44"/>
    </row>
    <row r="967" spans="2:11" x14ac:dyDescent="0.15">
      <c r="B967" s="631" t="s">
        <v>532</v>
      </c>
      <c r="C967" s="632"/>
      <c r="D967" s="633"/>
      <c r="E967" s="5"/>
      <c r="F967" s="160">
        <f>'HERRAMIENTAS Y EQUIPOS'!C23*4</f>
        <v>24000</v>
      </c>
      <c r="G967" s="58">
        <v>7</v>
      </c>
      <c r="H967" s="160">
        <f>F967/G967</f>
        <v>3428.5714285714284</v>
      </c>
      <c r="I967" s="44"/>
    </row>
    <row r="968" spans="2:11" ht="14" thickBot="1" x14ac:dyDescent="0.2">
      <c r="B968" s="634"/>
      <c r="C968" s="635"/>
      <c r="D968" s="636"/>
      <c r="E968" s="21"/>
      <c r="F968" s="22"/>
      <c r="G968" s="23"/>
      <c r="H968" s="47"/>
      <c r="I968" s="48"/>
    </row>
    <row r="969" spans="2:11" ht="14" thickBot="1" x14ac:dyDescent="0.2">
      <c r="B969" s="1"/>
      <c r="C969" s="1"/>
      <c r="D969" s="1"/>
      <c r="E969" s="1"/>
      <c r="F969" s="1"/>
      <c r="G969" s="1"/>
      <c r="H969" s="37" t="s">
        <v>26</v>
      </c>
      <c r="I969" s="161">
        <f>SUM(H966:H968)</f>
        <v>8520.2339285714297</v>
      </c>
    </row>
    <row r="970" spans="2:11" ht="14" thickBot="1" x14ac:dyDescent="0.2">
      <c r="B970" s="12" t="s">
        <v>27</v>
      </c>
      <c r="C970" s="12"/>
      <c r="D970" s="1"/>
      <c r="E970" s="1"/>
      <c r="F970" s="1"/>
      <c r="G970" s="1"/>
      <c r="H970" s="1"/>
      <c r="I970" s="1"/>
    </row>
    <row r="971" spans="2:11" x14ac:dyDescent="0.15">
      <c r="B971" s="628" t="s">
        <v>22</v>
      </c>
      <c r="C971" s="629"/>
      <c r="D971" s="630"/>
      <c r="E971" s="205" t="s">
        <v>28</v>
      </c>
      <c r="F971" s="205" t="s">
        <v>29</v>
      </c>
      <c r="G971" s="205" t="s">
        <v>30</v>
      </c>
      <c r="H971" s="204" t="s">
        <v>25</v>
      </c>
      <c r="I971" s="43"/>
    </row>
    <row r="972" spans="2:11" x14ac:dyDescent="0.15">
      <c r="B972" s="4" t="s">
        <v>473</v>
      </c>
      <c r="C972" s="24"/>
      <c r="D972" s="6"/>
      <c r="E972" s="3" t="s">
        <v>58</v>
      </c>
      <c r="F972" s="164">
        <f>'APU -BASICOS'!H204</f>
        <v>9182</v>
      </c>
      <c r="G972" s="73">
        <f>(8*1.2*1)</f>
        <v>9.6</v>
      </c>
      <c r="H972" s="163">
        <f>G972*F972</f>
        <v>88147.199999999997</v>
      </c>
      <c r="I972" s="44"/>
    </row>
    <row r="973" spans="2:11" x14ac:dyDescent="0.15">
      <c r="B973" s="4" t="s">
        <v>474</v>
      </c>
      <c r="C973" s="24"/>
      <c r="D973" s="6"/>
      <c r="E973" s="3" t="s">
        <v>58</v>
      </c>
      <c r="F973" s="164">
        <f>'APU -BASICOS'!H260</f>
        <v>9182</v>
      </c>
      <c r="G973" s="73">
        <f>(1.6*0.56*10)</f>
        <v>8.9600000000000009</v>
      </c>
      <c r="H973" s="163">
        <f>G973*F973</f>
        <v>82270.720000000001</v>
      </c>
      <c r="I973" s="44"/>
    </row>
    <row r="974" spans="2:11" x14ac:dyDescent="0.15">
      <c r="B974" s="4" t="s">
        <v>63</v>
      </c>
      <c r="C974" s="24"/>
      <c r="D974" s="6"/>
      <c r="E974" s="3" t="s">
        <v>6</v>
      </c>
      <c r="F974" s="162">
        <f>'APU -BASICOS'!H96</f>
        <v>585821</v>
      </c>
      <c r="G974" s="73">
        <f>1*0.45*0.45</f>
        <v>0.20250000000000001</v>
      </c>
      <c r="H974" s="163">
        <f>G974*F974</f>
        <v>118628.7525</v>
      </c>
      <c r="I974" s="44"/>
    </row>
    <row r="975" spans="2:11" ht="14" thickBot="1" x14ac:dyDescent="0.2">
      <c r="B975" s="25"/>
      <c r="C975" s="26"/>
      <c r="D975" s="27"/>
      <c r="E975" s="21"/>
      <c r="F975" s="22"/>
      <c r="G975" s="165"/>
      <c r="H975" s="47"/>
      <c r="I975" s="48"/>
      <c r="K975" s="223"/>
    </row>
    <row r="976" spans="2:11" ht="14" thickBot="1" x14ac:dyDescent="0.2">
      <c r="B976" s="1"/>
      <c r="C976" s="1"/>
      <c r="D976" s="1"/>
      <c r="E976" s="1"/>
      <c r="F976" s="1"/>
      <c r="G976" s="1"/>
      <c r="H976" s="37" t="s">
        <v>26</v>
      </c>
      <c r="I976" s="161">
        <f>SUM(H972:H974)</f>
        <v>289046.67249999999</v>
      </c>
    </row>
    <row r="977" spans="2:12" ht="14" thickBot="1" x14ac:dyDescent="0.2">
      <c r="B977" s="28" t="s">
        <v>31</v>
      </c>
      <c r="C977" s="28"/>
      <c r="D977" s="26"/>
      <c r="E977" s="1"/>
      <c r="F977" s="1"/>
      <c r="G977" s="1"/>
      <c r="H977" s="1"/>
      <c r="I977" s="1"/>
    </row>
    <row r="978" spans="2:12" x14ac:dyDescent="0.15">
      <c r="B978" s="51" t="s">
        <v>32</v>
      </c>
      <c r="C978" s="52"/>
      <c r="D978" s="96" t="s">
        <v>33</v>
      </c>
      <c r="E978" s="205" t="s">
        <v>34</v>
      </c>
      <c r="F978" s="205" t="s">
        <v>35</v>
      </c>
      <c r="G978" s="205" t="s">
        <v>36</v>
      </c>
      <c r="H978" s="59" t="s">
        <v>25</v>
      </c>
      <c r="I978" s="43"/>
    </row>
    <row r="979" spans="2:12" x14ac:dyDescent="0.15">
      <c r="B979" s="4"/>
      <c r="C979" s="24"/>
      <c r="D979" s="60"/>
      <c r="E979" s="2"/>
      <c r="F979" s="2"/>
      <c r="G979" s="160"/>
      <c r="H979" s="55"/>
      <c r="I979" s="44"/>
      <c r="K979" s="105"/>
    </row>
    <row r="980" spans="2:12" x14ac:dyDescent="0.15">
      <c r="B980" s="106"/>
      <c r="C980" s="66"/>
      <c r="D980" s="67"/>
      <c r="E980" s="68"/>
      <c r="F980" s="68"/>
      <c r="G980" s="69"/>
      <c r="H980" s="65"/>
      <c r="I980" s="44"/>
    </row>
    <row r="981" spans="2:12" ht="14" thickBot="1" x14ac:dyDescent="0.2">
      <c r="B981" s="33"/>
      <c r="C981" s="54"/>
      <c r="D981" s="21"/>
      <c r="E981" s="22"/>
      <c r="F981" s="23"/>
      <c r="G981" s="47"/>
      <c r="H981" s="21"/>
      <c r="I981" s="48"/>
    </row>
    <row r="982" spans="2:12" ht="14" thickBot="1" x14ac:dyDescent="0.2">
      <c r="B982" s="1"/>
      <c r="C982" s="1"/>
      <c r="D982" s="1"/>
      <c r="E982" s="1"/>
      <c r="F982" s="1"/>
      <c r="G982" s="1"/>
      <c r="H982" s="37" t="s">
        <v>26</v>
      </c>
      <c r="I982" s="161">
        <f>SUM(H979:H981)</f>
        <v>0</v>
      </c>
    </row>
    <row r="983" spans="2:12" ht="14" thickBot="1" x14ac:dyDescent="0.2">
      <c r="B983" s="28" t="s">
        <v>37</v>
      </c>
      <c r="C983" s="28"/>
      <c r="D983" s="1"/>
      <c r="E983" s="1"/>
      <c r="F983" s="1"/>
      <c r="G983" s="1"/>
      <c r="H983" s="1"/>
      <c r="I983" s="1"/>
    </row>
    <row r="984" spans="2:12" x14ac:dyDescent="0.15">
      <c r="B984" s="51" t="s">
        <v>38</v>
      </c>
      <c r="C984" s="86"/>
      <c r="D984" s="31" t="s">
        <v>39</v>
      </c>
      <c r="E984" s="205" t="s">
        <v>40</v>
      </c>
      <c r="F984" s="19" t="s">
        <v>41</v>
      </c>
      <c r="G984" s="31" t="s">
        <v>24</v>
      </c>
      <c r="H984" s="204" t="s">
        <v>25</v>
      </c>
      <c r="I984" s="43"/>
      <c r="K984" s="105"/>
    </row>
    <row r="985" spans="2:12" x14ac:dyDescent="0.15">
      <c r="B985" s="4" t="s">
        <v>65</v>
      </c>
      <c r="C985" s="24"/>
      <c r="D985" s="32">
        <f>'MANO DE OBRA'!E15</f>
        <v>95333</v>
      </c>
      <c r="E985" s="88">
        <v>1.75</v>
      </c>
      <c r="F985" s="162">
        <f>+E985*D985</f>
        <v>166832.75</v>
      </c>
      <c r="G985" s="20">
        <v>7</v>
      </c>
      <c r="H985" s="167">
        <f>+F985/G985</f>
        <v>23833.25</v>
      </c>
      <c r="I985" s="44"/>
      <c r="K985" s="223"/>
    </row>
    <row r="986" spans="2:12" x14ac:dyDescent="0.15">
      <c r="B986" s="4" t="s">
        <v>94</v>
      </c>
      <c r="C986" s="24"/>
      <c r="D986" s="32">
        <f>'MANO DE OBRA'!E14*6</f>
        <v>312000</v>
      </c>
      <c r="E986" s="88">
        <v>1.75</v>
      </c>
      <c r="F986" s="162">
        <f>+E986*D986</f>
        <v>546000</v>
      </c>
      <c r="G986" s="20">
        <v>7</v>
      </c>
      <c r="H986" s="167">
        <f>+F986/G986</f>
        <v>78000</v>
      </c>
      <c r="I986" s="44"/>
      <c r="L986" s="172"/>
    </row>
    <row r="987" spans="2:12" ht="14" thickBot="1" x14ac:dyDescent="0.2">
      <c r="B987" s="33"/>
      <c r="C987" s="34"/>
      <c r="D987" s="22"/>
      <c r="E987" s="21"/>
      <c r="F987" s="22"/>
      <c r="G987" s="23"/>
      <c r="H987" s="47"/>
      <c r="I987" s="48"/>
      <c r="K987" s="105"/>
    </row>
    <row r="988" spans="2:12" ht="14" thickBot="1" x14ac:dyDescent="0.2">
      <c r="B988" s="1"/>
      <c r="C988" s="1"/>
      <c r="D988" s="1"/>
      <c r="E988" s="1"/>
      <c r="F988" s="1"/>
      <c r="G988" s="1"/>
      <c r="H988" s="37" t="s">
        <v>26</v>
      </c>
      <c r="I988" s="175">
        <f>SUM(H985:H987)</f>
        <v>101833.25</v>
      </c>
      <c r="K988" s="105"/>
      <c r="L988" s="105"/>
    </row>
    <row r="989" spans="2:12" ht="14" thickBot="1" x14ac:dyDescent="0.2">
      <c r="B989" s="1"/>
      <c r="C989" s="1"/>
      <c r="D989" s="1"/>
      <c r="E989" s="1"/>
      <c r="F989" s="1"/>
      <c r="G989" s="1"/>
      <c r="H989" s="61"/>
      <c r="I989" s="1"/>
    </row>
    <row r="990" spans="2:12" ht="15" thickBot="1" x14ac:dyDescent="0.2">
      <c r="B990" s="1"/>
      <c r="C990" s="1"/>
      <c r="D990" s="1"/>
      <c r="E990" s="1"/>
      <c r="F990" s="35" t="s">
        <v>43</v>
      </c>
      <c r="G990" s="16"/>
      <c r="H990" s="16"/>
      <c r="I990" s="222">
        <f>ROUND((I969+I976+I982+I988),0)</f>
        <v>399400</v>
      </c>
      <c r="K990" s="105"/>
    </row>
    <row r="991" spans="2:12" x14ac:dyDescent="0.15">
      <c r="B991" s="12"/>
      <c r="C991" s="12"/>
      <c r="D991" s="1"/>
      <c r="E991" s="1"/>
      <c r="F991" s="1"/>
      <c r="G991" s="1"/>
      <c r="H991" s="170"/>
      <c r="I991" s="170"/>
      <c r="L991" s="105"/>
    </row>
    <row r="992" spans="2:12" x14ac:dyDescent="0.15">
      <c r="B992" s="16"/>
      <c r="C992" s="16"/>
      <c r="D992" s="16"/>
      <c r="E992" s="16"/>
      <c r="F992" s="16"/>
      <c r="G992" s="61"/>
      <c r="H992" s="171"/>
      <c r="I992" s="170"/>
    </row>
    <row r="993" spans="2:9" x14ac:dyDescent="0.15">
      <c r="B993" s="1"/>
      <c r="C993" s="1"/>
      <c r="D993" s="1"/>
      <c r="E993" s="1"/>
      <c r="F993" s="1"/>
      <c r="G993" s="159"/>
      <c r="H993" s="170"/>
      <c r="I993" s="170"/>
    </row>
    <row r="994" spans="2:9" x14ac:dyDescent="0.15">
      <c r="B994" s="1"/>
      <c r="C994" s="1"/>
      <c r="D994" s="1"/>
      <c r="E994" s="1"/>
      <c r="F994" s="1"/>
      <c r="G994" s="159"/>
      <c r="H994" s="170"/>
      <c r="I994" s="170"/>
    </row>
    <row r="995" spans="2:9" x14ac:dyDescent="0.15">
      <c r="B995" s="1"/>
      <c r="C995" s="1"/>
      <c r="D995" s="1"/>
      <c r="E995" s="1"/>
      <c r="F995" s="1"/>
      <c r="G995" s="159"/>
      <c r="H995" s="170"/>
      <c r="I995" s="170"/>
    </row>
    <row r="996" spans="2:9" x14ac:dyDescent="0.15">
      <c r="B996" s="1"/>
      <c r="C996" s="1"/>
      <c r="D996" s="1"/>
      <c r="E996" s="1"/>
      <c r="F996" s="1"/>
      <c r="G996" s="1"/>
      <c r="H996" s="37"/>
      <c r="I996" s="170"/>
    </row>
    <row r="997" spans="2:9" ht="14" x14ac:dyDescent="0.15">
      <c r="B997" s="101"/>
      <c r="C997" s="1"/>
      <c r="D997" s="1"/>
      <c r="E997" s="1"/>
      <c r="F997" s="1"/>
      <c r="G997" s="1"/>
      <c r="H997" s="1"/>
      <c r="I997" s="170"/>
    </row>
    <row r="998" spans="2:9" ht="14" x14ac:dyDescent="0.15">
      <c r="B998" s="101"/>
      <c r="C998" s="1"/>
      <c r="D998" s="1"/>
      <c r="E998" s="1"/>
      <c r="F998" s="1"/>
      <c r="G998" s="1"/>
      <c r="H998" s="1"/>
      <c r="I998" s="170"/>
    </row>
    <row r="999" spans="2:9" ht="14" x14ac:dyDescent="0.15">
      <c r="B999" s="101"/>
      <c r="C999" s="1"/>
      <c r="D999" s="1"/>
      <c r="E999" s="1"/>
      <c r="F999" s="1"/>
      <c r="G999" s="1"/>
      <c r="H999" s="1"/>
      <c r="I999" s="170"/>
    </row>
    <row r="1000" spans="2:9" ht="14" x14ac:dyDescent="0.15">
      <c r="B1000" s="101"/>
      <c r="C1000" s="1"/>
      <c r="D1000" s="1"/>
      <c r="E1000" s="1"/>
      <c r="F1000" s="1"/>
      <c r="G1000" s="1"/>
      <c r="H1000" s="1"/>
      <c r="I1000" s="170"/>
    </row>
    <row r="1001" spans="2:9" ht="14" x14ac:dyDescent="0.15">
      <c r="B1001" s="101"/>
      <c r="C1001" s="1"/>
      <c r="D1001" s="1"/>
      <c r="E1001" s="1"/>
      <c r="F1001" s="1"/>
      <c r="G1001" s="1"/>
      <c r="H1001" s="1"/>
      <c r="I1001" s="170"/>
    </row>
    <row r="1002" spans="2:9" ht="14" x14ac:dyDescent="0.15">
      <c r="B1002" s="83"/>
      <c r="C1002" s="11"/>
      <c r="D1002" s="1"/>
      <c r="E1002" s="637"/>
      <c r="F1002" s="637"/>
      <c r="G1002" s="637"/>
      <c r="H1002" s="637"/>
      <c r="I1002" s="169"/>
    </row>
    <row r="1003" spans="2:9" ht="14" x14ac:dyDescent="0.15">
      <c r="B1003" s="101"/>
      <c r="C1003" s="11"/>
      <c r="D1003" s="1"/>
      <c r="E1003" s="153"/>
      <c r="F1003" s="153"/>
      <c r="G1003" s="153"/>
      <c r="H1003" s="153"/>
      <c r="I1003" s="169"/>
    </row>
    <row r="1004" spans="2:9" ht="14" x14ac:dyDescent="0.15">
      <c r="B1004" s="83"/>
      <c r="C1004" s="11"/>
      <c r="D1004" s="1"/>
      <c r="E1004" s="153"/>
      <c r="F1004" s="153"/>
      <c r="G1004" s="153"/>
      <c r="H1004" s="153"/>
      <c r="I1004" s="169"/>
    </row>
    <row r="1005" spans="2:9" x14ac:dyDescent="0.15">
      <c r="B1005" s="11"/>
      <c r="C1005" s="11"/>
      <c r="D1005" s="1"/>
      <c r="E1005" s="153"/>
      <c r="F1005" s="153"/>
      <c r="G1005" s="153"/>
      <c r="H1005" s="153"/>
      <c r="I1005" s="169"/>
    </row>
    <row r="1006" spans="2:9" x14ac:dyDescent="0.15">
      <c r="B1006" s="11"/>
      <c r="C1006" s="11"/>
      <c r="D1006" s="1"/>
      <c r="E1006" s="153"/>
      <c r="F1006" s="153"/>
      <c r="G1006" s="153"/>
      <c r="H1006" s="153"/>
      <c r="I1006" s="169"/>
    </row>
    <row r="1007" spans="2:9" x14ac:dyDescent="0.15">
      <c r="B1007" s="11"/>
      <c r="C1007" s="11"/>
      <c r="D1007" s="1"/>
      <c r="E1007" s="153"/>
      <c r="F1007" s="153"/>
      <c r="G1007" s="153"/>
      <c r="H1007" s="153"/>
      <c r="I1007" s="169"/>
    </row>
    <row r="1008" spans="2:9" x14ac:dyDescent="0.15">
      <c r="B1008" s="11"/>
      <c r="C1008" s="11"/>
      <c r="D1008" s="1"/>
      <c r="E1008" s="153"/>
      <c r="F1008" s="153"/>
      <c r="G1008" s="153"/>
      <c r="H1008" s="153"/>
      <c r="I1008" s="169"/>
    </row>
    <row r="1009" spans="2:10" x14ac:dyDescent="0.15">
      <c r="B1009" s="11"/>
      <c r="C1009" s="11"/>
      <c r="D1009" s="1"/>
      <c r="E1009" s="153"/>
      <c r="F1009" s="153"/>
      <c r="G1009" s="153"/>
      <c r="H1009" s="153"/>
      <c r="I1009" s="169"/>
    </row>
    <row r="1010" spans="2:10" ht="14" x14ac:dyDescent="0.15">
      <c r="B1010" s="101"/>
      <c r="C1010" s="83"/>
      <c r="D1010" s="84"/>
      <c r="E1010" s="83"/>
      <c r="F1010" s="83"/>
      <c r="G1010" s="102"/>
      <c r="H1010" s="83"/>
      <c r="I1010" s="85"/>
      <c r="J1010" s="85"/>
    </row>
    <row r="1011" spans="2:10" ht="14" x14ac:dyDescent="0.15">
      <c r="B1011" s="83"/>
      <c r="C1011" s="83"/>
      <c r="D1011" s="84"/>
      <c r="E1011" s="83"/>
      <c r="F1011" s="83"/>
      <c r="G1011" s="103"/>
      <c r="H1011" s="83"/>
      <c r="I1011" s="85"/>
      <c r="J1011" s="85"/>
    </row>
    <row r="1012" spans="2:10" ht="14" x14ac:dyDescent="0.15">
      <c r="B1012" s="83"/>
      <c r="C1012" s="83"/>
      <c r="D1012" s="84"/>
      <c r="E1012" s="83"/>
      <c r="F1012" s="83"/>
      <c r="G1012" s="103"/>
      <c r="H1012" s="83"/>
      <c r="I1012" s="85"/>
      <c r="J1012" s="85"/>
    </row>
    <row r="1013" spans="2:10" ht="14" thickBot="1" x14ac:dyDescent="0.2">
      <c r="B1013" s="11"/>
      <c r="C1013" s="11"/>
      <c r="D1013" s="1"/>
      <c r="E1013" s="153"/>
      <c r="F1013" s="153"/>
      <c r="G1013" s="153"/>
      <c r="H1013" s="153"/>
      <c r="I1013" s="169"/>
    </row>
    <row r="1014" spans="2:10" ht="21" customHeight="1" x14ac:dyDescent="0.15">
      <c r="B1014" s="607" t="s">
        <v>1065</v>
      </c>
      <c r="C1014" s="608"/>
      <c r="D1014" s="608"/>
      <c r="E1014" s="608"/>
      <c r="F1014" s="609"/>
      <c r="G1014" s="1"/>
      <c r="H1014" s="638" t="s">
        <v>20</v>
      </c>
      <c r="I1014" s="639"/>
    </row>
    <row r="1015" spans="2:10" ht="16.5" customHeight="1" x14ac:dyDescent="0.15">
      <c r="B1015" s="604" t="s">
        <v>446</v>
      </c>
      <c r="C1015" s="605"/>
      <c r="D1015" s="605"/>
      <c r="E1015" s="605"/>
      <c r="F1015" s="606"/>
      <c r="G1015" s="63"/>
      <c r="H1015" s="640"/>
      <c r="I1015" s="641"/>
    </row>
    <row r="1016" spans="2:10" ht="12.75" customHeight="1" x14ac:dyDescent="0.15">
      <c r="B1016" s="610" t="s">
        <v>447</v>
      </c>
      <c r="C1016" s="611"/>
      <c r="D1016" s="611"/>
      <c r="E1016" s="611"/>
      <c r="F1016" s="612"/>
      <c r="G1016" s="63"/>
      <c r="H1016" s="642"/>
      <c r="I1016" s="643"/>
    </row>
    <row r="1017" spans="2:10" ht="16.5" customHeight="1" thickBot="1" x14ac:dyDescent="0.2">
      <c r="B1017" s="613"/>
      <c r="C1017" s="614"/>
      <c r="D1017" s="614"/>
      <c r="E1017" s="614"/>
      <c r="F1017" s="615"/>
      <c r="G1017" s="1"/>
      <c r="H1017" s="662" t="s">
        <v>929</v>
      </c>
      <c r="I1017" s="663"/>
    </row>
    <row r="1018" spans="2:10" ht="14" thickBot="1" x14ac:dyDescent="0.2">
      <c r="B1018" s="15"/>
      <c r="C1018" s="16"/>
      <c r="D1018" s="1"/>
      <c r="E1018" s="1"/>
      <c r="F1018" s="1"/>
      <c r="G1018" s="1"/>
      <c r="H1018" s="664"/>
      <c r="I1018" s="665"/>
    </row>
    <row r="1019" spans="2:10" ht="12.75" customHeight="1" x14ac:dyDescent="0.15">
      <c r="B1019" s="650" t="s">
        <v>890</v>
      </c>
      <c r="C1019" s="651"/>
      <c r="D1019" s="651"/>
      <c r="E1019" s="651"/>
      <c r="F1019" s="652"/>
      <c r="G1019" s="1"/>
      <c r="H1019" s="664"/>
      <c r="I1019" s="665"/>
    </row>
    <row r="1020" spans="2:10" ht="12.75" customHeight="1" x14ac:dyDescent="0.15">
      <c r="B1020" s="653"/>
      <c r="C1020" s="654"/>
      <c r="D1020" s="654"/>
      <c r="E1020" s="654"/>
      <c r="F1020" s="655"/>
      <c r="H1020" s="664"/>
      <c r="I1020" s="665"/>
    </row>
    <row r="1021" spans="2:10" ht="13.5" customHeight="1" x14ac:dyDescent="0.15">
      <c r="B1021" s="653"/>
      <c r="C1021" s="654"/>
      <c r="D1021" s="654"/>
      <c r="E1021" s="654"/>
      <c r="F1021" s="655"/>
      <c r="G1021" s="11"/>
      <c r="H1021" s="666"/>
      <c r="I1021" s="667"/>
    </row>
    <row r="1022" spans="2:10" ht="21.75" customHeight="1" thickBot="1" x14ac:dyDescent="0.2">
      <c r="B1022" s="656"/>
      <c r="C1022" s="657"/>
      <c r="D1022" s="657"/>
      <c r="E1022" s="657"/>
      <c r="F1022" s="658"/>
      <c r="H1022" s="64" t="s">
        <v>45</v>
      </c>
      <c r="I1022" s="17" t="s">
        <v>193</v>
      </c>
    </row>
    <row r="1023" spans="2:10" x14ac:dyDescent="0.15">
      <c r="B1023" s="18"/>
      <c r="C1023" s="18"/>
      <c r="D1023" s="1"/>
      <c r="E1023" s="18"/>
      <c r="F1023" s="18"/>
      <c r="G1023" s="18"/>
      <c r="H1023" s="18"/>
      <c r="I1023" s="1"/>
    </row>
    <row r="1024" spans="2:10" ht="14" thickBot="1" x14ac:dyDescent="0.2">
      <c r="B1024" s="12" t="s">
        <v>21</v>
      </c>
      <c r="C1024" s="12"/>
      <c r="D1024" s="1"/>
      <c r="E1024" s="1"/>
      <c r="F1024" s="1"/>
      <c r="G1024" s="1"/>
      <c r="H1024" s="1"/>
      <c r="I1024" s="1"/>
    </row>
    <row r="1025" spans="2:11" x14ac:dyDescent="0.15">
      <c r="B1025" s="628" t="s">
        <v>22</v>
      </c>
      <c r="C1025" s="629"/>
      <c r="D1025" s="630"/>
      <c r="E1025" s="205" t="s">
        <v>23</v>
      </c>
      <c r="F1025" s="19" t="s">
        <v>47</v>
      </c>
      <c r="G1025" s="205" t="s">
        <v>24</v>
      </c>
      <c r="H1025" s="204" t="s">
        <v>25</v>
      </c>
      <c r="I1025" s="43"/>
    </row>
    <row r="1026" spans="2:11" x14ac:dyDescent="0.15">
      <c r="B1026" s="631" t="s">
        <v>56</v>
      </c>
      <c r="C1026" s="632"/>
      <c r="D1026" s="633"/>
      <c r="E1026" s="5"/>
      <c r="F1026" s="160"/>
      <c r="G1026" s="58"/>
      <c r="H1026" s="160">
        <f>I1048*0.05</f>
        <v>1620.0744318181821</v>
      </c>
      <c r="I1026" s="44"/>
    </row>
    <row r="1027" spans="2:11" x14ac:dyDescent="0.15">
      <c r="B1027" s="631" t="s">
        <v>309</v>
      </c>
      <c r="C1027" s="632"/>
      <c r="D1027" s="633"/>
      <c r="E1027" s="5"/>
      <c r="F1027" s="160">
        <f>'HERRAMIENTAS Y EQUIPOS'!C23*4</f>
        <v>24000</v>
      </c>
      <c r="G1027" s="58">
        <v>22</v>
      </c>
      <c r="H1027" s="160">
        <f>F1027/G1027</f>
        <v>1090.909090909091</v>
      </c>
      <c r="I1027" s="44"/>
    </row>
    <row r="1028" spans="2:11" ht="14" thickBot="1" x14ac:dyDescent="0.2">
      <c r="B1028" s="634"/>
      <c r="C1028" s="635"/>
      <c r="D1028" s="636"/>
      <c r="E1028" s="21"/>
      <c r="F1028" s="22"/>
      <c r="G1028" s="23"/>
      <c r="H1028" s="47"/>
      <c r="I1028" s="48"/>
    </row>
    <row r="1029" spans="2:11" ht="14" thickBot="1" x14ac:dyDescent="0.2">
      <c r="B1029" s="1"/>
      <c r="C1029" s="1"/>
      <c r="D1029" s="1"/>
      <c r="E1029" s="1"/>
      <c r="F1029" s="1"/>
      <c r="G1029" s="1"/>
      <c r="H1029" s="37" t="s">
        <v>26</v>
      </c>
      <c r="I1029" s="161">
        <f>SUM(H1026:H1028)</f>
        <v>2710.9835227272733</v>
      </c>
    </row>
    <row r="1030" spans="2:11" ht="14" thickBot="1" x14ac:dyDescent="0.2">
      <c r="B1030" s="12" t="s">
        <v>27</v>
      </c>
      <c r="C1030" s="12"/>
      <c r="D1030" s="1"/>
      <c r="E1030" s="1"/>
      <c r="F1030" s="1"/>
      <c r="G1030" s="1"/>
      <c r="H1030" s="1"/>
      <c r="I1030" s="1"/>
    </row>
    <row r="1031" spans="2:11" x14ac:dyDescent="0.15">
      <c r="B1031" s="628" t="s">
        <v>22</v>
      </c>
      <c r="C1031" s="629"/>
      <c r="D1031" s="630"/>
      <c r="E1031" s="205" t="s">
        <v>28</v>
      </c>
      <c r="F1031" s="205" t="s">
        <v>29</v>
      </c>
      <c r="G1031" s="205" t="s">
        <v>30</v>
      </c>
      <c r="H1031" s="204" t="s">
        <v>25</v>
      </c>
      <c r="I1031" s="43"/>
    </row>
    <row r="1032" spans="2:11" x14ac:dyDescent="0.15">
      <c r="B1032" s="4" t="s">
        <v>473</v>
      </c>
      <c r="C1032" s="24"/>
      <c r="D1032" s="6"/>
      <c r="E1032" s="3" t="s">
        <v>58</v>
      </c>
      <c r="F1032" s="164">
        <f>'APU -BASICOS'!H204</f>
        <v>9182</v>
      </c>
      <c r="G1032" s="73">
        <f>(6*1.2*1)</f>
        <v>7.1999999999999993</v>
      </c>
      <c r="H1032" s="163">
        <f>G1032*F1032</f>
        <v>66110.399999999994</v>
      </c>
      <c r="I1032" s="44"/>
    </row>
    <row r="1033" spans="2:11" x14ac:dyDescent="0.15">
      <c r="B1033" s="4" t="s">
        <v>474</v>
      </c>
      <c r="C1033" s="24"/>
      <c r="D1033" s="6"/>
      <c r="E1033" s="3" t="s">
        <v>58</v>
      </c>
      <c r="F1033" s="164">
        <f>'APU -BASICOS'!H260</f>
        <v>9182</v>
      </c>
      <c r="G1033" s="73">
        <f>(1.2*0.56*10)</f>
        <v>6.7200000000000006</v>
      </c>
      <c r="H1033" s="163">
        <f>G1033*F1033</f>
        <v>61703.040000000008</v>
      </c>
      <c r="I1033" s="44"/>
    </row>
    <row r="1034" spans="2:11" x14ac:dyDescent="0.15">
      <c r="B1034" s="4" t="s">
        <v>63</v>
      </c>
      <c r="C1034" s="24"/>
      <c r="D1034" s="6"/>
      <c r="E1034" s="3" t="s">
        <v>6</v>
      </c>
      <c r="F1034" s="162">
        <f>'APU -BASICOS'!H96</f>
        <v>585821</v>
      </c>
      <c r="G1034" s="73">
        <f>1*0.3*0.3</f>
        <v>0.09</v>
      </c>
      <c r="H1034" s="163">
        <f>G1034*F1034</f>
        <v>52723.89</v>
      </c>
      <c r="I1034" s="44"/>
    </row>
    <row r="1035" spans="2:11" ht="14" thickBot="1" x14ac:dyDescent="0.2">
      <c r="B1035" s="25"/>
      <c r="C1035" s="26"/>
      <c r="D1035" s="27"/>
      <c r="E1035" s="21"/>
      <c r="F1035" s="22"/>
      <c r="G1035" s="165"/>
      <c r="H1035" s="47"/>
      <c r="I1035" s="48"/>
      <c r="K1035" s="223"/>
    </row>
    <row r="1036" spans="2:11" ht="14" thickBot="1" x14ac:dyDescent="0.2">
      <c r="B1036" s="1"/>
      <c r="C1036" s="1"/>
      <c r="D1036" s="1"/>
      <c r="E1036" s="1"/>
      <c r="F1036" s="1"/>
      <c r="G1036" s="1"/>
      <c r="H1036" s="37" t="s">
        <v>26</v>
      </c>
      <c r="I1036" s="161">
        <f>SUM(H1032:H1034)</f>
        <v>180537.33000000002</v>
      </c>
    </row>
    <row r="1037" spans="2:11" ht="14" thickBot="1" x14ac:dyDescent="0.2">
      <c r="B1037" s="28" t="s">
        <v>31</v>
      </c>
      <c r="C1037" s="28"/>
      <c r="D1037" s="26"/>
      <c r="E1037" s="1"/>
      <c r="F1037" s="1"/>
      <c r="G1037" s="1"/>
      <c r="H1037" s="1"/>
      <c r="I1037" s="1"/>
    </row>
    <row r="1038" spans="2:11" x14ac:dyDescent="0.15">
      <c r="B1038" s="51" t="s">
        <v>32</v>
      </c>
      <c r="C1038" s="52"/>
      <c r="D1038" s="96" t="s">
        <v>33</v>
      </c>
      <c r="E1038" s="205" t="s">
        <v>34</v>
      </c>
      <c r="F1038" s="205" t="s">
        <v>35</v>
      </c>
      <c r="G1038" s="205" t="s">
        <v>36</v>
      </c>
      <c r="H1038" s="59" t="s">
        <v>25</v>
      </c>
      <c r="I1038" s="43"/>
    </row>
    <row r="1039" spans="2:11" x14ac:dyDescent="0.15">
      <c r="B1039" s="4"/>
      <c r="C1039" s="24"/>
      <c r="D1039" s="60"/>
      <c r="E1039" s="2"/>
      <c r="F1039" s="2"/>
      <c r="G1039" s="160"/>
      <c r="H1039" s="55"/>
      <c r="I1039" s="44"/>
      <c r="K1039" s="105"/>
    </row>
    <row r="1040" spans="2:11" x14ac:dyDescent="0.15">
      <c r="B1040" s="106"/>
      <c r="C1040" s="66"/>
      <c r="D1040" s="67"/>
      <c r="E1040" s="68"/>
      <c r="F1040" s="68"/>
      <c r="G1040" s="69"/>
      <c r="H1040" s="65"/>
      <c r="I1040" s="44"/>
    </row>
    <row r="1041" spans="2:12" ht="14" thickBot="1" x14ac:dyDescent="0.2">
      <c r="B1041" s="33"/>
      <c r="C1041" s="54"/>
      <c r="D1041" s="21"/>
      <c r="E1041" s="22"/>
      <c r="F1041" s="23"/>
      <c r="G1041" s="47"/>
      <c r="H1041" s="21"/>
      <c r="I1041" s="48"/>
    </row>
    <row r="1042" spans="2:12" ht="14" thickBot="1" x14ac:dyDescent="0.2">
      <c r="B1042" s="1"/>
      <c r="C1042" s="1"/>
      <c r="D1042" s="1"/>
      <c r="E1042" s="1"/>
      <c r="F1042" s="1"/>
      <c r="G1042" s="1"/>
      <c r="H1042" s="37" t="s">
        <v>26</v>
      </c>
      <c r="I1042" s="161">
        <f>SUM(H1039:H1041)</f>
        <v>0</v>
      </c>
    </row>
    <row r="1043" spans="2:12" ht="14" thickBot="1" x14ac:dyDescent="0.2">
      <c r="B1043" s="28" t="s">
        <v>37</v>
      </c>
      <c r="C1043" s="28"/>
      <c r="D1043" s="1"/>
      <c r="E1043" s="1"/>
      <c r="F1043" s="1"/>
      <c r="G1043" s="1"/>
      <c r="H1043" s="1"/>
      <c r="I1043" s="1"/>
    </row>
    <row r="1044" spans="2:12" x14ac:dyDescent="0.15">
      <c r="B1044" s="51" t="s">
        <v>38</v>
      </c>
      <c r="C1044" s="86"/>
      <c r="D1044" s="31" t="s">
        <v>39</v>
      </c>
      <c r="E1044" s="205" t="s">
        <v>40</v>
      </c>
      <c r="F1044" s="19" t="s">
        <v>41</v>
      </c>
      <c r="G1044" s="31" t="s">
        <v>24</v>
      </c>
      <c r="H1044" s="204" t="s">
        <v>25</v>
      </c>
      <c r="I1044" s="43"/>
      <c r="K1044" s="105"/>
    </row>
    <row r="1045" spans="2:12" x14ac:dyDescent="0.15">
      <c r="B1045" s="4" t="s">
        <v>65</v>
      </c>
      <c r="C1045" s="24"/>
      <c r="D1045" s="32">
        <f>'MANO DE OBRA'!E15</f>
        <v>95333</v>
      </c>
      <c r="E1045" s="88">
        <v>1.75</v>
      </c>
      <c r="F1045" s="162">
        <f>+E1045*D1045</f>
        <v>166832.75</v>
      </c>
      <c r="G1045" s="20">
        <f>G1027</f>
        <v>22</v>
      </c>
      <c r="H1045" s="167">
        <f>+F1045/G1045</f>
        <v>7583.306818181818</v>
      </c>
      <c r="I1045" s="44"/>
      <c r="K1045" s="223"/>
    </row>
    <row r="1046" spans="2:12" x14ac:dyDescent="0.15">
      <c r="B1046" s="4" t="s">
        <v>94</v>
      </c>
      <c r="C1046" s="24"/>
      <c r="D1046" s="32">
        <f>'MANO DE OBRA'!E14*6</f>
        <v>312000</v>
      </c>
      <c r="E1046" s="88">
        <v>1.75</v>
      </c>
      <c r="F1046" s="162">
        <f>+E1046*D1046</f>
        <v>546000</v>
      </c>
      <c r="G1046" s="20">
        <f>G1027</f>
        <v>22</v>
      </c>
      <c r="H1046" s="167">
        <f>+F1046/G1046</f>
        <v>24818.18181818182</v>
      </c>
      <c r="I1046" s="44"/>
      <c r="L1046" s="172"/>
    </row>
    <row r="1047" spans="2:12" ht="14" thickBot="1" x14ac:dyDescent="0.2">
      <c r="B1047" s="33"/>
      <c r="C1047" s="34"/>
      <c r="D1047" s="22"/>
      <c r="E1047" s="21"/>
      <c r="F1047" s="22"/>
      <c r="G1047" s="23"/>
      <c r="H1047" s="47"/>
      <c r="I1047" s="48"/>
      <c r="K1047" s="105"/>
    </row>
    <row r="1048" spans="2:12" ht="14" thickBot="1" x14ac:dyDescent="0.2">
      <c r="B1048" s="1"/>
      <c r="C1048" s="1"/>
      <c r="D1048" s="1"/>
      <c r="E1048" s="1"/>
      <c r="F1048" s="1"/>
      <c r="G1048" s="1"/>
      <c r="H1048" s="37" t="s">
        <v>26</v>
      </c>
      <c r="I1048" s="175">
        <f>SUM(H1045:H1047)</f>
        <v>32401.48863636364</v>
      </c>
    </row>
    <row r="1049" spans="2:12" ht="14" thickBot="1" x14ac:dyDescent="0.2">
      <c r="B1049" s="1"/>
      <c r="C1049" s="1"/>
      <c r="D1049" s="1"/>
      <c r="E1049" s="1"/>
      <c r="F1049" s="1"/>
      <c r="G1049" s="1"/>
      <c r="H1049" s="61"/>
      <c r="I1049" s="1"/>
    </row>
    <row r="1050" spans="2:12" ht="15" thickBot="1" x14ac:dyDescent="0.2">
      <c r="B1050" s="1"/>
      <c r="C1050" s="1"/>
      <c r="D1050" s="1"/>
      <c r="E1050" s="1"/>
      <c r="F1050" s="35" t="s">
        <v>43</v>
      </c>
      <c r="G1050" s="16"/>
      <c r="H1050" s="16"/>
      <c r="I1050" s="222">
        <f>ROUND((I1029+I1036+I1042+I1048),0)</f>
        <v>215650</v>
      </c>
    </row>
    <row r="1051" spans="2:12" x14ac:dyDescent="0.15">
      <c r="B1051" s="12"/>
      <c r="C1051" s="12"/>
      <c r="D1051" s="1"/>
      <c r="E1051" s="1"/>
      <c r="F1051" s="1"/>
      <c r="G1051" s="1"/>
      <c r="H1051" s="170"/>
      <c r="I1051" s="170"/>
    </row>
    <row r="1052" spans="2:12" x14ac:dyDescent="0.15">
      <c r="B1052" s="16"/>
      <c r="C1052" s="16"/>
      <c r="D1052" s="16"/>
      <c r="E1052" s="16"/>
      <c r="F1052" s="16"/>
      <c r="G1052" s="61"/>
      <c r="H1052" s="171"/>
      <c r="I1052" s="170"/>
    </row>
    <row r="1053" spans="2:12" x14ac:dyDescent="0.15">
      <c r="B1053" s="1"/>
      <c r="C1053" s="1"/>
      <c r="D1053" s="1"/>
      <c r="E1053" s="1"/>
      <c r="F1053" s="1"/>
      <c r="G1053" s="159"/>
      <c r="H1053" s="170"/>
      <c r="I1053" s="170"/>
    </row>
    <row r="1054" spans="2:12" x14ac:dyDescent="0.15">
      <c r="B1054" s="1"/>
      <c r="C1054" s="1"/>
      <c r="D1054" s="1"/>
      <c r="E1054" s="1"/>
      <c r="F1054" s="1"/>
      <c r="G1054" s="159"/>
      <c r="H1054" s="170"/>
      <c r="I1054" s="170"/>
    </row>
    <row r="1055" spans="2:12" x14ac:dyDescent="0.15">
      <c r="B1055" s="1"/>
      <c r="C1055" s="1"/>
      <c r="D1055" s="1"/>
      <c r="E1055" s="1"/>
      <c r="F1055" s="1"/>
      <c r="G1055" s="159"/>
      <c r="H1055" s="170"/>
      <c r="I1055" s="170"/>
    </row>
    <row r="1056" spans="2:12" x14ac:dyDescent="0.15">
      <c r="B1056" s="1"/>
      <c r="C1056" s="1"/>
      <c r="D1056" s="1"/>
      <c r="E1056" s="1"/>
      <c r="F1056" s="1"/>
      <c r="G1056" s="1"/>
      <c r="H1056" s="37"/>
      <c r="I1056" s="170"/>
    </row>
    <row r="1057" spans="2:10" ht="14" x14ac:dyDescent="0.15">
      <c r="B1057" s="101"/>
      <c r="C1057" s="1"/>
      <c r="D1057" s="1"/>
      <c r="E1057" s="1"/>
      <c r="F1057" s="1"/>
      <c r="G1057" s="1"/>
      <c r="H1057" s="1"/>
      <c r="I1057" s="170"/>
    </row>
    <row r="1058" spans="2:10" ht="14" x14ac:dyDescent="0.15">
      <c r="B1058" s="83"/>
      <c r="C1058" s="11"/>
      <c r="D1058" s="1"/>
      <c r="E1058" s="637"/>
      <c r="F1058" s="637"/>
      <c r="G1058" s="637"/>
      <c r="H1058" s="637"/>
      <c r="I1058" s="169"/>
    </row>
    <row r="1059" spans="2:10" ht="14" x14ac:dyDescent="0.15">
      <c r="B1059" s="101"/>
      <c r="C1059" s="11"/>
      <c r="D1059" s="1"/>
      <c r="E1059" s="153"/>
      <c r="F1059" s="153"/>
      <c r="G1059" s="153"/>
      <c r="H1059" s="153"/>
      <c r="I1059" s="169"/>
    </row>
    <row r="1060" spans="2:10" ht="14" x14ac:dyDescent="0.15">
      <c r="B1060" s="83"/>
      <c r="C1060" s="11"/>
      <c r="D1060" s="1"/>
      <c r="E1060" s="153"/>
      <c r="F1060" s="153"/>
      <c r="G1060" s="153"/>
      <c r="H1060" s="153"/>
      <c r="I1060" s="169"/>
    </row>
    <row r="1061" spans="2:10" x14ac:dyDescent="0.15">
      <c r="B1061" s="11"/>
      <c r="C1061" s="11"/>
      <c r="D1061" s="1"/>
      <c r="E1061" s="153"/>
      <c r="F1061" s="153"/>
      <c r="G1061" s="153"/>
      <c r="H1061" s="153"/>
      <c r="I1061" s="169"/>
    </row>
    <row r="1062" spans="2:10" x14ac:dyDescent="0.15">
      <c r="B1062" s="11"/>
      <c r="C1062" s="11"/>
      <c r="D1062" s="1"/>
      <c r="E1062" s="153"/>
      <c r="F1062" s="153"/>
      <c r="G1062" s="153"/>
      <c r="H1062" s="153"/>
      <c r="I1062" s="169"/>
    </row>
    <row r="1063" spans="2:10" x14ac:dyDescent="0.15">
      <c r="B1063" s="11"/>
      <c r="C1063" s="11"/>
      <c r="D1063" s="1"/>
      <c r="E1063" s="153"/>
      <c r="F1063" s="153"/>
      <c r="G1063" s="153"/>
      <c r="H1063" s="153"/>
      <c r="I1063" s="169"/>
    </row>
    <row r="1064" spans="2:10" x14ac:dyDescent="0.15">
      <c r="B1064" s="11"/>
      <c r="C1064" s="11"/>
      <c r="D1064" s="1"/>
      <c r="E1064" s="153"/>
      <c r="F1064" s="153"/>
      <c r="G1064" s="153"/>
      <c r="H1064" s="153"/>
      <c r="I1064" s="169"/>
    </row>
    <row r="1065" spans="2:10" x14ac:dyDescent="0.15">
      <c r="B1065" s="11"/>
      <c r="C1065" s="11"/>
      <c r="D1065" s="1"/>
      <c r="E1065" s="153"/>
      <c r="F1065" s="153"/>
      <c r="G1065" s="153"/>
      <c r="H1065" s="153"/>
      <c r="I1065" s="169"/>
    </row>
    <row r="1066" spans="2:10" x14ac:dyDescent="0.15">
      <c r="B1066" s="11"/>
      <c r="C1066" s="11"/>
      <c r="D1066" s="1"/>
      <c r="E1066" s="153"/>
      <c r="F1066" s="153"/>
      <c r="G1066" s="153"/>
      <c r="H1066" s="153"/>
      <c r="I1066" s="169"/>
    </row>
    <row r="1067" spans="2:10" x14ac:dyDescent="0.15">
      <c r="B1067" s="11"/>
      <c r="C1067" s="11"/>
      <c r="D1067" s="1"/>
      <c r="E1067" s="153"/>
      <c r="F1067" s="153"/>
      <c r="G1067" s="153"/>
      <c r="H1067" s="153"/>
      <c r="I1067" s="169"/>
    </row>
    <row r="1068" spans="2:10" x14ac:dyDescent="0.15">
      <c r="B1068" s="11"/>
      <c r="C1068" s="11"/>
      <c r="D1068" s="1"/>
      <c r="E1068" s="153"/>
      <c r="F1068" s="153"/>
      <c r="G1068" s="153"/>
      <c r="H1068" s="153"/>
      <c r="I1068" s="169"/>
    </row>
    <row r="1069" spans="2:10" x14ac:dyDescent="0.15">
      <c r="B1069" s="11"/>
      <c r="C1069" s="11"/>
      <c r="D1069" s="1"/>
      <c r="E1069" s="153"/>
      <c r="F1069" s="153"/>
      <c r="G1069" s="153"/>
      <c r="H1069" s="153"/>
      <c r="I1069" s="169"/>
    </row>
    <row r="1070" spans="2:10" x14ac:dyDescent="0.15">
      <c r="B1070" s="11"/>
      <c r="C1070" s="11"/>
      <c r="D1070" s="1"/>
      <c r="E1070" s="153"/>
      <c r="F1070" s="153"/>
      <c r="G1070" s="153"/>
      <c r="H1070" s="153"/>
      <c r="I1070" s="169"/>
    </row>
    <row r="1071" spans="2:10" x14ac:dyDescent="0.15">
      <c r="B1071" s="11"/>
      <c r="C1071" s="11"/>
      <c r="D1071" s="1"/>
      <c r="E1071" s="153"/>
      <c r="F1071" s="153"/>
      <c r="G1071" s="153"/>
      <c r="H1071" s="153"/>
      <c r="I1071" s="169"/>
    </row>
    <row r="1072" spans="2:10" ht="14" x14ac:dyDescent="0.15">
      <c r="B1072" s="83"/>
      <c r="C1072" s="83"/>
      <c r="D1072" s="84"/>
      <c r="E1072" s="83"/>
      <c r="F1072" s="83"/>
      <c r="G1072" s="103"/>
      <c r="H1072" s="83"/>
      <c r="I1072" s="85"/>
      <c r="J1072" s="85"/>
    </row>
    <row r="1073" spans="2:10" ht="14" x14ac:dyDescent="0.15">
      <c r="B1073" s="83"/>
      <c r="C1073" s="83"/>
      <c r="D1073" s="84"/>
      <c r="E1073" s="83"/>
      <c r="F1073" s="83"/>
      <c r="G1073" s="103"/>
      <c r="H1073" s="83"/>
      <c r="I1073" s="85"/>
      <c r="J1073" s="85"/>
    </row>
    <row r="1074" spans="2:10" ht="14" thickBot="1" x14ac:dyDescent="0.2">
      <c r="B1074" s="11"/>
      <c r="C1074" s="11"/>
      <c r="D1074" s="1"/>
      <c r="E1074" s="153"/>
      <c r="F1074" s="153"/>
      <c r="G1074" s="153"/>
      <c r="H1074" s="153"/>
      <c r="I1074" s="169"/>
    </row>
    <row r="1075" spans="2:10" ht="21" customHeight="1" x14ac:dyDescent="0.15">
      <c r="B1075" s="607" t="s">
        <v>1065</v>
      </c>
      <c r="C1075" s="608"/>
      <c r="D1075" s="608"/>
      <c r="E1075" s="608"/>
      <c r="F1075" s="609"/>
      <c r="G1075" s="1"/>
      <c r="H1075" s="638" t="s">
        <v>20</v>
      </c>
      <c r="I1075" s="639"/>
    </row>
    <row r="1076" spans="2:10" ht="16.5" customHeight="1" x14ac:dyDescent="0.15">
      <c r="B1076" s="604" t="s">
        <v>446</v>
      </c>
      <c r="C1076" s="605"/>
      <c r="D1076" s="605"/>
      <c r="E1076" s="605"/>
      <c r="F1076" s="606"/>
      <c r="G1076" s="63"/>
      <c r="H1076" s="640"/>
      <c r="I1076" s="641"/>
    </row>
    <row r="1077" spans="2:10" ht="12.75" customHeight="1" x14ac:dyDescent="0.15">
      <c r="B1077" s="610" t="s">
        <v>447</v>
      </c>
      <c r="C1077" s="611"/>
      <c r="D1077" s="611"/>
      <c r="E1077" s="611"/>
      <c r="F1077" s="612"/>
      <c r="G1077" s="63"/>
      <c r="H1077" s="642"/>
      <c r="I1077" s="643"/>
    </row>
    <row r="1078" spans="2:10" ht="16.5" customHeight="1" thickBot="1" x14ac:dyDescent="0.2">
      <c r="B1078" s="613"/>
      <c r="C1078" s="614"/>
      <c r="D1078" s="614"/>
      <c r="E1078" s="614"/>
      <c r="F1078" s="615"/>
      <c r="G1078" s="1"/>
      <c r="H1078" s="662" t="s">
        <v>933</v>
      </c>
      <c r="I1078" s="663"/>
    </row>
    <row r="1079" spans="2:10" ht="14" thickBot="1" x14ac:dyDescent="0.2">
      <c r="B1079" s="15"/>
      <c r="C1079" s="16"/>
      <c r="D1079" s="1"/>
      <c r="E1079" s="1"/>
      <c r="F1079" s="1"/>
      <c r="G1079" s="1"/>
      <c r="H1079" s="664"/>
      <c r="I1079" s="665"/>
    </row>
    <row r="1080" spans="2:10" ht="12.75" customHeight="1" x14ac:dyDescent="0.15">
      <c r="B1080" s="650" t="s">
        <v>890</v>
      </c>
      <c r="C1080" s="651"/>
      <c r="D1080" s="651"/>
      <c r="E1080" s="651"/>
      <c r="F1080" s="652"/>
      <c r="G1080" s="1"/>
      <c r="H1080" s="664"/>
      <c r="I1080" s="665"/>
    </row>
    <row r="1081" spans="2:10" ht="12.75" customHeight="1" x14ac:dyDescent="0.15">
      <c r="B1081" s="653"/>
      <c r="C1081" s="654"/>
      <c r="D1081" s="654"/>
      <c r="E1081" s="654"/>
      <c r="F1081" s="655"/>
      <c r="H1081" s="664"/>
      <c r="I1081" s="665"/>
    </row>
    <row r="1082" spans="2:10" ht="13.5" customHeight="1" x14ac:dyDescent="0.15">
      <c r="B1082" s="653"/>
      <c r="C1082" s="654"/>
      <c r="D1082" s="654"/>
      <c r="E1082" s="654"/>
      <c r="F1082" s="655"/>
      <c r="G1082" s="11"/>
      <c r="H1082" s="666"/>
      <c r="I1082" s="667"/>
    </row>
    <row r="1083" spans="2:10" ht="21.75" customHeight="1" thickBot="1" x14ac:dyDescent="0.2">
      <c r="B1083" s="656"/>
      <c r="C1083" s="657"/>
      <c r="D1083" s="657"/>
      <c r="E1083" s="657"/>
      <c r="F1083" s="658"/>
      <c r="H1083" s="64" t="s">
        <v>45</v>
      </c>
      <c r="I1083" s="17" t="s">
        <v>193</v>
      </c>
    </row>
    <row r="1084" spans="2:10" x14ac:dyDescent="0.15">
      <c r="B1084" s="18"/>
      <c r="C1084" s="18"/>
      <c r="D1084" s="1"/>
      <c r="E1084" s="18"/>
      <c r="F1084" s="18"/>
      <c r="G1084" s="18"/>
      <c r="H1084" s="18"/>
      <c r="I1084" s="1"/>
    </row>
    <row r="1085" spans="2:10" ht="14" thickBot="1" x14ac:dyDescent="0.2">
      <c r="B1085" s="12" t="s">
        <v>21</v>
      </c>
      <c r="C1085" s="12"/>
      <c r="D1085" s="1"/>
      <c r="E1085" s="1"/>
      <c r="F1085" s="1"/>
      <c r="G1085" s="1"/>
      <c r="H1085" s="1"/>
      <c r="I1085" s="1"/>
    </row>
    <row r="1086" spans="2:10" x14ac:dyDescent="0.15">
      <c r="B1086" s="628" t="s">
        <v>22</v>
      </c>
      <c r="C1086" s="629"/>
      <c r="D1086" s="630"/>
      <c r="E1086" s="205" t="s">
        <v>23</v>
      </c>
      <c r="F1086" s="19" t="s">
        <v>47</v>
      </c>
      <c r="G1086" s="205" t="s">
        <v>24</v>
      </c>
      <c r="H1086" s="204" t="s">
        <v>25</v>
      </c>
      <c r="I1086" s="43"/>
    </row>
    <row r="1087" spans="2:10" x14ac:dyDescent="0.15">
      <c r="B1087" s="631" t="s">
        <v>56</v>
      </c>
      <c r="C1087" s="632"/>
      <c r="D1087" s="633"/>
      <c r="E1087" s="5"/>
      <c r="F1087" s="160"/>
      <c r="G1087" s="58"/>
      <c r="H1087" s="160">
        <f>I1109*0.05</f>
        <v>1620.0744318181821</v>
      </c>
      <c r="I1087" s="44"/>
    </row>
    <row r="1088" spans="2:10" x14ac:dyDescent="0.15">
      <c r="B1088" s="631" t="s">
        <v>309</v>
      </c>
      <c r="C1088" s="632"/>
      <c r="D1088" s="633"/>
      <c r="E1088" s="5"/>
      <c r="F1088" s="160">
        <f>'HERRAMIENTAS Y EQUIPOS'!C23*4</f>
        <v>24000</v>
      </c>
      <c r="G1088" s="58">
        <v>22</v>
      </c>
      <c r="H1088" s="160">
        <f>F1088/G1088</f>
        <v>1090.909090909091</v>
      </c>
      <c r="I1088" s="44"/>
    </row>
    <row r="1089" spans="2:11" ht="14" thickBot="1" x14ac:dyDescent="0.2">
      <c r="B1089" s="634"/>
      <c r="C1089" s="635"/>
      <c r="D1089" s="636"/>
      <c r="E1089" s="21"/>
      <c r="F1089" s="22"/>
      <c r="G1089" s="23"/>
      <c r="H1089" s="47"/>
      <c r="I1089" s="48"/>
    </row>
    <row r="1090" spans="2:11" ht="14" thickBot="1" x14ac:dyDescent="0.2">
      <c r="B1090" s="1"/>
      <c r="C1090" s="1"/>
      <c r="D1090" s="1"/>
      <c r="E1090" s="1"/>
      <c r="F1090" s="1"/>
      <c r="G1090" s="1"/>
      <c r="H1090" s="37" t="s">
        <v>26</v>
      </c>
      <c r="I1090" s="161">
        <f>SUM(H1087:H1089)</f>
        <v>2710.9835227272733</v>
      </c>
    </row>
    <row r="1091" spans="2:11" ht="14" thickBot="1" x14ac:dyDescent="0.2">
      <c r="B1091" s="12" t="s">
        <v>27</v>
      </c>
      <c r="C1091" s="12"/>
      <c r="D1091" s="1"/>
      <c r="E1091" s="1"/>
      <c r="F1091" s="1"/>
      <c r="G1091" s="1"/>
      <c r="H1091" s="1"/>
      <c r="I1091" s="1"/>
    </row>
    <row r="1092" spans="2:11" x14ac:dyDescent="0.15">
      <c r="B1092" s="628" t="s">
        <v>22</v>
      </c>
      <c r="C1092" s="629"/>
      <c r="D1092" s="630"/>
      <c r="E1092" s="205" t="s">
        <v>28</v>
      </c>
      <c r="F1092" s="205" t="s">
        <v>29</v>
      </c>
      <c r="G1092" s="205" t="s">
        <v>30</v>
      </c>
      <c r="H1092" s="204" t="s">
        <v>25</v>
      </c>
      <c r="I1092" s="43"/>
    </row>
    <row r="1093" spans="2:11" x14ac:dyDescent="0.15">
      <c r="B1093" s="4" t="s">
        <v>473</v>
      </c>
      <c r="C1093" s="24"/>
      <c r="D1093" s="6"/>
      <c r="E1093" s="3" t="s">
        <v>58</v>
      </c>
      <c r="F1093" s="164">
        <f>'APU -BASICOS'!H204</f>
        <v>9182</v>
      </c>
      <c r="G1093" s="73">
        <f>(4*1.2*1)</f>
        <v>4.8</v>
      </c>
      <c r="H1093" s="163">
        <f>G1093*F1093</f>
        <v>44073.599999999999</v>
      </c>
      <c r="I1093" s="44"/>
    </row>
    <row r="1094" spans="2:11" x14ac:dyDescent="0.15">
      <c r="B1094" s="4" t="s">
        <v>474</v>
      </c>
      <c r="C1094" s="24"/>
      <c r="D1094" s="6"/>
      <c r="E1094" s="3" t="s">
        <v>58</v>
      </c>
      <c r="F1094" s="164">
        <f>'APU -BASICOS'!H260</f>
        <v>9182</v>
      </c>
      <c r="G1094" s="73">
        <f>(1*0.56*7)</f>
        <v>3.9200000000000004</v>
      </c>
      <c r="H1094" s="163">
        <f>G1094*F1094</f>
        <v>35993.440000000002</v>
      </c>
      <c r="I1094" s="44"/>
    </row>
    <row r="1095" spans="2:11" x14ac:dyDescent="0.15">
      <c r="B1095" s="4" t="s">
        <v>63</v>
      </c>
      <c r="C1095" s="24"/>
      <c r="D1095" s="6"/>
      <c r="E1095" s="3" t="s">
        <v>6</v>
      </c>
      <c r="F1095" s="162">
        <f>'APU -BASICOS'!H96</f>
        <v>585821</v>
      </c>
      <c r="G1095" s="73">
        <f>1*0.25*0.2</f>
        <v>0.05</v>
      </c>
      <c r="H1095" s="163">
        <f>G1095*F1095</f>
        <v>29291.050000000003</v>
      </c>
      <c r="I1095" s="44"/>
    </row>
    <row r="1096" spans="2:11" ht="14" thickBot="1" x14ac:dyDescent="0.2">
      <c r="B1096" s="25"/>
      <c r="C1096" s="26"/>
      <c r="D1096" s="27"/>
      <c r="E1096" s="21"/>
      <c r="F1096" s="22"/>
      <c r="G1096" s="165"/>
      <c r="H1096" s="47"/>
      <c r="I1096" s="48"/>
      <c r="K1096" s="223"/>
    </row>
    <row r="1097" spans="2:11" ht="14" thickBot="1" x14ac:dyDescent="0.2">
      <c r="B1097" s="1"/>
      <c r="C1097" s="1"/>
      <c r="D1097" s="1"/>
      <c r="E1097" s="1"/>
      <c r="F1097" s="1"/>
      <c r="G1097" s="1"/>
      <c r="H1097" s="37" t="s">
        <v>26</v>
      </c>
      <c r="I1097" s="161">
        <f>SUM(H1093:H1095)</f>
        <v>109358.09000000001</v>
      </c>
    </row>
    <row r="1098" spans="2:11" ht="14" thickBot="1" x14ac:dyDescent="0.2">
      <c r="B1098" s="28" t="s">
        <v>31</v>
      </c>
      <c r="C1098" s="28"/>
      <c r="D1098" s="26"/>
      <c r="E1098" s="1"/>
      <c r="F1098" s="1"/>
      <c r="G1098" s="1"/>
      <c r="H1098" s="1"/>
      <c r="I1098" s="1"/>
    </row>
    <row r="1099" spans="2:11" x14ac:dyDescent="0.15">
      <c r="B1099" s="51" t="s">
        <v>32</v>
      </c>
      <c r="C1099" s="52"/>
      <c r="D1099" s="96" t="s">
        <v>33</v>
      </c>
      <c r="E1099" s="205" t="s">
        <v>34</v>
      </c>
      <c r="F1099" s="205" t="s">
        <v>35</v>
      </c>
      <c r="G1099" s="205" t="s">
        <v>36</v>
      </c>
      <c r="H1099" s="59" t="s">
        <v>25</v>
      </c>
      <c r="I1099" s="43"/>
    </row>
    <row r="1100" spans="2:11" x14ac:dyDescent="0.15">
      <c r="B1100" s="4"/>
      <c r="C1100" s="24"/>
      <c r="D1100" s="60"/>
      <c r="E1100" s="2"/>
      <c r="F1100" s="2"/>
      <c r="G1100" s="160"/>
      <c r="H1100" s="55"/>
      <c r="I1100" s="44"/>
      <c r="K1100" s="105"/>
    </row>
    <row r="1101" spans="2:11" x14ac:dyDescent="0.15">
      <c r="B1101" s="106"/>
      <c r="C1101" s="66"/>
      <c r="D1101" s="67"/>
      <c r="E1101" s="68"/>
      <c r="F1101" s="68"/>
      <c r="G1101" s="69"/>
      <c r="H1101" s="65"/>
      <c r="I1101" s="44"/>
    </row>
    <row r="1102" spans="2:11" ht="14" thickBot="1" x14ac:dyDescent="0.2">
      <c r="B1102" s="33"/>
      <c r="C1102" s="54"/>
      <c r="D1102" s="21"/>
      <c r="E1102" s="22"/>
      <c r="F1102" s="23"/>
      <c r="G1102" s="47"/>
      <c r="H1102" s="21"/>
      <c r="I1102" s="48"/>
    </row>
    <row r="1103" spans="2:11" ht="14" thickBot="1" x14ac:dyDescent="0.2">
      <c r="B1103" s="1"/>
      <c r="C1103" s="1"/>
      <c r="D1103" s="1"/>
      <c r="E1103" s="1"/>
      <c r="F1103" s="1"/>
      <c r="G1103" s="1"/>
      <c r="H1103" s="37" t="s">
        <v>26</v>
      </c>
      <c r="I1103" s="161">
        <f>SUM(H1100:H1102)</f>
        <v>0</v>
      </c>
      <c r="K1103" s="105"/>
    </row>
    <row r="1104" spans="2:11" ht="14" thickBot="1" x14ac:dyDescent="0.2">
      <c r="B1104" s="28" t="s">
        <v>37</v>
      </c>
      <c r="C1104" s="28"/>
      <c r="D1104" s="1"/>
      <c r="E1104" s="1"/>
      <c r="F1104" s="1"/>
      <c r="G1104" s="1"/>
      <c r="H1104" s="1"/>
      <c r="I1104" s="1"/>
    </row>
    <row r="1105" spans="2:12" x14ac:dyDescent="0.15">
      <c r="B1105" s="51" t="s">
        <v>38</v>
      </c>
      <c r="C1105" s="86"/>
      <c r="D1105" s="31" t="s">
        <v>39</v>
      </c>
      <c r="E1105" s="205" t="s">
        <v>40</v>
      </c>
      <c r="F1105" s="19" t="s">
        <v>41</v>
      </c>
      <c r="G1105" s="31" t="s">
        <v>24</v>
      </c>
      <c r="H1105" s="204" t="s">
        <v>25</v>
      </c>
      <c r="I1105" s="43"/>
      <c r="K1105" s="105"/>
    </row>
    <row r="1106" spans="2:12" x14ac:dyDescent="0.15">
      <c r="B1106" s="4" t="s">
        <v>65</v>
      </c>
      <c r="C1106" s="24"/>
      <c r="D1106" s="32">
        <f>'MANO DE OBRA'!E15</f>
        <v>95333</v>
      </c>
      <c r="E1106" s="88">
        <v>1.75</v>
      </c>
      <c r="F1106" s="162">
        <f>+E1106*D1106</f>
        <v>166832.75</v>
      </c>
      <c r="G1106" s="20">
        <v>22</v>
      </c>
      <c r="H1106" s="167">
        <f>+F1106/G1106</f>
        <v>7583.306818181818</v>
      </c>
      <c r="I1106" s="44"/>
      <c r="K1106" s="223"/>
    </row>
    <row r="1107" spans="2:12" x14ac:dyDescent="0.15">
      <c r="B1107" s="4" t="s">
        <v>94</v>
      </c>
      <c r="C1107" s="24"/>
      <c r="D1107" s="32">
        <f>'MANO DE OBRA'!E14*6</f>
        <v>312000</v>
      </c>
      <c r="E1107" s="88">
        <v>1.75</v>
      </c>
      <c r="F1107" s="162">
        <f>+E1107*D1107</f>
        <v>546000</v>
      </c>
      <c r="G1107" s="20">
        <v>22</v>
      </c>
      <c r="H1107" s="167">
        <f>+F1107/G1107</f>
        <v>24818.18181818182</v>
      </c>
      <c r="I1107" s="44"/>
      <c r="L1107" s="172"/>
    </row>
    <row r="1108" spans="2:12" ht="14" thickBot="1" x14ac:dyDescent="0.2">
      <c r="B1108" s="33"/>
      <c r="C1108" s="34"/>
      <c r="D1108" s="22"/>
      <c r="E1108" s="21"/>
      <c r="F1108" s="22"/>
      <c r="G1108" s="23"/>
      <c r="H1108" s="47"/>
      <c r="I1108" s="48"/>
      <c r="K1108" s="105"/>
    </row>
    <row r="1109" spans="2:12" ht="14" thickBot="1" x14ac:dyDescent="0.2">
      <c r="B1109" s="1"/>
      <c r="C1109" s="1"/>
      <c r="D1109" s="1"/>
      <c r="E1109" s="1"/>
      <c r="F1109" s="1"/>
      <c r="G1109" s="1"/>
      <c r="H1109" s="37" t="s">
        <v>26</v>
      </c>
      <c r="I1109" s="175">
        <f>SUM(H1106:H1108)</f>
        <v>32401.48863636364</v>
      </c>
      <c r="K1109" s="105"/>
      <c r="L1109" s="105"/>
    </row>
    <row r="1110" spans="2:12" ht="14" thickBot="1" x14ac:dyDescent="0.2">
      <c r="B1110" s="1"/>
      <c r="C1110" s="1"/>
      <c r="D1110" s="1"/>
      <c r="E1110" s="1"/>
      <c r="F1110" s="1"/>
      <c r="G1110" s="1"/>
      <c r="H1110" s="61"/>
      <c r="I1110" s="1"/>
    </row>
    <row r="1111" spans="2:12" ht="15" thickBot="1" x14ac:dyDescent="0.2">
      <c r="B1111" s="1"/>
      <c r="C1111" s="1"/>
      <c r="D1111" s="1"/>
      <c r="E1111" s="1"/>
      <c r="F1111" s="35" t="s">
        <v>43</v>
      </c>
      <c r="G1111" s="16"/>
      <c r="H1111" s="16"/>
      <c r="I1111" s="222">
        <f>ROUND((I1090+I1097+I1103+I1109),0)</f>
        <v>144471</v>
      </c>
      <c r="K1111" s="105"/>
    </row>
    <row r="1112" spans="2:12" x14ac:dyDescent="0.15">
      <c r="B1112" s="12"/>
      <c r="C1112" s="12"/>
      <c r="D1112" s="1"/>
      <c r="E1112" s="1"/>
      <c r="F1112" s="1"/>
      <c r="G1112" s="1"/>
      <c r="H1112" s="170"/>
      <c r="I1112" s="170"/>
      <c r="L1112" s="105"/>
    </row>
    <row r="1113" spans="2:12" x14ac:dyDescent="0.15">
      <c r="B1113" s="16"/>
      <c r="C1113" s="16"/>
      <c r="D1113" s="16"/>
      <c r="E1113" s="16"/>
      <c r="F1113" s="16"/>
      <c r="G1113" s="61"/>
      <c r="H1113" s="171"/>
      <c r="I1113" s="170"/>
    </row>
    <row r="1114" spans="2:12" x14ac:dyDescent="0.15">
      <c r="B1114" s="1"/>
      <c r="C1114" s="1"/>
      <c r="D1114" s="1"/>
      <c r="E1114" s="1"/>
      <c r="F1114" s="1"/>
      <c r="G1114" s="159"/>
      <c r="H1114" s="170"/>
      <c r="I1114" s="170"/>
    </row>
    <row r="1115" spans="2:12" x14ac:dyDescent="0.15">
      <c r="B1115" s="1"/>
      <c r="C1115" s="1"/>
      <c r="D1115" s="1"/>
      <c r="E1115" s="1"/>
      <c r="F1115" s="1"/>
      <c r="G1115" s="159"/>
      <c r="H1115" s="170"/>
      <c r="I1115" s="170"/>
    </row>
    <row r="1116" spans="2:12" x14ac:dyDescent="0.15">
      <c r="B1116" s="1"/>
      <c r="C1116" s="1"/>
      <c r="D1116" s="1"/>
      <c r="E1116" s="1"/>
      <c r="F1116" s="1"/>
      <c r="G1116" s="159"/>
      <c r="H1116" s="170"/>
      <c r="I1116" s="170"/>
    </row>
    <row r="1117" spans="2:12" x14ac:dyDescent="0.15">
      <c r="B1117" s="1"/>
      <c r="C1117" s="1"/>
      <c r="D1117" s="1"/>
      <c r="E1117" s="1"/>
      <c r="F1117" s="1"/>
      <c r="G1117" s="1"/>
      <c r="H1117" s="37"/>
      <c r="I1117" s="170"/>
    </row>
    <row r="1118" spans="2:12" ht="14" x14ac:dyDescent="0.15">
      <c r="B1118" s="101"/>
      <c r="C1118" s="1"/>
      <c r="D1118" s="1"/>
      <c r="E1118" s="1"/>
      <c r="F1118" s="1"/>
      <c r="G1118" s="1"/>
      <c r="H1118" s="1"/>
      <c r="I1118" s="170"/>
    </row>
    <row r="1119" spans="2:12" ht="14" x14ac:dyDescent="0.15">
      <c r="B1119" s="101"/>
      <c r="C1119" s="1"/>
      <c r="D1119" s="1"/>
      <c r="E1119" s="1"/>
      <c r="F1119" s="1"/>
      <c r="G1119" s="1"/>
      <c r="H1119" s="1"/>
      <c r="I1119" s="170"/>
    </row>
    <row r="1120" spans="2:12" ht="14" x14ac:dyDescent="0.15">
      <c r="B1120" s="101"/>
      <c r="C1120" s="1"/>
      <c r="D1120" s="1"/>
      <c r="E1120" s="1"/>
      <c r="F1120" s="1"/>
      <c r="G1120" s="1"/>
      <c r="H1120" s="1"/>
      <c r="I1120" s="170"/>
    </row>
    <row r="1121" spans="2:10" ht="14" x14ac:dyDescent="0.15">
      <c r="B1121" s="101"/>
      <c r="C1121" s="1"/>
      <c r="D1121" s="1"/>
      <c r="E1121" s="1"/>
      <c r="F1121" s="1"/>
      <c r="G1121" s="1"/>
      <c r="H1121" s="1"/>
      <c r="I1121" s="170"/>
    </row>
    <row r="1122" spans="2:10" ht="14" x14ac:dyDescent="0.15">
      <c r="B1122" s="101"/>
      <c r="C1122" s="1"/>
      <c r="D1122" s="1"/>
      <c r="E1122" s="1"/>
      <c r="F1122" s="1"/>
      <c r="G1122" s="1"/>
      <c r="H1122" s="1"/>
      <c r="I1122" s="170"/>
    </row>
    <row r="1123" spans="2:10" ht="14" x14ac:dyDescent="0.15">
      <c r="B1123" s="101"/>
      <c r="C1123" s="1"/>
      <c r="D1123" s="1"/>
      <c r="E1123" s="1"/>
      <c r="F1123" s="1"/>
      <c r="G1123" s="1"/>
      <c r="H1123" s="1"/>
      <c r="I1123" s="170"/>
    </row>
    <row r="1124" spans="2:10" ht="14" x14ac:dyDescent="0.15">
      <c r="B1124" s="83"/>
      <c r="C1124" s="11"/>
      <c r="D1124" s="1"/>
      <c r="E1124" s="637"/>
      <c r="F1124" s="637"/>
      <c r="G1124" s="637"/>
      <c r="H1124" s="637"/>
      <c r="I1124" s="169"/>
    </row>
    <row r="1125" spans="2:10" ht="14" x14ac:dyDescent="0.15">
      <c r="B1125" s="101"/>
      <c r="C1125" s="11"/>
      <c r="D1125" s="1"/>
      <c r="E1125" s="153"/>
      <c r="F1125" s="153"/>
      <c r="G1125" s="153"/>
      <c r="H1125" s="153"/>
      <c r="I1125" s="169"/>
    </row>
    <row r="1126" spans="2:10" ht="14" x14ac:dyDescent="0.15">
      <c r="B1126" s="83"/>
      <c r="C1126" s="11"/>
      <c r="D1126" s="1"/>
      <c r="E1126" s="153"/>
      <c r="F1126" s="153"/>
      <c r="G1126" s="153"/>
      <c r="H1126" s="153"/>
      <c r="I1126" s="169"/>
    </row>
    <row r="1127" spans="2:10" x14ac:dyDescent="0.15">
      <c r="B1127" s="11"/>
      <c r="C1127" s="11"/>
      <c r="D1127" s="1"/>
      <c r="E1127" s="153"/>
      <c r="F1127" s="153"/>
      <c r="G1127" s="153"/>
      <c r="H1127" s="153"/>
      <c r="I1127" s="169"/>
    </row>
    <row r="1128" spans="2:10" x14ac:dyDescent="0.15">
      <c r="B1128" s="11"/>
      <c r="C1128" s="11"/>
      <c r="D1128" s="1"/>
      <c r="E1128" s="153"/>
      <c r="F1128" s="153"/>
      <c r="G1128" s="153"/>
      <c r="H1128" s="153"/>
      <c r="I1128" s="169"/>
    </row>
    <row r="1129" spans="2:10" x14ac:dyDescent="0.15">
      <c r="B1129" s="11"/>
      <c r="C1129" s="11"/>
      <c r="D1129" s="1"/>
      <c r="E1129" s="153"/>
      <c r="F1129" s="153"/>
      <c r="G1129" s="153"/>
      <c r="H1129" s="153"/>
      <c r="I1129" s="169"/>
    </row>
    <row r="1130" spans="2:10" x14ac:dyDescent="0.15">
      <c r="B1130" s="11"/>
      <c r="C1130" s="11"/>
      <c r="D1130" s="1"/>
      <c r="E1130" s="153"/>
      <c r="F1130" s="153"/>
      <c r="G1130" s="153"/>
      <c r="H1130" s="153"/>
      <c r="I1130" s="169"/>
    </row>
    <row r="1131" spans="2:10" x14ac:dyDescent="0.15">
      <c r="B1131" s="11"/>
      <c r="C1131" s="11"/>
      <c r="D1131" s="1"/>
      <c r="E1131" s="153"/>
      <c r="F1131" s="153"/>
      <c r="G1131" s="153"/>
      <c r="H1131" s="153"/>
      <c r="I1131" s="169"/>
    </row>
    <row r="1132" spans="2:10" ht="14" x14ac:dyDescent="0.15">
      <c r="B1132" s="83"/>
      <c r="C1132" s="83"/>
      <c r="D1132" s="84"/>
      <c r="E1132" s="83"/>
      <c r="F1132" s="83"/>
      <c r="G1132" s="103"/>
      <c r="H1132" s="83"/>
      <c r="I1132" s="85"/>
      <c r="J1132" s="85"/>
    </row>
    <row r="1133" spans="2:10" ht="14" x14ac:dyDescent="0.15">
      <c r="B1133" s="83"/>
      <c r="C1133" s="83"/>
      <c r="D1133" s="84"/>
      <c r="E1133" s="83"/>
      <c r="F1133" s="83"/>
      <c r="G1133" s="103"/>
      <c r="H1133" s="83"/>
      <c r="I1133" s="85"/>
      <c r="J1133" s="85"/>
    </row>
    <row r="1134" spans="2:10" ht="14" thickBot="1" x14ac:dyDescent="0.2">
      <c r="B1134" s="11"/>
      <c r="C1134" s="11"/>
      <c r="D1134" s="1"/>
      <c r="E1134" s="153"/>
      <c r="F1134" s="153"/>
      <c r="G1134" s="153"/>
      <c r="H1134" s="153"/>
      <c r="I1134" s="169"/>
    </row>
    <row r="1135" spans="2:10" ht="21" customHeight="1" x14ac:dyDescent="0.15">
      <c r="B1135" s="607" t="s">
        <v>1065</v>
      </c>
      <c r="C1135" s="608"/>
      <c r="D1135" s="608"/>
      <c r="E1135" s="608"/>
      <c r="F1135" s="609"/>
      <c r="G1135" s="1"/>
      <c r="H1135" s="638" t="s">
        <v>20</v>
      </c>
      <c r="I1135" s="639"/>
    </row>
    <row r="1136" spans="2:10" ht="16.5" customHeight="1" x14ac:dyDescent="0.15">
      <c r="B1136" s="604" t="s">
        <v>446</v>
      </c>
      <c r="C1136" s="605"/>
      <c r="D1136" s="605"/>
      <c r="E1136" s="605"/>
      <c r="F1136" s="606"/>
      <c r="G1136" s="63"/>
      <c r="H1136" s="640"/>
      <c r="I1136" s="641"/>
    </row>
    <row r="1137" spans="2:9" ht="12.75" customHeight="1" x14ac:dyDescent="0.15">
      <c r="B1137" s="610" t="s">
        <v>447</v>
      </c>
      <c r="C1137" s="611"/>
      <c r="D1137" s="611"/>
      <c r="E1137" s="611"/>
      <c r="F1137" s="612"/>
      <c r="G1137" s="63"/>
      <c r="H1137" s="642"/>
      <c r="I1137" s="643"/>
    </row>
    <row r="1138" spans="2:9" ht="16.5" customHeight="1" thickBot="1" x14ac:dyDescent="0.2">
      <c r="B1138" s="613"/>
      <c r="C1138" s="614"/>
      <c r="D1138" s="614"/>
      <c r="E1138" s="614"/>
      <c r="F1138" s="615"/>
      <c r="G1138" s="1"/>
      <c r="H1138" s="662" t="s">
        <v>934</v>
      </c>
      <c r="I1138" s="663"/>
    </row>
    <row r="1139" spans="2:9" ht="14" thickBot="1" x14ac:dyDescent="0.2">
      <c r="B1139" s="15"/>
      <c r="C1139" s="16"/>
      <c r="D1139" s="1"/>
      <c r="E1139" s="1"/>
      <c r="F1139" s="1"/>
      <c r="G1139" s="1"/>
      <c r="H1139" s="664"/>
      <c r="I1139" s="665"/>
    </row>
    <row r="1140" spans="2:9" ht="12.75" customHeight="1" x14ac:dyDescent="0.15">
      <c r="B1140" s="650" t="s">
        <v>890</v>
      </c>
      <c r="C1140" s="651"/>
      <c r="D1140" s="651"/>
      <c r="E1140" s="651"/>
      <c r="F1140" s="652"/>
      <c r="G1140" s="1"/>
      <c r="H1140" s="664"/>
      <c r="I1140" s="665"/>
    </row>
    <row r="1141" spans="2:9" ht="12.75" customHeight="1" x14ac:dyDescent="0.15">
      <c r="B1141" s="653"/>
      <c r="C1141" s="654"/>
      <c r="D1141" s="654"/>
      <c r="E1141" s="654"/>
      <c r="F1141" s="655"/>
      <c r="H1141" s="664"/>
      <c r="I1141" s="665"/>
    </row>
    <row r="1142" spans="2:9" ht="13.5" customHeight="1" x14ac:dyDescent="0.15">
      <c r="B1142" s="653"/>
      <c r="C1142" s="654"/>
      <c r="D1142" s="654"/>
      <c r="E1142" s="654"/>
      <c r="F1142" s="655"/>
      <c r="G1142" s="11"/>
      <c r="H1142" s="666"/>
      <c r="I1142" s="667"/>
    </row>
    <row r="1143" spans="2:9" ht="21.75" customHeight="1" thickBot="1" x14ac:dyDescent="0.2">
      <c r="B1143" s="656"/>
      <c r="C1143" s="657"/>
      <c r="D1143" s="657"/>
      <c r="E1143" s="657"/>
      <c r="F1143" s="658"/>
      <c r="H1143" s="64" t="s">
        <v>45</v>
      </c>
      <c r="I1143" s="17" t="s">
        <v>193</v>
      </c>
    </row>
    <row r="1144" spans="2:9" x14ac:dyDescent="0.15">
      <c r="B1144" s="18"/>
      <c r="C1144" s="18"/>
      <c r="D1144" s="1"/>
      <c r="E1144" s="18"/>
      <c r="F1144" s="18"/>
      <c r="G1144" s="18"/>
      <c r="H1144" s="18"/>
      <c r="I1144" s="1"/>
    </row>
    <row r="1145" spans="2:9" ht="14" thickBot="1" x14ac:dyDescent="0.2">
      <c r="B1145" s="12" t="s">
        <v>21</v>
      </c>
      <c r="C1145" s="12"/>
      <c r="D1145" s="1"/>
      <c r="E1145" s="1"/>
      <c r="F1145" s="1"/>
      <c r="G1145" s="1"/>
      <c r="H1145" s="1"/>
      <c r="I1145" s="1"/>
    </row>
    <row r="1146" spans="2:9" x14ac:dyDescent="0.15">
      <c r="B1146" s="628" t="s">
        <v>22</v>
      </c>
      <c r="C1146" s="629"/>
      <c r="D1146" s="630"/>
      <c r="E1146" s="205" t="s">
        <v>23</v>
      </c>
      <c r="F1146" s="19" t="s">
        <v>47</v>
      </c>
      <c r="G1146" s="205" t="s">
        <v>24</v>
      </c>
      <c r="H1146" s="204" t="s">
        <v>25</v>
      </c>
      <c r="I1146" s="43"/>
    </row>
    <row r="1147" spans="2:9" x14ac:dyDescent="0.15">
      <c r="B1147" s="631" t="s">
        <v>56</v>
      </c>
      <c r="C1147" s="632"/>
      <c r="D1147" s="633"/>
      <c r="E1147" s="5"/>
      <c r="F1147" s="160"/>
      <c r="G1147" s="58"/>
      <c r="H1147" s="160">
        <f>I1169*0.05</f>
        <v>1485.0682291666667</v>
      </c>
      <c r="I1147" s="44"/>
    </row>
    <row r="1148" spans="2:9" x14ac:dyDescent="0.15">
      <c r="B1148" s="631" t="s">
        <v>309</v>
      </c>
      <c r="C1148" s="632"/>
      <c r="D1148" s="633"/>
      <c r="E1148" s="5"/>
      <c r="F1148" s="160">
        <f>'HERRAMIENTAS Y EQUIPOS'!C23*4</f>
        <v>24000</v>
      </c>
      <c r="G1148" s="58">
        <v>24</v>
      </c>
      <c r="H1148" s="160">
        <f>F1148/G1148</f>
        <v>1000</v>
      </c>
      <c r="I1148" s="44"/>
    </row>
    <row r="1149" spans="2:9" ht="14" thickBot="1" x14ac:dyDescent="0.2">
      <c r="B1149" s="634"/>
      <c r="C1149" s="635"/>
      <c r="D1149" s="636"/>
      <c r="E1149" s="21"/>
      <c r="F1149" s="22"/>
      <c r="G1149" s="23"/>
      <c r="H1149" s="47"/>
      <c r="I1149" s="48"/>
    </row>
    <row r="1150" spans="2:9" ht="14" thickBot="1" x14ac:dyDescent="0.2">
      <c r="B1150" s="1"/>
      <c r="C1150" s="1"/>
      <c r="D1150" s="1"/>
      <c r="E1150" s="1"/>
      <c r="F1150" s="1"/>
      <c r="G1150" s="1"/>
      <c r="H1150" s="37" t="s">
        <v>26</v>
      </c>
      <c r="I1150" s="161">
        <f>SUM(H1147:H1149)</f>
        <v>2485.0682291666667</v>
      </c>
    </row>
    <row r="1151" spans="2:9" ht="14" thickBot="1" x14ac:dyDescent="0.2">
      <c r="B1151" s="12" t="s">
        <v>27</v>
      </c>
      <c r="C1151" s="12"/>
      <c r="D1151" s="1"/>
      <c r="E1151" s="1"/>
      <c r="F1151" s="1"/>
      <c r="G1151" s="1"/>
      <c r="H1151" s="1"/>
      <c r="I1151" s="1"/>
    </row>
    <row r="1152" spans="2:9" x14ac:dyDescent="0.15">
      <c r="B1152" s="628" t="s">
        <v>22</v>
      </c>
      <c r="C1152" s="629"/>
      <c r="D1152" s="630"/>
      <c r="E1152" s="205" t="s">
        <v>28</v>
      </c>
      <c r="F1152" s="205" t="s">
        <v>29</v>
      </c>
      <c r="G1152" s="205" t="s">
        <v>30</v>
      </c>
      <c r="H1152" s="204" t="s">
        <v>25</v>
      </c>
      <c r="I1152" s="43"/>
    </row>
    <row r="1153" spans="2:12" x14ac:dyDescent="0.15">
      <c r="B1153" s="4" t="s">
        <v>473</v>
      </c>
      <c r="C1153" s="24"/>
      <c r="D1153" s="6"/>
      <c r="E1153" s="3" t="s">
        <v>58</v>
      </c>
      <c r="F1153" s="164">
        <f>'APU -BASICOS'!H204</f>
        <v>9182</v>
      </c>
      <c r="G1153" s="73">
        <f>(4*1.2*0.56)</f>
        <v>2.6880000000000002</v>
      </c>
      <c r="H1153" s="163">
        <f>G1153*F1153</f>
        <v>24681.216</v>
      </c>
      <c r="I1153" s="44"/>
    </row>
    <row r="1154" spans="2:12" x14ac:dyDescent="0.15">
      <c r="B1154" s="4" t="s">
        <v>474</v>
      </c>
      <c r="C1154" s="24"/>
      <c r="D1154" s="6"/>
      <c r="E1154" s="3" t="s">
        <v>58</v>
      </c>
      <c r="F1154" s="164">
        <f>'APU -BASICOS'!H260</f>
        <v>9182</v>
      </c>
      <c r="G1154" s="73">
        <f>(1*0.56*7)</f>
        <v>3.9200000000000004</v>
      </c>
      <c r="H1154" s="163">
        <f>G1154*F1154</f>
        <v>35993.440000000002</v>
      </c>
      <c r="I1154" s="44"/>
    </row>
    <row r="1155" spans="2:12" x14ac:dyDescent="0.15">
      <c r="B1155" s="4" t="s">
        <v>63</v>
      </c>
      <c r="C1155" s="24"/>
      <c r="D1155" s="6"/>
      <c r="E1155" s="3" t="s">
        <v>6</v>
      </c>
      <c r="F1155" s="162">
        <f>'APU -BASICOS'!H96</f>
        <v>585821</v>
      </c>
      <c r="G1155" s="73">
        <f>1*0.25*0.2</f>
        <v>0.05</v>
      </c>
      <c r="H1155" s="163">
        <f>G1155*F1155</f>
        <v>29291.050000000003</v>
      </c>
      <c r="I1155" s="44"/>
    </row>
    <row r="1156" spans="2:12" ht="14" thickBot="1" x14ac:dyDescent="0.2">
      <c r="B1156" s="25"/>
      <c r="C1156" s="26"/>
      <c r="D1156" s="27"/>
      <c r="E1156" s="21"/>
      <c r="F1156" s="22"/>
      <c r="G1156" s="165"/>
      <c r="H1156" s="47"/>
      <c r="I1156" s="48"/>
      <c r="K1156" s="223"/>
    </row>
    <row r="1157" spans="2:12" ht="14" thickBot="1" x14ac:dyDescent="0.2">
      <c r="B1157" s="1"/>
      <c r="C1157" s="1"/>
      <c r="D1157" s="1"/>
      <c r="E1157" s="1"/>
      <c r="F1157" s="1"/>
      <c r="G1157" s="1"/>
      <c r="H1157" s="37" t="s">
        <v>26</v>
      </c>
      <c r="I1157" s="161">
        <f>SUM(H1153:H1155)</f>
        <v>89965.706000000006</v>
      </c>
    </row>
    <row r="1158" spans="2:12" ht="14" thickBot="1" x14ac:dyDescent="0.2">
      <c r="B1158" s="28" t="s">
        <v>31</v>
      </c>
      <c r="C1158" s="28"/>
      <c r="D1158" s="26"/>
      <c r="E1158" s="1"/>
      <c r="F1158" s="1"/>
      <c r="G1158" s="1"/>
      <c r="H1158" s="1"/>
      <c r="I1158" s="1"/>
    </row>
    <row r="1159" spans="2:12" x14ac:dyDescent="0.15">
      <c r="B1159" s="51" t="s">
        <v>32</v>
      </c>
      <c r="C1159" s="52"/>
      <c r="D1159" s="96" t="s">
        <v>33</v>
      </c>
      <c r="E1159" s="205" t="s">
        <v>34</v>
      </c>
      <c r="F1159" s="205" t="s">
        <v>35</v>
      </c>
      <c r="G1159" s="205" t="s">
        <v>36</v>
      </c>
      <c r="H1159" s="59" t="s">
        <v>25</v>
      </c>
      <c r="I1159" s="43"/>
    </row>
    <row r="1160" spans="2:12" x14ac:dyDescent="0.15">
      <c r="B1160" s="4"/>
      <c r="C1160" s="24"/>
      <c r="D1160" s="60"/>
      <c r="E1160" s="2"/>
      <c r="F1160" s="2"/>
      <c r="G1160" s="160"/>
      <c r="H1160" s="55"/>
      <c r="I1160" s="44"/>
      <c r="K1160" s="105"/>
    </row>
    <row r="1161" spans="2:12" x14ac:dyDescent="0.15">
      <c r="B1161" s="106"/>
      <c r="C1161" s="66"/>
      <c r="D1161" s="67"/>
      <c r="E1161" s="68"/>
      <c r="F1161" s="68"/>
      <c r="G1161" s="69"/>
      <c r="H1161" s="65"/>
      <c r="I1161" s="44"/>
    </row>
    <row r="1162" spans="2:12" ht="14" thickBot="1" x14ac:dyDescent="0.2">
      <c r="B1162" s="33"/>
      <c r="C1162" s="54"/>
      <c r="D1162" s="21"/>
      <c r="E1162" s="22"/>
      <c r="F1162" s="23"/>
      <c r="G1162" s="47"/>
      <c r="H1162" s="21"/>
      <c r="I1162" s="48"/>
    </row>
    <row r="1163" spans="2:12" ht="14" thickBot="1" x14ac:dyDescent="0.2">
      <c r="B1163" s="1"/>
      <c r="C1163" s="1"/>
      <c r="D1163" s="1"/>
      <c r="E1163" s="1"/>
      <c r="F1163" s="1"/>
      <c r="G1163" s="1"/>
      <c r="H1163" s="37" t="s">
        <v>26</v>
      </c>
      <c r="I1163" s="161">
        <f>SUM(H1160:H1162)</f>
        <v>0</v>
      </c>
      <c r="K1163" s="105"/>
    </row>
    <row r="1164" spans="2:12" ht="14" thickBot="1" x14ac:dyDescent="0.2">
      <c r="B1164" s="28" t="s">
        <v>37</v>
      </c>
      <c r="C1164" s="28"/>
      <c r="D1164" s="1"/>
      <c r="E1164" s="1"/>
      <c r="F1164" s="1"/>
      <c r="G1164" s="1"/>
      <c r="H1164" s="1"/>
      <c r="I1164" s="1"/>
    </row>
    <row r="1165" spans="2:12" x14ac:dyDescent="0.15">
      <c r="B1165" s="51" t="s">
        <v>38</v>
      </c>
      <c r="C1165" s="86"/>
      <c r="D1165" s="31" t="s">
        <v>39</v>
      </c>
      <c r="E1165" s="205" t="s">
        <v>40</v>
      </c>
      <c r="F1165" s="19" t="s">
        <v>41</v>
      </c>
      <c r="G1165" s="31" t="s">
        <v>24</v>
      </c>
      <c r="H1165" s="204" t="s">
        <v>25</v>
      </c>
      <c r="I1165" s="43"/>
      <c r="K1165" s="105"/>
    </row>
    <row r="1166" spans="2:12" x14ac:dyDescent="0.15">
      <c r="B1166" s="4" t="s">
        <v>65</v>
      </c>
      <c r="C1166" s="24"/>
      <c r="D1166" s="32">
        <f>'MANO DE OBRA'!E15</f>
        <v>95333</v>
      </c>
      <c r="E1166" s="88">
        <v>1.75</v>
      </c>
      <c r="F1166" s="162">
        <f>+E1166*D1166</f>
        <v>166832.75</v>
      </c>
      <c r="G1166" s="20">
        <v>24</v>
      </c>
      <c r="H1166" s="167">
        <f>+F1166/G1166</f>
        <v>6951.364583333333</v>
      </c>
      <c r="I1166" s="44"/>
      <c r="K1166" s="223"/>
    </row>
    <row r="1167" spans="2:12" x14ac:dyDescent="0.15">
      <c r="B1167" s="4" t="s">
        <v>94</v>
      </c>
      <c r="C1167" s="24"/>
      <c r="D1167" s="32">
        <f>'MANO DE OBRA'!E14*6</f>
        <v>312000</v>
      </c>
      <c r="E1167" s="88">
        <v>1.75</v>
      </c>
      <c r="F1167" s="162">
        <f>+E1167*D1167</f>
        <v>546000</v>
      </c>
      <c r="G1167" s="20">
        <v>24</v>
      </c>
      <c r="H1167" s="167">
        <f>+F1167/G1167</f>
        <v>22750</v>
      </c>
      <c r="I1167" s="44"/>
      <c r="L1167" s="172"/>
    </row>
    <row r="1168" spans="2:12" ht="14" thickBot="1" x14ac:dyDescent="0.2">
      <c r="B1168" s="33"/>
      <c r="C1168" s="34"/>
      <c r="D1168" s="22"/>
      <c r="E1168" s="21"/>
      <c r="F1168" s="22"/>
      <c r="G1168" s="23"/>
      <c r="H1168" s="47"/>
      <c r="I1168" s="48"/>
      <c r="K1168" s="105"/>
    </row>
    <row r="1169" spans="2:12" ht="14" thickBot="1" x14ac:dyDescent="0.2">
      <c r="B1169" s="1"/>
      <c r="C1169" s="1"/>
      <c r="D1169" s="1"/>
      <c r="E1169" s="1"/>
      <c r="F1169" s="1"/>
      <c r="G1169" s="1"/>
      <c r="H1169" s="37" t="s">
        <v>26</v>
      </c>
      <c r="I1169" s="175">
        <f>SUM(H1166:H1168)</f>
        <v>29701.364583333332</v>
      </c>
      <c r="K1169" s="105"/>
      <c r="L1169" s="105"/>
    </row>
    <row r="1170" spans="2:12" ht="14" thickBot="1" x14ac:dyDescent="0.2">
      <c r="B1170" s="1"/>
      <c r="C1170" s="1"/>
      <c r="D1170" s="1"/>
      <c r="E1170" s="1"/>
      <c r="F1170" s="1"/>
      <c r="G1170" s="1"/>
      <c r="H1170" s="61"/>
      <c r="I1170" s="1"/>
    </row>
    <row r="1171" spans="2:12" ht="15" thickBot="1" x14ac:dyDescent="0.2">
      <c r="B1171" s="1"/>
      <c r="C1171" s="1"/>
      <c r="D1171" s="1"/>
      <c r="E1171" s="1"/>
      <c r="F1171" s="35" t="s">
        <v>43</v>
      </c>
      <c r="G1171" s="16"/>
      <c r="H1171" s="16"/>
      <c r="I1171" s="222">
        <f>ROUND((I1150+I1157+I1163+I1169),0)</f>
        <v>122152</v>
      </c>
      <c r="K1171" s="105"/>
    </row>
    <row r="1172" spans="2:12" x14ac:dyDescent="0.15">
      <c r="B1172" s="12"/>
      <c r="C1172" s="12"/>
      <c r="D1172" s="1"/>
      <c r="E1172" s="1"/>
      <c r="F1172" s="1"/>
      <c r="G1172" s="1"/>
      <c r="H1172" s="170"/>
      <c r="I1172" s="170"/>
      <c r="L1172" s="105"/>
    </row>
    <row r="1173" spans="2:12" x14ac:dyDescent="0.15">
      <c r="B1173" s="16"/>
      <c r="C1173" s="16"/>
      <c r="D1173" s="16"/>
      <c r="E1173" s="16"/>
      <c r="F1173" s="16"/>
      <c r="G1173" s="61"/>
      <c r="H1173" s="171"/>
      <c r="I1173" s="170"/>
    </row>
    <row r="1174" spans="2:12" x14ac:dyDescent="0.15">
      <c r="B1174" s="1"/>
      <c r="C1174" s="1"/>
      <c r="D1174" s="1"/>
      <c r="E1174" s="1"/>
      <c r="F1174" s="1"/>
      <c r="G1174" s="159"/>
      <c r="H1174" s="170"/>
      <c r="I1174" s="170"/>
    </row>
    <row r="1175" spans="2:12" x14ac:dyDescent="0.15">
      <c r="B1175" s="1"/>
      <c r="C1175" s="1"/>
      <c r="D1175" s="1"/>
      <c r="E1175" s="1"/>
      <c r="F1175" s="1"/>
      <c r="G1175" s="159"/>
      <c r="H1175" s="170"/>
      <c r="I1175" s="170"/>
    </row>
    <row r="1176" spans="2:12" x14ac:dyDescent="0.15">
      <c r="B1176" s="1"/>
      <c r="C1176" s="1"/>
      <c r="D1176" s="1"/>
      <c r="E1176" s="1"/>
      <c r="F1176" s="1"/>
      <c r="G1176" s="159"/>
      <c r="H1176" s="170"/>
      <c r="I1176" s="170"/>
    </row>
    <row r="1177" spans="2:12" x14ac:dyDescent="0.15">
      <c r="B1177" s="1"/>
      <c r="C1177" s="1"/>
      <c r="D1177" s="1"/>
      <c r="E1177" s="1"/>
      <c r="F1177" s="1"/>
      <c r="G1177" s="1"/>
      <c r="H1177" s="37"/>
      <c r="I1177" s="170"/>
    </row>
    <row r="1178" spans="2:12" ht="14" x14ac:dyDescent="0.15">
      <c r="B1178" s="101"/>
      <c r="C1178" s="1"/>
      <c r="D1178" s="1"/>
      <c r="E1178" s="1"/>
      <c r="F1178" s="1"/>
      <c r="G1178" s="1"/>
      <c r="H1178" s="1"/>
      <c r="I1178" s="170"/>
    </row>
    <row r="1179" spans="2:12" ht="14" x14ac:dyDescent="0.15">
      <c r="B1179" s="83"/>
      <c r="C1179" s="11"/>
      <c r="D1179" s="1"/>
      <c r="E1179" s="637"/>
      <c r="F1179" s="637"/>
      <c r="G1179" s="637"/>
      <c r="H1179" s="637"/>
      <c r="I1179" s="169"/>
    </row>
    <row r="1180" spans="2:12" ht="14" x14ac:dyDescent="0.15">
      <c r="B1180" s="101"/>
      <c r="C1180" s="11"/>
      <c r="D1180" s="1"/>
      <c r="E1180" s="153"/>
      <c r="F1180" s="153"/>
      <c r="G1180" s="153"/>
      <c r="H1180" s="153"/>
      <c r="I1180" s="169"/>
    </row>
    <row r="1181" spans="2:12" ht="14" x14ac:dyDescent="0.15">
      <c r="B1181" s="83"/>
      <c r="C1181" s="11"/>
      <c r="D1181" s="1"/>
      <c r="E1181" s="153"/>
      <c r="F1181" s="153"/>
      <c r="G1181" s="153"/>
      <c r="H1181" s="153"/>
      <c r="I1181" s="169"/>
    </row>
    <row r="1182" spans="2:12" ht="14" x14ac:dyDescent="0.15">
      <c r="B1182" s="83"/>
      <c r="C1182" s="11"/>
      <c r="D1182" s="1"/>
      <c r="E1182" s="153"/>
      <c r="F1182" s="153"/>
      <c r="G1182" s="153"/>
      <c r="H1182" s="153"/>
      <c r="I1182" s="169"/>
    </row>
    <row r="1183" spans="2:12" ht="14" x14ac:dyDescent="0.15">
      <c r="B1183" s="83"/>
      <c r="C1183" s="11"/>
      <c r="D1183" s="1"/>
      <c r="E1183" s="153"/>
      <c r="F1183" s="153"/>
      <c r="G1183" s="153"/>
      <c r="H1183" s="153"/>
      <c r="I1183" s="169"/>
    </row>
    <row r="1184" spans="2:12" ht="14" x14ac:dyDescent="0.15">
      <c r="B1184" s="83"/>
      <c r="C1184" s="11"/>
      <c r="D1184" s="1"/>
      <c r="E1184" s="153"/>
      <c r="F1184" s="153"/>
      <c r="G1184" s="153"/>
      <c r="H1184" s="153"/>
      <c r="I1184" s="169"/>
    </row>
    <row r="1185" spans="2:10" ht="14" x14ac:dyDescent="0.15">
      <c r="B1185" s="83"/>
      <c r="C1185" s="11"/>
      <c r="D1185" s="1"/>
      <c r="E1185" s="153"/>
      <c r="F1185" s="153"/>
      <c r="G1185" s="153"/>
      <c r="H1185" s="153"/>
      <c r="I1185" s="169"/>
    </row>
    <row r="1186" spans="2:10" ht="14" x14ac:dyDescent="0.15">
      <c r="B1186" s="83"/>
      <c r="C1186" s="11"/>
      <c r="D1186" s="1"/>
      <c r="E1186" s="153"/>
      <c r="F1186" s="153"/>
      <c r="G1186" s="153"/>
      <c r="H1186" s="153"/>
      <c r="I1186" s="169"/>
    </row>
    <row r="1187" spans="2:10" x14ac:dyDescent="0.15">
      <c r="B1187" s="11"/>
      <c r="C1187" s="11"/>
      <c r="D1187" s="1"/>
      <c r="E1187" s="153"/>
      <c r="F1187" s="153"/>
      <c r="G1187" s="153"/>
      <c r="H1187" s="153"/>
      <c r="I1187" s="169"/>
    </row>
    <row r="1188" spans="2:10" x14ac:dyDescent="0.15">
      <c r="B1188" s="11"/>
      <c r="C1188" s="11"/>
      <c r="D1188" s="1"/>
      <c r="E1188" s="153"/>
      <c r="F1188" s="153"/>
      <c r="G1188" s="153"/>
      <c r="H1188" s="153"/>
      <c r="I1188" s="169"/>
    </row>
    <row r="1189" spans="2:10" x14ac:dyDescent="0.15">
      <c r="B1189" s="11"/>
      <c r="C1189" s="11"/>
      <c r="D1189" s="1"/>
      <c r="E1189" s="153"/>
      <c r="F1189" s="153"/>
      <c r="G1189" s="153"/>
      <c r="H1189" s="153"/>
      <c r="I1189" s="169"/>
    </row>
    <row r="1190" spans="2:10" x14ac:dyDescent="0.15">
      <c r="B1190" s="11"/>
      <c r="C1190" s="11"/>
      <c r="D1190" s="1"/>
      <c r="E1190" s="153"/>
      <c r="F1190" s="153"/>
      <c r="G1190" s="153"/>
      <c r="H1190" s="153"/>
      <c r="I1190" s="169"/>
    </row>
    <row r="1191" spans="2:10" x14ac:dyDescent="0.15">
      <c r="B1191" s="11"/>
      <c r="C1191" s="11"/>
      <c r="D1191" s="1"/>
      <c r="E1191" s="153"/>
      <c r="F1191" s="153"/>
      <c r="G1191" s="153"/>
      <c r="H1191" s="153"/>
      <c r="I1191" s="169"/>
    </row>
    <row r="1192" spans="2:10" ht="14" x14ac:dyDescent="0.15">
      <c r="B1192" s="83"/>
      <c r="C1192" s="83"/>
      <c r="D1192" s="84"/>
      <c r="E1192" s="83"/>
      <c r="F1192" s="83"/>
      <c r="G1192" s="103"/>
      <c r="H1192" s="83"/>
      <c r="I1192" s="85"/>
      <c r="J1192" s="85"/>
    </row>
    <row r="1193" spans="2:10" ht="14" x14ac:dyDescent="0.15">
      <c r="B1193" s="83"/>
      <c r="C1193" s="83"/>
      <c r="D1193" s="84"/>
      <c r="E1193" s="83"/>
      <c r="F1193" s="83"/>
      <c r="G1193" s="103"/>
      <c r="H1193" s="83"/>
      <c r="I1193" s="85"/>
      <c r="J1193" s="85"/>
    </row>
    <row r="1194" spans="2:10" ht="14" thickBot="1" x14ac:dyDescent="0.2">
      <c r="B1194" s="11"/>
      <c r="C1194" s="11"/>
      <c r="D1194" s="1"/>
      <c r="E1194" s="153"/>
      <c r="F1194" s="153"/>
      <c r="G1194" s="153"/>
      <c r="H1194" s="153"/>
      <c r="I1194" s="169"/>
    </row>
    <row r="1195" spans="2:10" ht="21" customHeight="1" x14ac:dyDescent="0.15">
      <c r="B1195" s="607" t="s">
        <v>1065</v>
      </c>
      <c r="C1195" s="608"/>
      <c r="D1195" s="608"/>
      <c r="E1195" s="608"/>
      <c r="F1195" s="609"/>
      <c r="G1195" s="1"/>
      <c r="H1195" s="638" t="s">
        <v>20</v>
      </c>
      <c r="I1195" s="639"/>
    </row>
    <row r="1196" spans="2:10" ht="16.5" customHeight="1" x14ac:dyDescent="0.15">
      <c r="B1196" s="604" t="s">
        <v>446</v>
      </c>
      <c r="C1196" s="605"/>
      <c r="D1196" s="605"/>
      <c r="E1196" s="605"/>
      <c r="F1196" s="606"/>
      <c r="G1196" s="63"/>
      <c r="H1196" s="640"/>
      <c r="I1196" s="641"/>
    </row>
    <row r="1197" spans="2:10" ht="12.75" customHeight="1" x14ac:dyDescent="0.15">
      <c r="B1197" s="610" t="s">
        <v>447</v>
      </c>
      <c r="C1197" s="611"/>
      <c r="D1197" s="611"/>
      <c r="E1197" s="611"/>
      <c r="F1197" s="612"/>
      <c r="G1197" s="63"/>
      <c r="H1197" s="642"/>
      <c r="I1197" s="643"/>
    </row>
    <row r="1198" spans="2:10" ht="16.5" customHeight="1" thickBot="1" x14ac:dyDescent="0.2">
      <c r="B1198" s="613"/>
      <c r="C1198" s="614"/>
      <c r="D1198" s="614"/>
      <c r="E1198" s="614"/>
      <c r="F1198" s="615"/>
      <c r="G1198" s="1"/>
      <c r="H1198" s="662" t="s">
        <v>935</v>
      </c>
      <c r="I1198" s="663"/>
    </row>
    <row r="1199" spans="2:10" ht="14" thickBot="1" x14ac:dyDescent="0.2">
      <c r="B1199" s="15"/>
      <c r="C1199" s="16"/>
      <c r="D1199" s="1"/>
      <c r="E1199" s="1"/>
      <c r="F1199" s="1"/>
      <c r="G1199" s="1"/>
      <c r="H1199" s="664"/>
      <c r="I1199" s="665"/>
    </row>
    <row r="1200" spans="2:10" ht="12.75" customHeight="1" x14ac:dyDescent="0.15">
      <c r="B1200" s="650" t="s">
        <v>890</v>
      </c>
      <c r="C1200" s="651"/>
      <c r="D1200" s="651"/>
      <c r="E1200" s="651"/>
      <c r="F1200" s="652"/>
      <c r="G1200" s="1"/>
      <c r="H1200" s="664"/>
      <c r="I1200" s="665"/>
    </row>
    <row r="1201" spans="2:11" ht="12.75" customHeight="1" x14ac:dyDescent="0.15">
      <c r="B1201" s="653"/>
      <c r="C1201" s="654"/>
      <c r="D1201" s="654"/>
      <c r="E1201" s="654"/>
      <c r="F1201" s="655"/>
      <c r="H1201" s="664"/>
      <c r="I1201" s="665"/>
    </row>
    <row r="1202" spans="2:11" ht="13.5" customHeight="1" x14ac:dyDescent="0.15">
      <c r="B1202" s="653"/>
      <c r="C1202" s="654"/>
      <c r="D1202" s="654"/>
      <c r="E1202" s="654"/>
      <c r="F1202" s="655"/>
      <c r="G1202" s="11"/>
      <c r="H1202" s="666"/>
      <c r="I1202" s="667"/>
    </row>
    <row r="1203" spans="2:11" ht="21.75" customHeight="1" thickBot="1" x14ac:dyDescent="0.2">
      <c r="B1203" s="656"/>
      <c r="C1203" s="657"/>
      <c r="D1203" s="657"/>
      <c r="E1203" s="657"/>
      <c r="F1203" s="658"/>
      <c r="H1203" s="64" t="s">
        <v>45</v>
      </c>
      <c r="I1203" s="17" t="s">
        <v>193</v>
      </c>
    </row>
    <row r="1204" spans="2:11" x14ac:dyDescent="0.15">
      <c r="B1204" s="18"/>
      <c r="C1204" s="18"/>
      <c r="D1204" s="1"/>
      <c r="E1204" s="18"/>
      <c r="F1204" s="18"/>
      <c r="G1204" s="18"/>
      <c r="H1204" s="18"/>
      <c r="I1204" s="1"/>
    </row>
    <row r="1205" spans="2:11" ht="14" thickBot="1" x14ac:dyDescent="0.2">
      <c r="B1205" s="12" t="s">
        <v>21</v>
      </c>
      <c r="C1205" s="12"/>
      <c r="D1205" s="1"/>
      <c r="E1205" s="1"/>
      <c r="F1205" s="1"/>
      <c r="G1205" s="1"/>
      <c r="H1205" s="1"/>
      <c r="I1205" s="1"/>
    </row>
    <row r="1206" spans="2:11" x14ac:dyDescent="0.15">
      <c r="B1206" s="628" t="s">
        <v>22</v>
      </c>
      <c r="C1206" s="629"/>
      <c r="D1206" s="630"/>
      <c r="E1206" s="205" t="s">
        <v>23</v>
      </c>
      <c r="F1206" s="19" t="s">
        <v>47</v>
      </c>
      <c r="G1206" s="205" t="s">
        <v>24</v>
      </c>
      <c r="H1206" s="204" t="s">
        <v>25</v>
      </c>
      <c r="I1206" s="43"/>
    </row>
    <row r="1207" spans="2:11" x14ac:dyDescent="0.15">
      <c r="B1207" s="631" t="s">
        <v>56</v>
      </c>
      <c r="C1207" s="632"/>
      <c r="D1207" s="633"/>
      <c r="E1207" s="5"/>
      <c r="F1207" s="160"/>
      <c r="G1207" s="58"/>
      <c r="H1207" s="160">
        <f>I1229*0.05</f>
        <v>1620.0744318181821</v>
      </c>
      <c r="I1207" s="44"/>
    </row>
    <row r="1208" spans="2:11" x14ac:dyDescent="0.15">
      <c r="B1208" s="631" t="s">
        <v>309</v>
      </c>
      <c r="C1208" s="632"/>
      <c r="D1208" s="633"/>
      <c r="E1208" s="5"/>
      <c r="F1208" s="160">
        <f>'HERRAMIENTAS Y EQUIPOS'!C23*4</f>
        <v>24000</v>
      </c>
      <c r="G1208" s="58">
        <v>22</v>
      </c>
      <c r="H1208" s="160">
        <f>F1208/G1208</f>
        <v>1090.909090909091</v>
      </c>
      <c r="I1208" s="44"/>
    </row>
    <row r="1209" spans="2:11" ht="14" thickBot="1" x14ac:dyDescent="0.2">
      <c r="B1209" s="634"/>
      <c r="C1209" s="635"/>
      <c r="D1209" s="636"/>
      <c r="E1209" s="21"/>
      <c r="F1209" s="22"/>
      <c r="G1209" s="23"/>
      <c r="H1209" s="47"/>
      <c r="I1209" s="48"/>
    </row>
    <row r="1210" spans="2:11" ht="14" thickBot="1" x14ac:dyDescent="0.2">
      <c r="B1210" s="1"/>
      <c r="C1210" s="1"/>
      <c r="D1210" s="1"/>
      <c r="E1210" s="1"/>
      <c r="F1210" s="1"/>
      <c r="G1210" s="1"/>
      <c r="H1210" s="37" t="s">
        <v>26</v>
      </c>
      <c r="I1210" s="161">
        <f>SUM(H1207:H1209)</f>
        <v>2710.9835227272733</v>
      </c>
    </row>
    <row r="1211" spans="2:11" ht="14" thickBot="1" x14ac:dyDescent="0.2">
      <c r="B1211" s="12" t="s">
        <v>27</v>
      </c>
      <c r="C1211" s="12"/>
      <c r="D1211" s="1"/>
      <c r="E1211" s="1"/>
      <c r="F1211" s="1"/>
      <c r="G1211" s="1"/>
      <c r="H1211" s="1"/>
      <c r="I1211" s="1"/>
    </row>
    <row r="1212" spans="2:11" x14ac:dyDescent="0.15">
      <c r="B1212" s="628" t="s">
        <v>22</v>
      </c>
      <c r="C1212" s="629"/>
      <c r="D1212" s="630"/>
      <c r="E1212" s="205" t="s">
        <v>28</v>
      </c>
      <c r="F1212" s="205" t="s">
        <v>29</v>
      </c>
      <c r="G1212" s="205" t="s">
        <v>30</v>
      </c>
      <c r="H1212" s="204" t="s">
        <v>25</v>
      </c>
      <c r="I1212" s="43"/>
    </row>
    <row r="1213" spans="2:11" x14ac:dyDescent="0.15">
      <c r="B1213" s="4" t="s">
        <v>66</v>
      </c>
      <c r="C1213" s="24"/>
      <c r="D1213" s="6"/>
      <c r="E1213" s="3" t="s">
        <v>58</v>
      </c>
      <c r="F1213" s="164">
        <f>'APU -BASICOS'!H204</f>
        <v>9182</v>
      </c>
      <c r="G1213" s="73">
        <f>4.8*0.56*1</f>
        <v>2.6880000000000002</v>
      </c>
      <c r="H1213" s="163">
        <f>G1213*F1213</f>
        <v>24681.216</v>
      </c>
      <c r="I1213" s="44"/>
    </row>
    <row r="1214" spans="2:11" x14ac:dyDescent="0.15">
      <c r="B1214" s="4" t="s">
        <v>67</v>
      </c>
      <c r="C1214" s="24"/>
      <c r="D1214" s="6"/>
      <c r="E1214" s="3" t="s">
        <v>58</v>
      </c>
      <c r="F1214" s="164">
        <f>'APU -BASICOS'!H260</f>
        <v>9182</v>
      </c>
      <c r="G1214" s="73">
        <f>1*5*0.56</f>
        <v>2.8000000000000003</v>
      </c>
      <c r="H1214" s="163">
        <f>G1214*F1214</f>
        <v>25709.600000000002</v>
      </c>
      <c r="I1214" s="44"/>
    </row>
    <row r="1215" spans="2:11" x14ac:dyDescent="0.15">
      <c r="B1215" s="4" t="s">
        <v>63</v>
      </c>
      <c r="C1215" s="24"/>
      <c r="D1215" s="6"/>
      <c r="E1215" s="3" t="s">
        <v>6</v>
      </c>
      <c r="F1215" s="162">
        <f>'APU -BASICOS'!H96</f>
        <v>585821</v>
      </c>
      <c r="G1215" s="73">
        <f>0.25*0.25*1</f>
        <v>6.25E-2</v>
      </c>
      <c r="H1215" s="163">
        <f>G1215*F1215</f>
        <v>36613.8125</v>
      </c>
      <c r="I1215" s="44"/>
    </row>
    <row r="1216" spans="2:11" ht="14" thickBot="1" x14ac:dyDescent="0.2">
      <c r="B1216" s="25"/>
      <c r="C1216" s="26"/>
      <c r="D1216" s="27"/>
      <c r="E1216" s="21"/>
      <c r="F1216" s="22"/>
      <c r="G1216" s="165"/>
      <c r="H1216" s="47"/>
      <c r="I1216" s="48"/>
      <c r="K1216" s="223"/>
    </row>
    <row r="1217" spans="2:11" ht="14" thickBot="1" x14ac:dyDescent="0.2">
      <c r="B1217" s="1"/>
      <c r="C1217" s="1"/>
      <c r="D1217" s="1"/>
      <c r="E1217" s="1"/>
      <c r="F1217" s="1"/>
      <c r="G1217" s="1"/>
      <c r="H1217" s="37" t="s">
        <v>26</v>
      </c>
      <c r="I1217" s="161">
        <f>SUM(H1213:H1215)</f>
        <v>87004.628500000006</v>
      </c>
    </row>
    <row r="1218" spans="2:11" ht="14" thickBot="1" x14ac:dyDescent="0.2">
      <c r="B1218" s="28" t="s">
        <v>31</v>
      </c>
      <c r="C1218" s="28"/>
      <c r="D1218" s="26"/>
      <c r="E1218" s="1"/>
      <c r="F1218" s="1"/>
      <c r="G1218" s="1"/>
      <c r="H1218" s="1"/>
      <c r="I1218" s="1"/>
    </row>
    <row r="1219" spans="2:11" x14ac:dyDescent="0.15">
      <c r="B1219" s="51" t="s">
        <v>32</v>
      </c>
      <c r="C1219" s="52"/>
      <c r="D1219" s="96" t="s">
        <v>33</v>
      </c>
      <c r="E1219" s="205" t="s">
        <v>34</v>
      </c>
      <c r="F1219" s="205" t="s">
        <v>35</v>
      </c>
      <c r="G1219" s="205" t="s">
        <v>36</v>
      </c>
      <c r="H1219" s="59" t="s">
        <v>25</v>
      </c>
      <c r="I1219" s="43"/>
    </row>
    <row r="1220" spans="2:11" x14ac:dyDescent="0.15">
      <c r="B1220" s="4"/>
      <c r="C1220" s="24"/>
      <c r="D1220" s="60"/>
      <c r="E1220" s="2"/>
      <c r="F1220" s="2"/>
      <c r="G1220" s="160"/>
      <c r="H1220" s="55"/>
      <c r="I1220" s="44"/>
      <c r="K1220" s="105"/>
    </row>
    <row r="1221" spans="2:11" x14ac:dyDescent="0.15">
      <c r="B1221" s="106"/>
      <c r="C1221" s="66"/>
      <c r="D1221" s="67"/>
      <c r="E1221" s="68"/>
      <c r="F1221" s="68"/>
      <c r="G1221" s="69"/>
      <c r="H1221" s="65"/>
      <c r="I1221" s="44"/>
    </row>
    <row r="1222" spans="2:11" ht="14" thickBot="1" x14ac:dyDescent="0.2">
      <c r="B1222" s="33"/>
      <c r="C1222" s="54"/>
      <c r="D1222" s="21"/>
      <c r="E1222" s="22"/>
      <c r="F1222" s="23"/>
      <c r="G1222" s="47"/>
      <c r="H1222" s="21"/>
      <c r="I1222" s="48"/>
    </row>
    <row r="1223" spans="2:11" ht="14" thickBot="1" x14ac:dyDescent="0.2">
      <c r="B1223" s="1"/>
      <c r="C1223" s="1"/>
      <c r="D1223" s="1"/>
      <c r="E1223" s="1"/>
      <c r="F1223" s="1"/>
      <c r="G1223" s="1"/>
      <c r="H1223" s="37" t="s">
        <v>26</v>
      </c>
      <c r="I1223" s="161">
        <f>SUM(H1220:H1222)</f>
        <v>0</v>
      </c>
    </row>
    <row r="1224" spans="2:11" ht="14" thickBot="1" x14ac:dyDescent="0.2">
      <c r="B1224" s="28" t="s">
        <v>37</v>
      </c>
      <c r="C1224" s="28"/>
      <c r="D1224" s="1"/>
      <c r="E1224" s="1"/>
      <c r="F1224" s="1"/>
      <c r="G1224" s="1"/>
      <c r="H1224" s="1"/>
      <c r="I1224" s="1"/>
    </row>
    <row r="1225" spans="2:11" x14ac:dyDescent="0.15">
      <c r="B1225" s="51" t="s">
        <v>38</v>
      </c>
      <c r="C1225" s="86"/>
      <c r="D1225" s="31" t="s">
        <v>39</v>
      </c>
      <c r="E1225" s="205" t="s">
        <v>40</v>
      </c>
      <c r="F1225" s="19" t="s">
        <v>41</v>
      </c>
      <c r="G1225" s="31" t="s">
        <v>24</v>
      </c>
      <c r="H1225" s="204" t="s">
        <v>25</v>
      </c>
      <c r="I1225" s="43"/>
      <c r="K1225" s="105"/>
    </row>
    <row r="1226" spans="2:11" x14ac:dyDescent="0.15">
      <c r="B1226" s="4" t="s">
        <v>65</v>
      </c>
      <c r="C1226" s="24"/>
      <c r="D1226" s="32">
        <f>'MANO DE OBRA'!E15</f>
        <v>95333</v>
      </c>
      <c r="E1226" s="88">
        <v>1.75</v>
      </c>
      <c r="F1226" s="162">
        <f>+E1226*D1226</f>
        <v>166832.75</v>
      </c>
      <c r="G1226" s="20">
        <f>G1208</f>
        <v>22</v>
      </c>
      <c r="H1226" s="167">
        <f>+F1226/G1226</f>
        <v>7583.306818181818</v>
      </c>
      <c r="I1226" s="44"/>
    </row>
    <row r="1227" spans="2:11" x14ac:dyDescent="0.15">
      <c r="B1227" s="4" t="s">
        <v>94</v>
      </c>
      <c r="C1227" s="24"/>
      <c r="D1227" s="32">
        <f>'MANO DE OBRA'!E14*6</f>
        <v>312000</v>
      </c>
      <c r="E1227" s="88">
        <v>1.75</v>
      </c>
      <c r="F1227" s="162">
        <f>+E1227*D1227</f>
        <v>546000</v>
      </c>
      <c r="G1227" s="20">
        <f>G1208</f>
        <v>22</v>
      </c>
      <c r="H1227" s="167">
        <f>+F1227/G1227</f>
        <v>24818.18181818182</v>
      </c>
      <c r="I1227" s="44"/>
    </row>
    <row r="1228" spans="2:11" ht="14" thickBot="1" x14ac:dyDescent="0.2">
      <c r="B1228" s="33"/>
      <c r="C1228" s="34"/>
      <c r="D1228" s="22"/>
      <c r="E1228" s="21"/>
      <c r="F1228" s="22"/>
      <c r="G1228" s="23"/>
      <c r="H1228" s="47"/>
      <c r="I1228" s="48"/>
      <c r="K1228" s="105"/>
    </row>
    <row r="1229" spans="2:11" ht="14" thickBot="1" x14ac:dyDescent="0.2">
      <c r="B1229" s="1"/>
      <c r="C1229" s="1"/>
      <c r="D1229" s="1"/>
      <c r="E1229" s="1"/>
      <c r="F1229" s="1"/>
      <c r="G1229" s="1"/>
      <c r="H1229" s="37" t="s">
        <v>26</v>
      </c>
      <c r="I1229" s="175">
        <f>SUM(H1226:H1228)</f>
        <v>32401.48863636364</v>
      </c>
    </row>
    <row r="1230" spans="2:11" ht="14" thickBot="1" x14ac:dyDescent="0.2">
      <c r="B1230" s="1"/>
      <c r="C1230" s="1"/>
      <c r="D1230" s="1"/>
      <c r="E1230" s="1"/>
      <c r="F1230" s="1"/>
      <c r="G1230" s="1"/>
      <c r="H1230" s="61"/>
      <c r="I1230" s="1"/>
    </row>
    <row r="1231" spans="2:11" ht="15" thickBot="1" x14ac:dyDescent="0.2">
      <c r="B1231" s="1"/>
      <c r="C1231" s="1"/>
      <c r="D1231" s="1"/>
      <c r="E1231" s="1"/>
      <c r="F1231" s="35" t="s">
        <v>43</v>
      </c>
      <c r="G1231" s="16"/>
      <c r="H1231" s="16"/>
      <c r="I1231" s="222">
        <f>ROUND((I1210+I1217+I1223+I1229),0)</f>
        <v>122117</v>
      </c>
    </row>
    <row r="1232" spans="2:11" x14ac:dyDescent="0.15">
      <c r="B1232" s="12"/>
      <c r="C1232" s="12"/>
      <c r="D1232" s="1"/>
      <c r="E1232" s="1"/>
      <c r="F1232" s="1"/>
      <c r="G1232" s="1"/>
      <c r="H1232" s="170"/>
      <c r="I1232" s="170"/>
    </row>
    <row r="1233" spans="2:9" x14ac:dyDescent="0.15">
      <c r="B1233" s="16"/>
      <c r="C1233" s="16"/>
      <c r="D1233" s="16"/>
      <c r="E1233" s="16"/>
      <c r="F1233" s="16"/>
      <c r="G1233" s="61"/>
      <c r="H1233" s="171"/>
      <c r="I1233" s="170"/>
    </row>
    <row r="1234" spans="2:9" x14ac:dyDescent="0.15">
      <c r="B1234" s="1"/>
      <c r="C1234" s="1"/>
      <c r="D1234" s="1"/>
      <c r="E1234" s="1"/>
      <c r="F1234" s="1"/>
      <c r="G1234" s="159"/>
      <c r="H1234" s="170"/>
      <c r="I1234" s="170"/>
    </row>
    <row r="1235" spans="2:9" x14ac:dyDescent="0.15">
      <c r="B1235" s="1"/>
      <c r="C1235" s="1"/>
      <c r="D1235" s="1"/>
      <c r="E1235" s="1"/>
      <c r="F1235" s="1"/>
      <c r="G1235" s="159"/>
      <c r="H1235" s="170"/>
      <c r="I1235" s="170"/>
    </row>
    <row r="1236" spans="2:9" x14ac:dyDescent="0.15">
      <c r="B1236" s="1"/>
      <c r="C1236" s="1"/>
      <c r="D1236" s="1"/>
      <c r="E1236" s="1"/>
      <c r="F1236" s="1"/>
      <c r="G1236" s="159"/>
      <c r="H1236" s="170"/>
      <c r="I1236" s="170"/>
    </row>
    <row r="1237" spans="2:9" x14ac:dyDescent="0.15">
      <c r="B1237" s="1"/>
      <c r="C1237" s="1"/>
      <c r="D1237" s="1"/>
      <c r="E1237" s="1"/>
      <c r="F1237" s="1"/>
      <c r="G1237" s="1"/>
      <c r="H1237" s="37"/>
      <c r="I1237" s="170"/>
    </row>
    <row r="1238" spans="2:9" ht="14" x14ac:dyDescent="0.15">
      <c r="B1238" s="101"/>
      <c r="C1238" s="1"/>
      <c r="D1238" s="1"/>
      <c r="E1238" s="1"/>
      <c r="F1238" s="1"/>
      <c r="G1238" s="1"/>
      <c r="H1238" s="1"/>
      <c r="I1238" s="170"/>
    </row>
    <row r="1239" spans="2:9" ht="14" x14ac:dyDescent="0.15">
      <c r="B1239" s="83"/>
      <c r="C1239" s="11"/>
      <c r="D1239" s="1"/>
      <c r="E1239" s="637"/>
      <c r="F1239" s="637"/>
      <c r="G1239" s="637"/>
      <c r="H1239" s="637"/>
      <c r="I1239" s="169"/>
    </row>
    <row r="1240" spans="2:9" ht="14" x14ac:dyDescent="0.15">
      <c r="B1240" s="101"/>
      <c r="C1240" s="11"/>
      <c r="D1240" s="1"/>
      <c r="E1240" s="153"/>
      <c r="F1240" s="153"/>
      <c r="G1240" s="153"/>
      <c r="H1240" s="153"/>
      <c r="I1240" s="169"/>
    </row>
    <row r="1241" spans="2:9" ht="14" x14ac:dyDescent="0.15">
      <c r="B1241" s="101"/>
      <c r="C1241" s="11"/>
      <c r="D1241" s="1"/>
      <c r="E1241" s="153"/>
      <c r="F1241" s="153"/>
      <c r="G1241" s="153"/>
      <c r="H1241" s="153"/>
      <c r="I1241" s="169"/>
    </row>
    <row r="1242" spans="2:9" ht="14" x14ac:dyDescent="0.15">
      <c r="B1242" s="101"/>
      <c r="C1242" s="11"/>
      <c r="D1242" s="1"/>
      <c r="E1242" s="153"/>
      <c r="F1242" s="153"/>
      <c r="G1242" s="153"/>
      <c r="H1242" s="153"/>
      <c r="I1242" s="169"/>
    </row>
    <row r="1243" spans="2:9" ht="14" x14ac:dyDescent="0.15">
      <c r="B1243" s="101"/>
      <c r="C1243" s="11"/>
      <c r="D1243" s="1"/>
      <c r="E1243" s="153"/>
      <c r="F1243" s="153"/>
      <c r="G1243" s="153"/>
      <c r="H1243" s="153"/>
      <c r="I1243" s="169"/>
    </row>
    <row r="1244" spans="2:9" ht="14" x14ac:dyDescent="0.15">
      <c r="B1244" s="101"/>
      <c r="C1244" s="11"/>
      <c r="D1244" s="1"/>
      <c r="E1244" s="153"/>
      <c r="F1244" s="153"/>
      <c r="G1244" s="153"/>
      <c r="H1244" s="153"/>
      <c r="I1244" s="169"/>
    </row>
    <row r="1245" spans="2:9" ht="14" x14ac:dyDescent="0.15">
      <c r="B1245" s="101"/>
      <c r="C1245" s="11"/>
      <c r="D1245" s="1"/>
      <c r="E1245" s="153"/>
      <c r="F1245" s="153"/>
      <c r="G1245" s="153"/>
      <c r="H1245" s="153"/>
      <c r="I1245" s="169"/>
    </row>
    <row r="1246" spans="2:9" ht="14" x14ac:dyDescent="0.15">
      <c r="B1246" s="83"/>
      <c r="C1246" s="11"/>
      <c r="D1246" s="1"/>
      <c r="E1246" s="153"/>
      <c r="F1246" s="153"/>
      <c r="G1246" s="153"/>
      <c r="H1246" s="153"/>
      <c r="I1246" s="169"/>
    </row>
    <row r="1247" spans="2:9" x14ac:dyDescent="0.15">
      <c r="B1247" s="11"/>
      <c r="C1247" s="11"/>
      <c r="D1247" s="1"/>
      <c r="E1247" s="153"/>
      <c r="F1247" s="153"/>
      <c r="G1247" s="153"/>
      <c r="H1247" s="153"/>
      <c r="I1247" s="169"/>
    </row>
    <row r="1248" spans="2:9" x14ac:dyDescent="0.15">
      <c r="B1248" s="11"/>
      <c r="C1248" s="11"/>
      <c r="D1248" s="1"/>
      <c r="E1248" s="153"/>
      <c r="F1248" s="153"/>
      <c r="G1248" s="153"/>
      <c r="H1248" s="153"/>
      <c r="I1248" s="169"/>
    </row>
    <row r="1249" spans="2:10" x14ac:dyDescent="0.15">
      <c r="B1249" s="11"/>
      <c r="C1249" s="11"/>
      <c r="D1249" s="1"/>
      <c r="E1249" s="153"/>
      <c r="F1249" s="153"/>
      <c r="G1249" s="153"/>
      <c r="H1249" s="153"/>
      <c r="I1249" s="169"/>
    </row>
    <row r="1250" spans="2:10" x14ac:dyDescent="0.15">
      <c r="B1250" s="11"/>
      <c r="C1250" s="11"/>
      <c r="D1250" s="1"/>
      <c r="E1250" s="153"/>
      <c r="F1250" s="153"/>
      <c r="G1250" s="153"/>
      <c r="H1250" s="153"/>
      <c r="I1250" s="169"/>
    </row>
    <row r="1251" spans="2:10" x14ac:dyDescent="0.15">
      <c r="B1251" s="11"/>
      <c r="C1251" s="11"/>
      <c r="D1251" s="1"/>
      <c r="E1251" s="153"/>
      <c r="F1251" s="153"/>
      <c r="G1251" s="153"/>
      <c r="H1251" s="153"/>
      <c r="I1251" s="169"/>
    </row>
    <row r="1252" spans="2:10" ht="14" x14ac:dyDescent="0.15">
      <c r="B1252" s="83"/>
      <c r="C1252" s="83"/>
      <c r="D1252" s="84"/>
      <c r="E1252" s="83"/>
      <c r="F1252" s="83"/>
      <c r="G1252" s="103"/>
      <c r="H1252" s="83"/>
      <c r="I1252" s="85"/>
      <c r="J1252" s="85"/>
    </row>
    <row r="1253" spans="2:10" ht="14" x14ac:dyDescent="0.15">
      <c r="B1253" s="83"/>
      <c r="C1253" s="83"/>
      <c r="D1253" s="84"/>
      <c r="E1253" s="83"/>
      <c r="F1253" s="83"/>
      <c r="G1253" s="103"/>
      <c r="H1253" s="83"/>
      <c r="I1253" s="85"/>
      <c r="J1253" s="85"/>
    </row>
    <row r="1254" spans="2:10" ht="14" thickBot="1" x14ac:dyDescent="0.2">
      <c r="B1254" s="11"/>
      <c r="C1254" s="11"/>
      <c r="D1254" s="1"/>
      <c r="E1254" s="153"/>
      <c r="F1254" s="153"/>
      <c r="G1254" s="153"/>
      <c r="H1254" s="153"/>
      <c r="I1254" s="169"/>
    </row>
    <row r="1255" spans="2:10" ht="21" customHeight="1" x14ac:dyDescent="0.15">
      <c r="B1255" s="607" t="s">
        <v>1065</v>
      </c>
      <c r="C1255" s="608"/>
      <c r="D1255" s="608"/>
      <c r="E1255" s="608"/>
      <c r="F1255" s="609"/>
      <c r="G1255" s="1"/>
      <c r="H1255" s="638" t="s">
        <v>20</v>
      </c>
      <c r="I1255" s="639"/>
    </row>
    <row r="1256" spans="2:10" ht="16.5" customHeight="1" x14ac:dyDescent="0.15">
      <c r="B1256" s="604" t="s">
        <v>446</v>
      </c>
      <c r="C1256" s="605"/>
      <c r="D1256" s="605"/>
      <c r="E1256" s="605"/>
      <c r="F1256" s="606"/>
      <c r="G1256" s="63"/>
      <c r="H1256" s="640"/>
      <c r="I1256" s="641"/>
    </row>
    <row r="1257" spans="2:10" ht="12.75" customHeight="1" x14ac:dyDescent="0.15">
      <c r="B1257" s="610" t="s">
        <v>447</v>
      </c>
      <c r="C1257" s="611"/>
      <c r="D1257" s="611"/>
      <c r="E1257" s="611"/>
      <c r="F1257" s="612"/>
      <c r="G1257" s="63"/>
      <c r="H1257" s="642"/>
      <c r="I1257" s="643"/>
    </row>
    <row r="1258" spans="2:10" ht="16.5" customHeight="1" thickBot="1" x14ac:dyDescent="0.2">
      <c r="B1258" s="613"/>
      <c r="C1258" s="614"/>
      <c r="D1258" s="614"/>
      <c r="E1258" s="614"/>
      <c r="F1258" s="615"/>
      <c r="G1258" s="1"/>
      <c r="H1258" s="662" t="s">
        <v>936</v>
      </c>
      <c r="I1258" s="663"/>
    </row>
    <row r="1259" spans="2:10" ht="14" thickBot="1" x14ac:dyDescent="0.2">
      <c r="B1259" s="15"/>
      <c r="C1259" s="16"/>
      <c r="D1259" s="1"/>
      <c r="E1259" s="1"/>
      <c r="F1259" s="1"/>
      <c r="G1259" s="1"/>
      <c r="H1259" s="664"/>
      <c r="I1259" s="665"/>
    </row>
    <row r="1260" spans="2:10" ht="12.75" customHeight="1" x14ac:dyDescent="0.15">
      <c r="B1260" s="650" t="s">
        <v>890</v>
      </c>
      <c r="C1260" s="651"/>
      <c r="D1260" s="651"/>
      <c r="E1260" s="651"/>
      <c r="F1260" s="652"/>
      <c r="G1260" s="1"/>
      <c r="H1260" s="664"/>
      <c r="I1260" s="665"/>
    </row>
    <row r="1261" spans="2:10" ht="12.75" customHeight="1" x14ac:dyDescent="0.15">
      <c r="B1261" s="653"/>
      <c r="C1261" s="654"/>
      <c r="D1261" s="654"/>
      <c r="E1261" s="654"/>
      <c r="F1261" s="655"/>
      <c r="H1261" s="664"/>
      <c r="I1261" s="665"/>
    </row>
    <row r="1262" spans="2:10" ht="13.5" customHeight="1" x14ac:dyDescent="0.15">
      <c r="B1262" s="653"/>
      <c r="C1262" s="654"/>
      <c r="D1262" s="654"/>
      <c r="E1262" s="654"/>
      <c r="F1262" s="655"/>
      <c r="G1262" s="11"/>
      <c r="H1262" s="666"/>
      <c r="I1262" s="667"/>
    </row>
    <row r="1263" spans="2:10" ht="21.75" customHeight="1" thickBot="1" x14ac:dyDescent="0.2">
      <c r="B1263" s="656"/>
      <c r="C1263" s="657"/>
      <c r="D1263" s="657"/>
      <c r="E1263" s="657"/>
      <c r="F1263" s="658"/>
      <c r="H1263" s="64" t="s">
        <v>45</v>
      </c>
      <c r="I1263" s="17" t="s">
        <v>193</v>
      </c>
    </row>
    <row r="1264" spans="2:10" x14ac:dyDescent="0.15">
      <c r="B1264" s="18"/>
      <c r="C1264" s="18"/>
      <c r="D1264" s="1"/>
      <c r="E1264" s="18"/>
      <c r="F1264" s="18"/>
      <c r="G1264" s="18"/>
      <c r="H1264" s="18"/>
      <c r="I1264" s="1"/>
    </row>
    <row r="1265" spans="2:11" ht="14" thickBot="1" x14ac:dyDescent="0.2">
      <c r="B1265" s="12" t="s">
        <v>21</v>
      </c>
      <c r="C1265" s="12"/>
      <c r="D1265" s="1"/>
      <c r="E1265" s="1"/>
      <c r="F1265" s="1"/>
      <c r="G1265" s="1"/>
      <c r="H1265" s="1"/>
      <c r="I1265" s="1"/>
    </row>
    <row r="1266" spans="2:11" x14ac:dyDescent="0.15">
      <c r="B1266" s="628" t="s">
        <v>22</v>
      </c>
      <c r="C1266" s="629"/>
      <c r="D1266" s="630"/>
      <c r="E1266" s="205" t="s">
        <v>23</v>
      </c>
      <c r="F1266" s="19" t="s">
        <v>47</v>
      </c>
      <c r="G1266" s="205" t="s">
        <v>24</v>
      </c>
      <c r="H1266" s="204" t="s">
        <v>25</v>
      </c>
      <c r="I1266" s="43"/>
    </row>
    <row r="1267" spans="2:11" x14ac:dyDescent="0.15">
      <c r="B1267" s="631" t="s">
        <v>56</v>
      </c>
      <c r="C1267" s="632"/>
      <c r="D1267" s="633"/>
      <c r="E1267" s="5"/>
      <c r="F1267" s="160"/>
      <c r="G1267" s="58"/>
      <c r="H1267" s="160">
        <f>I1289*0.05</f>
        <v>1620.0744318181821</v>
      </c>
      <c r="I1267" s="44"/>
    </row>
    <row r="1268" spans="2:11" x14ac:dyDescent="0.15">
      <c r="B1268" s="631" t="s">
        <v>309</v>
      </c>
      <c r="C1268" s="632"/>
      <c r="D1268" s="633"/>
      <c r="E1268" s="5"/>
      <c r="F1268" s="160">
        <f>'HERRAMIENTAS Y EQUIPOS'!C23*2</f>
        <v>12000</v>
      </c>
      <c r="G1268" s="58">
        <v>22</v>
      </c>
      <c r="H1268" s="160">
        <f>F1268/G1268</f>
        <v>545.4545454545455</v>
      </c>
      <c r="I1268" s="44"/>
    </row>
    <row r="1269" spans="2:11" ht="14" thickBot="1" x14ac:dyDescent="0.2">
      <c r="B1269" s="634"/>
      <c r="C1269" s="635"/>
      <c r="D1269" s="636"/>
      <c r="E1269" s="21"/>
      <c r="F1269" s="22"/>
      <c r="G1269" s="23"/>
      <c r="H1269" s="47"/>
      <c r="I1269" s="48"/>
    </row>
    <row r="1270" spans="2:11" ht="14" thickBot="1" x14ac:dyDescent="0.2">
      <c r="B1270" s="1"/>
      <c r="C1270" s="1"/>
      <c r="D1270" s="1"/>
      <c r="E1270" s="1"/>
      <c r="F1270" s="1"/>
      <c r="G1270" s="1"/>
      <c r="H1270" s="37" t="s">
        <v>26</v>
      </c>
      <c r="I1270" s="161">
        <f>SUM(H1267:H1269)</f>
        <v>2165.5289772727274</v>
      </c>
    </row>
    <row r="1271" spans="2:11" ht="14" thickBot="1" x14ac:dyDescent="0.2">
      <c r="B1271" s="12" t="s">
        <v>27</v>
      </c>
      <c r="C1271" s="12"/>
      <c r="D1271" s="1"/>
      <c r="E1271" s="1"/>
      <c r="F1271" s="1"/>
      <c r="G1271" s="1"/>
      <c r="H1271" s="1"/>
      <c r="I1271" s="1"/>
    </row>
    <row r="1272" spans="2:11" x14ac:dyDescent="0.15">
      <c r="B1272" s="628" t="s">
        <v>22</v>
      </c>
      <c r="C1272" s="629"/>
      <c r="D1272" s="630"/>
      <c r="E1272" s="205" t="s">
        <v>28</v>
      </c>
      <c r="F1272" s="205" t="s">
        <v>29</v>
      </c>
      <c r="G1272" s="205" t="s">
        <v>30</v>
      </c>
      <c r="H1272" s="204" t="s">
        <v>25</v>
      </c>
      <c r="I1272" s="43"/>
    </row>
    <row r="1273" spans="2:11" x14ac:dyDescent="0.15">
      <c r="B1273" s="4" t="s">
        <v>66</v>
      </c>
      <c r="C1273" s="24"/>
      <c r="D1273" s="6"/>
      <c r="E1273" s="3" t="s">
        <v>58</v>
      </c>
      <c r="F1273" s="164">
        <f>'APU -BASICOS'!H204</f>
        <v>9182</v>
      </c>
      <c r="G1273" s="73">
        <f>4.8*0.56</f>
        <v>2.6880000000000002</v>
      </c>
      <c r="H1273" s="163">
        <f>G1273*F1273</f>
        <v>24681.216</v>
      </c>
      <c r="I1273" s="44"/>
    </row>
    <row r="1274" spans="2:11" x14ac:dyDescent="0.15">
      <c r="B1274" s="4" t="s">
        <v>67</v>
      </c>
      <c r="C1274" s="24"/>
      <c r="D1274" s="6"/>
      <c r="E1274" s="3" t="s">
        <v>58</v>
      </c>
      <c r="F1274" s="164">
        <f>'APU -BASICOS'!H260</f>
        <v>9182</v>
      </c>
      <c r="G1274" s="73">
        <f>0.7*5*0.56</f>
        <v>1.9600000000000002</v>
      </c>
      <c r="H1274" s="163">
        <f>G1274*F1274</f>
        <v>17996.72</v>
      </c>
      <c r="I1274" s="44"/>
    </row>
    <row r="1275" spans="2:11" x14ac:dyDescent="0.15">
      <c r="B1275" s="4" t="s">
        <v>63</v>
      </c>
      <c r="C1275" s="24"/>
      <c r="D1275" s="6"/>
      <c r="E1275" s="3" t="s">
        <v>6</v>
      </c>
      <c r="F1275" s="162">
        <f>'APU -BASICOS'!H96</f>
        <v>585821</v>
      </c>
      <c r="G1275" s="73">
        <f>0.2*0.25*1</f>
        <v>0.05</v>
      </c>
      <c r="H1275" s="163">
        <f>G1275*F1275</f>
        <v>29291.050000000003</v>
      </c>
      <c r="I1275" s="44"/>
    </row>
    <row r="1276" spans="2:11" ht="14" thickBot="1" x14ac:dyDescent="0.2">
      <c r="B1276" s="25"/>
      <c r="C1276" s="26"/>
      <c r="D1276" s="27"/>
      <c r="E1276" s="21"/>
      <c r="F1276" s="22"/>
      <c r="G1276" s="165"/>
      <c r="H1276" s="47"/>
      <c r="I1276" s="48"/>
      <c r="K1276" s="223"/>
    </row>
    <row r="1277" spans="2:11" ht="14" thickBot="1" x14ac:dyDescent="0.2">
      <c r="B1277" s="1"/>
      <c r="C1277" s="1"/>
      <c r="D1277" s="1"/>
      <c r="E1277" s="1"/>
      <c r="F1277" s="1"/>
      <c r="G1277" s="1"/>
      <c r="H1277" s="37" t="s">
        <v>26</v>
      </c>
      <c r="I1277" s="161">
        <f>SUM(H1273:H1275)</f>
        <v>71968.986000000004</v>
      </c>
    </row>
    <row r="1278" spans="2:11" ht="14" thickBot="1" x14ac:dyDescent="0.2">
      <c r="B1278" s="28" t="s">
        <v>31</v>
      </c>
      <c r="C1278" s="28"/>
      <c r="D1278" s="26"/>
      <c r="E1278" s="1"/>
      <c r="F1278" s="1"/>
      <c r="G1278" s="1"/>
      <c r="H1278" s="1"/>
      <c r="I1278" s="1"/>
    </row>
    <row r="1279" spans="2:11" x14ac:dyDescent="0.15">
      <c r="B1279" s="51" t="s">
        <v>32</v>
      </c>
      <c r="C1279" s="52"/>
      <c r="D1279" s="96" t="s">
        <v>33</v>
      </c>
      <c r="E1279" s="205" t="s">
        <v>34</v>
      </c>
      <c r="F1279" s="205" t="s">
        <v>35</v>
      </c>
      <c r="G1279" s="205" t="s">
        <v>36</v>
      </c>
      <c r="H1279" s="59" t="s">
        <v>25</v>
      </c>
      <c r="I1279" s="43"/>
    </row>
    <row r="1280" spans="2:11" x14ac:dyDescent="0.15">
      <c r="B1280" s="4"/>
      <c r="C1280" s="24"/>
      <c r="D1280" s="60"/>
      <c r="E1280" s="2"/>
      <c r="F1280" s="2"/>
      <c r="G1280" s="160"/>
      <c r="H1280" s="55"/>
      <c r="I1280" s="44"/>
      <c r="K1280" s="105"/>
    </row>
    <row r="1281" spans="2:11" x14ac:dyDescent="0.15">
      <c r="B1281" s="106"/>
      <c r="C1281" s="66"/>
      <c r="D1281" s="67"/>
      <c r="E1281" s="68"/>
      <c r="F1281" s="68"/>
      <c r="G1281" s="69"/>
      <c r="H1281" s="65"/>
      <c r="I1281" s="44"/>
    </row>
    <row r="1282" spans="2:11" ht="14" thickBot="1" x14ac:dyDescent="0.2">
      <c r="B1282" s="33"/>
      <c r="C1282" s="54"/>
      <c r="D1282" s="21"/>
      <c r="E1282" s="22"/>
      <c r="F1282" s="23"/>
      <c r="G1282" s="47"/>
      <c r="H1282" s="21"/>
      <c r="I1282" s="48"/>
    </row>
    <row r="1283" spans="2:11" ht="14" thickBot="1" x14ac:dyDescent="0.2">
      <c r="B1283" s="1"/>
      <c r="C1283" s="1"/>
      <c r="D1283" s="1"/>
      <c r="E1283" s="1"/>
      <c r="F1283" s="1"/>
      <c r="G1283" s="1"/>
      <c r="H1283" s="37" t="s">
        <v>26</v>
      </c>
      <c r="I1283" s="161">
        <f>SUM(H1280:H1282)</f>
        <v>0</v>
      </c>
    </row>
    <row r="1284" spans="2:11" ht="14" thickBot="1" x14ac:dyDescent="0.2">
      <c r="B1284" s="28" t="s">
        <v>37</v>
      </c>
      <c r="C1284" s="28"/>
      <c r="D1284" s="1"/>
      <c r="E1284" s="1"/>
      <c r="F1284" s="1"/>
      <c r="G1284" s="1"/>
      <c r="H1284" s="1"/>
      <c r="I1284" s="1"/>
    </row>
    <row r="1285" spans="2:11" x14ac:dyDescent="0.15">
      <c r="B1285" s="51" t="s">
        <v>38</v>
      </c>
      <c r="C1285" s="86"/>
      <c r="D1285" s="31" t="s">
        <v>39</v>
      </c>
      <c r="E1285" s="205" t="s">
        <v>40</v>
      </c>
      <c r="F1285" s="19" t="s">
        <v>41</v>
      </c>
      <c r="G1285" s="31" t="s">
        <v>24</v>
      </c>
      <c r="H1285" s="204" t="s">
        <v>25</v>
      </c>
      <c r="I1285" s="43"/>
      <c r="K1285" s="105"/>
    </row>
    <row r="1286" spans="2:11" x14ac:dyDescent="0.15">
      <c r="B1286" s="4" t="s">
        <v>65</v>
      </c>
      <c r="C1286" s="24"/>
      <c r="D1286" s="32">
        <f>'MANO DE OBRA'!E15</f>
        <v>95333</v>
      </c>
      <c r="E1286" s="88">
        <v>1.75</v>
      </c>
      <c r="F1286" s="162">
        <f>+E1286*D1286</f>
        <v>166832.75</v>
      </c>
      <c r="G1286" s="20">
        <v>22</v>
      </c>
      <c r="H1286" s="167">
        <f>+F1286/G1286</f>
        <v>7583.306818181818</v>
      </c>
      <c r="I1286" s="44"/>
    </row>
    <row r="1287" spans="2:11" x14ac:dyDescent="0.15">
      <c r="B1287" s="4" t="s">
        <v>94</v>
      </c>
      <c r="C1287" s="24"/>
      <c r="D1287" s="32">
        <f>'MANO DE OBRA'!E14*6</f>
        <v>312000</v>
      </c>
      <c r="E1287" s="88">
        <v>1.75</v>
      </c>
      <c r="F1287" s="162">
        <f>+E1287*D1287</f>
        <v>546000</v>
      </c>
      <c r="G1287" s="20">
        <v>22</v>
      </c>
      <c r="H1287" s="167">
        <f>+F1287/G1287</f>
        <v>24818.18181818182</v>
      </c>
      <c r="I1287" s="44"/>
    </row>
    <row r="1288" spans="2:11" ht="14" thickBot="1" x14ac:dyDescent="0.2">
      <c r="B1288" s="33"/>
      <c r="C1288" s="34"/>
      <c r="D1288" s="22"/>
      <c r="E1288" s="21"/>
      <c r="F1288" s="22"/>
      <c r="G1288" s="23"/>
      <c r="H1288" s="47"/>
      <c r="I1288" s="48"/>
      <c r="K1288" s="105"/>
    </row>
    <row r="1289" spans="2:11" ht="14" thickBot="1" x14ac:dyDescent="0.2">
      <c r="B1289" s="1"/>
      <c r="C1289" s="1"/>
      <c r="D1289" s="1"/>
      <c r="E1289" s="1"/>
      <c r="F1289" s="1"/>
      <c r="G1289" s="1"/>
      <c r="H1289" s="37" t="s">
        <v>26</v>
      </c>
      <c r="I1289" s="175">
        <f>SUM(H1286:H1288)</f>
        <v>32401.48863636364</v>
      </c>
    </row>
    <row r="1290" spans="2:11" ht="14" thickBot="1" x14ac:dyDescent="0.2">
      <c r="B1290" s="1"/>
      <c r="C1290" s="1"/>
      <c r="D1290" s="1"/>
      <c r="E1290" s="1"/>
      <c r="F1290" s="1"/>
      <c r="G1290" s="1"/>
      <c r="H1290" s="61"/>
      <c r="I1290" s="1"/>
    </row>
    <row r="1291" spans="2:11" ht="15" thickBot="1" x14ac:dyDescent="0.2">
      <c r="B1291" s="1"/>
      <c r="C1291" s="1"/>
      <c r="D1291" s="1"/>
      <c r="E1291" s="1"/>
      <c r="F1291" s="35" t="s">
        <v>43</v>
      </c>
      <c r="G1291" s="16"/>
      <c r="H1291" s="16"/>
      <c r="I1291" s="222">
        <f>ROUND((I1270+I1277+I1283+I1289),0)</f>
        <v>106536</v>
      </c>
    </row>
    <row r="1292" spans="2:11" x14ac:dyDescent="0.15">
      <c r="B1292" s="12"/>
      <c r="C1292" s="12"/>
      <c r="D1292" s="1"/>
      <c r="E1292" s="1"/>
      <c r="F1292" s="1"/>
      <c r="G1292" s="1"/>
      <c r="H1292" s="170"/>
      <c r="I1292" s="170"/>
    </row>
    <row r="1293" spans="2:11" x14ac:dyDescent="0.15">
      <c r="B1293" s="16"/>
      <c r="C1293" s="16"/>
      <c r="D1293" s="16"/>
      <c r="E1293" s="16"/>
      <c r="F1293" s="16"/>
      <c r="G1293" s="61"/>
      <c r="H1293" s="171"/>
      <c r="I1293" s="170"/>
    </row>
    <row r="1294" spans="2:11" x14ac:dyDescent="0.15">
      <c r="B1294" s="1"/>
      <c r="C1294" s="1"/>
      <c r="D1294" s="1"/>
      <c r="E1294" s="1"/>
      <c r="F1294" s="1"/>
      <c r="G1294" s="159"/>
      <c r="H1294" s="170"/>
      <c r="I1294" s="170"/>
    </row>
    <row r="1295" spans="2:11" x14ac:dyDescent="0.15">
      <c r="B1295" s="1"/>
      <c r="C1295" s="1"/>
      <c r="D1295" s="1"/>
      <c r="E1295" s="1"/>
      <c r="F1295" s="1"/>
      <c r="G1295" s="159"/>
      <c r="H1295" s="170"/>
      <c r="I1295" s="170"/>
    </row>
    <row r="1296" spans="2:11" x14ac:dyDescent="0.15">
      <c r="B1296" s="1"/>
      <c r="C1296" s="1"/>
      <c r="D1296" s="1"/>
      <c r="E1296" s="1"/>
      <c r="F1296" s="1"/>
      <c r="G1296" s="159"/>
      <c r="H1296" s="170"/>
      <c r="I1296" s="170"/>
    </row>
    <row r="1297" spans="2:10" x14ac:dyDescent="0.15">
      <c r="B1297" s="1"/>
      <c r="C1297" s="1"/>
      <c r="D1297" s="1"/>
      <c r="E1297" s="1"/>
      <c r="F1297" s="1"/>
      <c r="G1297" s="1"/>
      <c r="H1297" s="37"/>
      <c r="I1297" s="170"/>
    </row>
    <row r="1298" spans="2:10" ht="14" x14ac:dyDescent="0.15">
      <c r="B1298" s="101"/>
      <c r="C1298" s="1"/>
      <c r="D1298" s="1"/>
      <c r="E1298" s="1"/>
      <c r="F1298" s="1"/>
      <c r="G1298" s="1"/>
      <c r="H1298" s="1"/>
      <c r="I1298" s="170"/>
    </row>
    <row r="1299" spans="2:10" ht="14" x14ac:dyDescent="0.15">
      <c r="B1299" s="83"/>
      <c r="C1299" s="11"/>
      <c r="D1299" s="1"/>
      <c r="E1299" s="637"/>
      <c r="F1299" s="637"/>
      <c r="G1299" s="637"/>
      <c r="H1299" s="637"/>
      <c r="I1299" s="169"/>
    </row>
    <row r="1300" spans="2:10" ht="14" x14ac:dyDescent="0.15">
      <c r="B1300" s="101"/>
      <c r="C1300" s="11"/>
      <c r="D1300" s="1"/>
      <c r="E1300" s="153"/>
      <c r="F1300" s="153"/>
      <c r="G1300" s="153"/>
      <c r="H1300" s="153"/>
      <c r="I1300" s="169"/>
    </row>
    <row r="1301" spans="2:10" ht="14" x14ac:dyDescent="0.15">
      <c r="B1301" s="101"/>
      <c r="C1301" s="11"/>
      <c r="D1301" s="1"/>
      <c r="E1301" s="153"/>
      <c r="F1301" s="153"/>
      <c r="G1301" s="153"/>
      <c r="H1301" s="153"/>
      <c r="I1301" s="169"/>
    </row>
    <row r="1302" spans="2:10" ht="14" x14ac:dyDescent="0.15">
      <c r="B1302" s="101"/>
      <c r="C1302" s="11"/>
      <c r="D1302" s="1"/>
      <c r="E1302" s="153"/>
      <c r="F1302" s="153"/>
      <c r="G1302" s="153"/>
      <c r="H1302" s="153"/>
      <c r="I1302" s="169"/>
    </row>
    <row r="1303" spans="2:10" ht="14" x14ac:dyDescent="0.15">
      <c r="B1303" s="101"/>
      <c r="C1303" s="11"/>
      <c r="D1303" s="1"/>
      <c r="E1303" s="153"/>
      <c r="F1303" s="153"/>
      <c r="G1303" s="153"/>
      <c r="H1303" s="153"/>
      <c r="I1303" s="169"/>
    </row>
    <row r="1304" spans="2:10" ht="14" x14ac:dyDescent="0.15">
      <c r="B1304" s="101"/>
      <c r="C1304" s="11"/>
      <c r="D1304" s="1"/>
      <c r="E1304" s="153"/>
      <c r="F1304" s="153"/>
      <c r="G1304" s="153"/>
      <c r="H1304" s="153"/>
      <c r="I1304" s="169"/>
    </row>
    <row r="1305" spans="2:10" ht="14" x14ac:dyDescent="0.15">
      <c r="B1305" s="83"/>
      <c r="C1305" s="11"/>
      <c r="D1305" s="1"/>
      <c r="E1305" s="153"/>
      <c r="F1305" s="153"/>
      <c r="G1305" s="153"/>
      <c r="H1305" s="153"/>
      <c r="I1305" s="169"/>
    </row>
    <row r="1306" spans="2:10" x14ac:dyDescent="0.15">
      <c r="B1306" s="11"/>
      <c r="C1306" s="11"/>
      <c r="D1306" s="1"/>
      <c r="E1306" s="153"/>
      <c r="F1306" s="153"/>
      <c r="G1306" s="153"/>
      <c r="H1306" s="153"/>
      <c r="I1306" s="169"/>
    </row>
    <row r="1307" spans="2:10" x14ac:dyDescent="0.15">
      <c r="B1307" s="11"/>
      <c r="C1307" s="11"/>
      <c r="D1307" s="1"/>
      <c r="E1307" s="153"/>
      <c r="F1307" s="153"/>
      <c r="G1307" s="153"/>
      <c r="H1307" s="153"/>
      <c r="I1307" s="169"/>
    </row>
    <row r="1308" spans="2:10" x14ac:dyDescent="0.15">
      <c r="B1308" s="11"/>
      <c r="C1308" s="11"/>
      <c r="D1308" s="1"/>
      <c r="E1308" s="153"/>
      <c r="F1308" s="153"/>
      <c r="G1308" s="153"/>
      <c r="H1308" s="153"/>
      <c r="I1308" s="169"/>
    </row>
    <row r="1309" spans="2:10" x14ac:dyDescent="0.15">
      <c r="B1309" s="11"/>
      <c r="C1309" s="11"/>
      <c r="D1309" s="1"/>
      <c r="E1309" s="153"/>
      <c r="F1309" s="153"/>
      <c r="G1309" s="153"/>
      <c r="H1309" s="153"/>
      <c r="I1309" s="169"/>
    </row>
    <row r="1310" spans="2:10" x14ac:dyDescent="0.15">
      <c r="B1310" s="11"/>
      <c r="C1310" s="11"/>
      <c r="D1310" s="1"/>
      <c r="E1310" s="153"/>
      <c r="F1310" s="153"/>
      <c r="G1310" s="153"/>
      <c r="H1310" s="153"/>
      <c r="I1310" s="169"/>
    </row>
    <row r="1311" spans="2:10" x14ac:dyDescent="0.15">
      <c r="B1311" s="11"/>
      <c r="C1311" s="11"/>
      <c r="D1311" s="1"/>
      <c r="E1311" s="153"/>
      <c r="F1311" s="153"/>
      <c r="G1311" s="153"/>
      <c r="H1311" s="153"/>
      <c r="I1311" s="169"/>
    </row>
    <row r="1312" spans="2:10" ht="14" x14ac:dyDescent="0.15">
      <c r="B1312" s="83"/>
      <c r="C1312" s="83"/>
      <c r="D1312" s="84"/>
      <c r="E1312" s="83"/>
      <c r="F1312" s="83"/>
      <c r="G1312" s="103"/>
      <c r="H1312" s="83"/>
      <c r="I1312" s="85"/>
      <c r="J1312" s="85"/>
    </row>
    <row r="1313" spans="2:10" ht="14" x14ac:dyDescent="0.15">
      <c r="B1313" s="83"/>
      <c r="C1313" s="83"/>
      <c r="D1313" s="84"/>
      <c r="E1313" s="83"/>
      <c r="F1313" s="83"/>
      <c r="G1313" s="103"/>
      <c r="H1313" s="83"/>
      <c r="I1313" s="85"/>
      <c r="J1313" s="85"/>
    </row>
    <row r="1314" spans="2:10" ht="14" thickBot="1" x14ac:dyDescent="0.2">
      <c r="B1314" s="11"/>
      <c r="C1314" s="11"/>
      <c r="D1314" s="1"/>
      <c r="E1314" s="153"/>
      <c r="F1314" s="153"/>
      <c r="G1314" s="153"/>
      <c r="H1314" s="153"/>
      <c r="I1314" s="169"/>
    </row>
    <row r="1315" spans="2:10" ht="21" customHeight="1" x14ac:dyDescent="0.15">
      <c r="B1315" s="607" t="s">
        <v>1065</v>
      </c>
      <c r="C1315" s="608"/>
      <c r="D1315" s="608"/>
      <c r="E1315" s="608"/>
      <c r="F1315" s="609"/>
      <c r="G1315" s="1"/>
      <c r="H1315" s="638" t="s">
        <v>20</v>
      </c>
      <c r="I1315" s="639"/>
    </row>
    <row r="1316" spans="2:10" ht="16.5" customHeight="1" x14ac:dyDescent="0.15">
      <c r="B1316" s="604" t="s">
        <v>446</v>
      </c>
      <c r="C1316" s="605"/>
      <c r="D1316" s="605"/>
      <c r="E1316" s="605"/>
      <c r="F1316" s="606"/>
      <c r="G1316" s="63"/>
      <c r="H1316" s="640"/>
      <c r="I1316" s="641"/>
    </row>
    <row r="1317" spans="2:10" ht="12.75" customHeight="1" x14ac:dyDescent="0.15">
      <c r="B1317" s="610" t="s">
        <v>447</v>
      </c>
      <c r="C1317" s="611"/>
      <c r="D1317" s="611"/>
      <c r="E1317" s="611"/>
      <c r="F1317" s="612"/>
      <c r="G1317" s="63"/>
      <c r="H1317" s="642"/>
      <c r="I1317" s="643"/>
    </row>
    <row r="1318" spans="2:10" ht="16.5" customHeight="1" thickBot="1" x14ac:dyDescent="0.2">
      <c r="B1318" s="613"/>
      <c r="C1318" s="614"/>
      <c r="D1318" s="614"/>
      <c r="E1318" s="614"/>
      <c r="F1318" s="615"/>
      <c r="G1318" s="1"/>
      <c r="H1318" s="662" t="s">
        <v>945</v>
      </c>
      <c r="I1318" s="663"/>
    </row>
    <row r="1319" spans="2:10" ht="14" thickBot="1" x14ac:dyDescent="0.2">
      <c r="B1319" s="15"/>
      <c r="C1319" s="16"/>
      <c r="D1319" s="1"/>
      <c r="E1319" s="1"/>
      <c r="F1319" s="1"/>
      <c r="G1319" s="1"/>
      <c r="H1319" s="664"/>
      <c r="I1319" s="665"/>
    </row>
    <row r="1320" spans="2:10" ht="12.75" customHeight="1" x14ac:dyDescent="0.15">
      <c r="B1320" s="650" t="s">
        <v>890</v>
      </c>
      <c r="C1320" s="651"/>
      <c r="D1320" s="651"/>
      <c r="E1320" s="651"/>
      <c r="F1320" s="652"/>
      <c r="G1320" s="1"/>
      <c r="H1320" s="664"/>
      <c r="I1320" s="665"/>
    </row>
    <row r="1321" spans="2:10" ht="12.75" customHeight="1" x14ac:dyDescent="0.15">
      <c r="B1321" s="653"/>
      <c r="C1321" s="654"/>
      <c r="D1321" s="654"/>
      <c r="E1321" s="654"/>
      <c r="F1321" s="655"/>
      <c r="H1321" s="664"/>
      <c r="I1321" s="665"/>
    </row>
    <row r="1322" spans="2:10" ht="13.5" customHeight="1" x14ac:dyDescent="0.15">
      <c r="B1322" s="653"/>
      <c r="C1322" s="654"/>
      <c r="D1322" s="654"/>
      <c r="E1322" s="654"/>
      <c r="F1322" s="655"/>
      <c r="G1322" s="11"/>
      <c r="H1322" s="666"/>
      <c r="I1322" s="667"/>
    </row>
    <row r="1323" spans="2:10" ht="21.75" customHeight="1" thickBot="1" x14ac:dyDescent="0.2">
      <c r="B1323" s="656"/>
      <c r="C1323" s="657"/>
      <c r="D1323" s="657"/>
      <c r="E1323" s="657"/>
      <c r="F1323" s="658"/>
      <c r="H1323" s="64" t="s">
        <v>45</v>
      </c>
      <c r="I1323" s="17" t="s">
        <v>193</v>
      </c>
    </row>
    <row r="1324" spans="2:10" x14ac:dyDescent="0.15">
      <c r="B1324" s="18"/>
      <c r="C1324" s="18"/>
      <c r="D1324" s="1"/>
      <c r="E1324" s="18"/>
      <c r="F1324" s="18"/>
      <c r="G1324" s="18"/>
      <c r="H1324" s="18"/>
      <c r="I1324" s="1"/>
    </row>
    <row r="1325" spans="2:10" ht="14" thickBot="1" x14ac:dyDescent="0.2">
      <c r="B1325" s="12" t="s">
        <v>21</v>
      </c>
      <c r="C1325" s="12"/>
      <c r="D1325" s="1"/>
      <c r="E1325" s="1"/>
      <c r="F1325" s="1"/>
      <c r="G1325" s="1"/>
      <c r="H1325" s="1"/>
      <c r="I1325" s="1"/>
    </row>
    <row r="1326" spans="2:10" x14ac:dyDescent="0.15">
      <c r="B1326" s="628" t="s">
        <v>22</v>
      </c>
      <c r="C1326" s="629"/>
      <c r="D1326" s="630"/>
      <c r="E1326" s="205" t="s">
        <v>23</v>
      </c>
      <c r="F1326" s="19" t="s">
        <v>47</v>
      </c>
      <c r="G1326" s="205" t="s">
        <v>24</v>
      </c>
      <c r="H1326" s="204" t="s">
        <v>25</v>
      </c>
      <c r="I1326" s="43"/>
    </row>
    <row r="1327" spans="2:10" x14ac:dyDescent="0.15">
      <c r="B1327" s="631" t="s">
        <v>56</v>
      </c>
      <c r="C1327" s="632"/>
      <c r="D1327" s="633"/>
      <c r="E1327" s="5"/>
      <c r="F1327" s="160"/>
      <c r="G1327" s="58"/>
      <c r="H1327" s="160">
        <f>I1349*0.05</f>
        <v>1320.0606481481482</v>
      </c>
      <c r="I1327" s="44"/>
    </row>
    <row r="1328" spans="2:10" x14ac:dyDescent="0.15">
      <c r="B1328" s="631" t="s">
        <v>309</v>
      </c>
      <c r="C1328" s="632"/>
      <c r="D1328" s="633"/>
      <c r="E1328" s="5"/>
      <c r="F1328" s="160">
        <v>30000</v>
      </c>
      <c r="G1328" s="58">
        <v>27</v>
      </c>
      <c r="H1328" s="160">
        <f>F1328/G1328</f>
        <v>1111.1111111111111</v>
      </c>
      <c r="I1328" s="44"/>
    </row>
    <row r="1329" spans="2:11" ht="14" thickBot="1" x14ac:dyDescent="0.2">
      <c r="B1329" s="634"/>
      <c r="C1329" s="635"/>
      <c r="D1329" s="636"/>
      <c r="E1329" s="21"/>
      <c r="F1329" s="22"/>
      <c r="G1329" s="23"/>
      <c r="H1329" s="47"/>
      <c r="I1329" s="48"/>
    </row>
    <row r="1330" spans="2:11" ht="14" thickBot="1" x14ac:dyDescent="0.2">
      <c r="B1330" s="1"/>
      <c r="C1330" s="1"/>
      <c r="D1330" s="1"/>
      <c r="E1330" s="1"/>
      <c r="F1330" s="1"/>
      <c r="G1330" s="1"/>
      <c r="H1330" s="37" t="s">
        <v>26</v>
      </c>
      <c r="I1330" s="161">
        <f>SUM(H1327:H1329)</f>
        <v>2431.1717592592595</v>
      </c>
    </row>
    <row r="1331" spans="2:11" ht="14" thickBot="1" x14ac:dyDescent="0.2">
      <c r="B1331" s="12" t="s">
        <v>27</v>
      </c>
      <c r="C1331" s="12"/>
      <c r="D1331" s="1"/>
      <c r="E1331" s="1"/>
      <c r="F1331" s="1"/>
      <c r="G1331" s="1"/>
      <c r="H1331" s="1"/>
      <c r="I1331" s="1"/>
    </row>
    <row r="1332" spans="2:11" x14ac:dyDescent="0.15">
      <c r="B1332" s="628" t="s">
        <v>22</v>
      </c>
      <c r="C1332" s="629"/>
      <c r="D1332" s="630"/>
      <c r="E1332" s="205" t="s">
        <v>28</v>
      </c>
      <c r="F1332" s="205" t="s">
        <v>29</v>
      </c>
      <c r="G1332" s="205" t="s">
        <v>30</v>
      </c>
      <c r="H1332" s="204" t="s">
        <v>25</v>
      </c>
      <c r="I1332" s="43"/>
    </row>
    <row r="1333" spans="2:11" x14ac:dyDescent="0.15">
      <c r="B1333" s="4" t="s">
        <v>473</v>
      </c>
      <c r="C1333" s="24"/>
      <c r="D1333" s="6"/>
      <c r="E1333" s="3" t="s">
        <v>58</v>
      </c>
      <c r="F1333" s="164">
        <f>'APU -BASICOS'!H204</f>
        <v>9182</v>
      </c>
      <c r="G1333" s="73">
        <f>2.4*0.56</f>
        <v>1.3440000000000001</v>
      </c>
      <c r="H1333" s="163">
        <f>G1333*F1333</f>
        <v>12340.608</v>
      </c>
      <c r="I1333" s="44"/>
    </row>
    <row r="1334" spans="2:11" x14ac:dyDescent="0.15">
      <c r="B1334" s="4" t="s">
        <v>474</v>
      </c>
      <c r="C1334" s="24"/>
      <c r="D1334" s="6"/>
      <c r="E1334" s="3" t="s">
        <v>58</v>
      </c>
      <c r="F1334" s="164">
        <f>'APU -BASICOS'!H260</f>
        <v>9182</v>
      </c>
      <c r="G1334" s="73">
        <f>0.7*5*0.56</f>
        <v>1.9600000000000002</v>
      </c>
      <c r="H1334" s="163">
        <f>G1334*F1334</f>
        <v>17996.72</v>
      </c>
      <c r="I1334" s="44"/>
    </row>
    <row r="1335" spans="2:11" x14ac:dyDescent="0.15">
      <c r="B1335" s="4" t="s">
        <v>63</v>
      </c>
      <c r="C1335" s="24"/>
      <c r="D1335" s="6"/>
      <c r="E1335" s="3" t="s">
        <v>6</v>
      </c>
      <c r="F1335" s="162">
        <f>'APU -BASICOS'!H96</f>
        <v>585821</v>
      </c>
      <c r="G1335" s="73">
        <f>0.15*0.1*1</f>
        <v>1.4999999999999999E-2</v>
      </c>
      <c r="H1335" s="163">
        <f>G1335*F1335</f>
        <v>8787.3150000000005</v>
      </c>
      <c r="I1335" s="44"/>
    </row>
    <row r="1336" spans="2:11" ht="14" thickBot="1" x14ac:dyDescent="0.2">
      <c r="B1336" s="25"/>
      <c r="C1336" s="26"/>
      <c r="D1336" s="27"/>
      <c r="E1336" s="21"/>
      <c r="F1336" s="22"/>
      <c r="G1336" s="165"/>
      <c r="H1336" s="47"/>
      <c r="I1336" s="48"/>
      <c r="K1336" s="223"/>
    </row>
    <row r="1337" spans="2:11" ht="14" thickBot="1" x14ac:dyDescent="0.2">
      <c r="B1337" s="1"/>
      <c r="C1337" s="1"/>
      <c r="D1337" s="1"/>
      <c r="E1337" s="1"/>
      <c r="F1337" s="1"/>
      <c r="G1337" s="1"/>
      <c r="H1337" s="37" t="s">
        <v>26</v>
      </c>
      <c r="I1337" s="161">
        <f>SUM(H1333:H1335)</f>
        <v>39124.643000000004</v>
      </c>
    </row>
    <row r="1338" spans="2:11" ht="14" thickBot="1" x14ac:dyDescent="0.2">
      <c r="B1338" s="28" t="s">
        <v>31</v>
      </c>
      <c r="C1338" s="28"/>
      <c r="D1338" s="26"/>
      <c r="E1338" s="1"/>
      <c r="F1338" s="1"/>
      <c r="G1338" s="1"/>
      <c r="H1338" s="1"/>
      <c r="I1338" s="1"/>
    </row>
    <row r="1339" spans="2:11" x14ac:dyDescent="0.15">
      <c r="B1339" s="51" t="s">
        <v>32</v>
      </c>
      <c r="C1339" s="52"/>
      <c r="D1339" s="96" t="s">
        <v>33</v>
      </c>
      <c r="E1339" s="205" t="s">
        <v>34</v>
      </c>
      <c r="F1339" s="205" t="s">
        <v>35</v>
      </c>
      <c r="G1339" s="205" t="s">
        <v>36</v>
      </c>
      <c r="H1339" s="59" t="s">
        <v>25</v>
      </c>
      <c r="I1339" s="43"/>
    </row>
    <row r="1340" spans="2:11" x14ac:dyDescent="0.15">
      <c r="B1340" s="4"/>
      <c r="C1340" s="24"/>
      <c r="D1340" s="60"/>
      <c r="E1340" s="2"/>
      <c r="F1340" s="2"/>
      <c r="G1340" s="160"/>
      <c r="H1340" s="55"/>
      <c r="I1340" s="44"/>
      <c r="K1340" s="105"/>
    </row>
    <row r="1341" spans="2:11" x14ac:dyDescent="0.15">
      <c r="B1341" s="106"/>
      <c r="C1341" s="66"/>
      <c r="D1341" s="67"/>
      <c r="E1341" s="68"/>
      <c r="F1341" s="68"/>
      <c r="G1341" s="69"/>
      <c r="H1341" s="65"/>
      <c r="I1341" s="44"/>
    </row>
    <row r="1342" spans="2:11" ht="14" thickBot="1" x14ac:dyDescent="0.2">
      <c r="B1342" s="33"/>
      <c r="C1342" s="54"/>
      <c r="D1342" s="21"/>
      <c r="E1342" s="22"/>
      <c r="F1342" s="23"/>
      <c r="G1342" s="47"/>
      <c r="H1342" s="21"/>
      <c r="I1342" s="48"/>
    </row>
    <row r="1343" spans="2:11" ht="14" thickBot="1" x14ac:dyDescent="0.2">
      <c r="B1343" s="1"/>
      <c r="C1343" s="1"/>
      <c r="D1343" s="1"/>
      <c r="E1343" s="1"/>
      <c r="F1343" s="1"/>
      <c r="G1343" s="1"/>
      <c r="H1343" s="37" t="s">
        <v>26</v>
      </c>
      <c r="I1343" s="161">
        <f>SUM(H1340:H1342)</f>
        <v>0</v>
      </c>
    </row>
    <row r="1344" spans="2:11" ht="14" thickBot="1" x14ac:dyDescent="0.2">
      <c r="B1344" s="28" t="s">
        <v>37</v>
      </c>
      <c r="C1344" s="28"/>
      <c r="D1344" s="1"/>
      <c r="E1344" s="1"/>
      <c r="F1344" s="1"/>
      <c r="G1344" s="1"/>
      <c r="H1344" s="1"/>
      <c r="I1344" s="1"/>
    </row>
    <row r="1345" spans="2:11" x14ac:dyDescent="0.15">
      <c r="B1345" s="51" t="s">
        <v>38</v>
      </c>
      <c r="C1345" s="86"/>
      <c r="D1345" s="31" t="s">
        <v>39</v>
      </c>
      <c r="E1345" s="205" t="s">
        <v>40</v>
      </c>
      <c r="F1345" s="19" t="s">
        <v>41</v>
      </c>
      <c r="G1345" s="31" t="s">
        <v>24</v>
      </c>
      <c r="H1345" s="204" t="s">
        <v>25</v>
      </c>
      <c r="I1345" s="43"/>
      <c r="K1345" s="105"/>
    </row>
    <row r="1346" spans="2:11" x14ac:dyDescent="0.15">
      <c r="B1346" s="4" t="s">
        <v>65</v>
      </c>
      <c r="C1346" s="24"/>
      <c r="D1346" s="32">
        <f>'MANO DE OBRA'!E15</f>
        <v>95333</v>
      </c>
      <c r="E1346" s="88">
        <v>1.75</v>
      </c>
      <c r="F1346" s="162">
        <f>+E1346*D1346</f>
        <v>166832.75</v>
      </c>
      <c r="G1346" s="20">
        <f>G1328</f>
        <v>27</v>
      </c>
      <c r="H1346" s="167">
        <f>+F1346/G1346</f>
        <v>6178.9907407407409</v>
      </c>
      <c r="I1346" s="44"/>
    </row>
    <row r="1347" spans="2:11" x14ac:dyDescent="0.15">
      <c r="B1347" s="4" t="s">
        <v>94</v>
      </c>
      <c r="C1347" s="24"/>
      <c r="D1347" s="32">
        <f>'MANO DE OBRA'!E14*6</f>
        <v>312000</v>
      </c>
      <c r="E1347" s="88">
        <v>1.75</v>
      </c>
      <c r="F1347" s="162">
        <f>+E1347*D1347</f>
        <v>546000</v>
      </c>
      <c r="G1347" s="20">
        <f>G1328</f>
        <v>27</v>
      </c>
      <c r="H1347" s="167">
        <f>+F1347/G1347</f>
        <v>20222.222222222223</v>
      </c>
      <c r="I1347" s="44"/>
    </row>
    <row r="1348" spans="2:11" ht="14" thickBot="1" x14ac:dyDescent="0.2">
      <c r="B1348" s="33"/>
      <c r="C1348" s="34"/>
      <c r="D1348" s="22"/>
      <c r="E1348" s="21"/>
      <c r="F1348" s="22"/>
      <c r="G1348" s="23"/>
      <c r="H1348" s="47"/>
      <c r="I1348" s="48"/>
      <c r="K1348" s="105"/>
    </row>
    <row r="1349" spans="2:11" ht="14" thickBot="1" x14ac:dyDescent="0.2">
      <c r="B1349" s="1"/>
      <c r="C1349" s="1"/>
      <c r="D1349" s="1"/>
      <c r="E1349" s="1"/>
      <c r="F1349" s="1"/>
      <c r="G1349" s="1"/>
      <c r="H1349" s="37" t="s">
        <v>26</v>
      </c>
      <c r="I1349" s="175">
        <f>SUM(H1346:H1348)</f>
        <v>26401.212962962964</v>
      </c>
    </row>
    <row r="1350" spans="2:11" ht="14" thickBot="1" x14ac:dyDescent="0.2">
      <c r="B1350" s="1"/>
      <c r="C1350" s="1"/>
      <c r="D1350" s="1"/>
      <c r="E1350" s="1"/>
      <c r="F1350" s="1"/>
      <c r="G1350" s="1"/>
      <c r="H1350" s="61"/>
      <c r="I1350" s="1"/>
    </row>
    <row r="1351" spans="2:11" ht="15" thickBot="1" x14ac:dyDescent="0.2">
      <c r="B1351" s="1"/>
      <c r="C1351" s="1"/>
      <c r="D1351" s="1"/>
      <c r="E1351" s="1"/>
      <c r="F1351" s="35" t="s">
        <v>43</v>
      </c>
      <c r="G1351" s="16"/>
      <c r="H1351" s="16"/>
      <c r="I1351" s="222">
        <f>ROUND((I1330+I1337+I1343+I1349),0)</f>
        <v>67957</v>
      </c>
    </row>
    <row r="1352" spans="2:11" x14ac:dyDescent="0.15">
      <c r="B1352" s="12"/>
      <c r="C1352" s="12"/>
      <c r="D1352" s="1"/>
      <c r="E1352" s="1"/>
      <c r="F1352" s="1"/>
      <c r="G1352" s="1"/>
      <c r="H1352" s="170"/>
      <c r="I1352" s="170"/>
    </row>
    <row r="1353" spans="2:11" x14ac:dyDescent="0.15">
      <c r="B1353" s="16"/>
      <c r="C1353" s="16"/>
      <c r="D1353" s="16"/>
      <c r="E1353" s="16"/>
      <c r="F1353" s="16"/>
      <c r="G1353" s="61"/>
      <c r="H1353" s="171"/>
      <c r="I1353" s="170"/>
    </row>
    <row r="1354" spans="2:11" x14ac:dyDescent="0.15">
      <c r="B1354" s="1"/>
      <c r="C1354" s="1"/>
      <c r="D1354" s="1"/>
      <c r="E1354" s="1"/>
      <c r="F1354" s="1"/>
      <c r="G1354" s="159"/>
      <c r="H1354" s="170"/>
      <c r="I1354" s="170"/>
    </row>
    <row r="1355" spans="2:11" x14ac:dyDescent="0.15">
      <c r="B1355" s="1"/>
      <c r="C1355" s="1"/>
      <c r="D1355" s="1"/>
      <c r="E1355" s="1"/>
      <c r="F1355" s="1"/>
      <c r="G1355" s="159"/>
      <c r="H1355" s="170"/>
      <c r="I1355" s="170"/>
    </row>
    <row r="1356" spans="2:11" x14ac:dyDescent="0.15">
      <c r="B1356" s="1"/>
      <c r="C1356" s="1"/>
      <c r="D1356" s="1"/>
      <c r="E1356" s="1"/>
      <c r="F1356" s="1"/>
      <c r="G1356" s="159"/>
      <c r="H1356" s="170"/>
      <c r="I1356" s="170"/>
    </row>
    <row r="1357" spans="2:11" x14ac:dyDescent="0.15">
      <c r="B1357" s="1"/>
      <c r="C1357" s="1"/>
      <c r="D1357" s="1"/>
      <c r="E1357" s="1"/>
      <c r="F1357" s="1"/>
      <c r="G1357" s="1"/>
      <c r="H1357" s="37"/>
      <c r="I1357" s="170"/>
    </row>
    <row r="1358" spans="2:11" ht="14" x14ac:dyDescent="0.15">
      <c r="B1358" s="101"/>
      <c r="C1358" s="1"/>
      <c r="D1358" s="1"/>
      <c r="E1358" s="1"/>
      <c r="F1358" s="1"/>
      <c r="G1358" s="1"/>
      <c r="H1358" s="1"/>
      <c r="I1358" s="170"/>
    </row>
    <row r="1359" spans="2:11" ht="14" x14ac:dyDescent="0.15">
      <c r="B1359" s="83"/>
      <c r="C1359" s="11"/>
      <c r="D1359" s="1"/>
      <c r="E1359" s="637"/>
      <c r="F1359" s="637"/>
      <c r="G1359" s="637"/>
      <c r="H1359" s="637"/>
      <c r="I1359" s="169"/>
    </row>
    <row r="1360" spans="2:11" ht="14" x14ac:dyDescent="0.15">
      <c r="B1360" s="101"/>
      <c r="C1360" s="11"/>
      <c r="D1360" s="1"/>
      <c r="E1360" s="153"/>
      <c r="F1360" s="153"/>
      <c r="G1360" s="153"/>
      <c r="H1360" s="153"/>
      <c r="I1360" s="169"/>
    </row>
    <row r="1361" spans="2:10" ht="14" x14ac:dyDescent="0.15">
      <c r="B1361" s="101"/>
      <c r="C1361" s="11"/>
      <c r="D1361" s="1"/>
      <c r="E1361" s="153"/>
      <c r="F1361" s="153"/>
      <c r="G1361" s="153"/>
      <c r="H1361" s="153"/>
      <c r="I1361" s="169"/>
    </row>
    <row r="1362" spans="2:10" ht="14" x14ac:dyDescent="0.15">
      <c r="B1362" s="101"/>
      <c r="C1362" s="11"/>
      <c r="D1362" s="1"/>
      <c r="E1362" s="153"/>
      <c r="F1362" s="153"/>
      <c r="G1362" s="153"/>
      <c r="H1362" s="153"/>
      <c r="I1362" s="169"/>
    </row>
    <row r="1363" spans="2:10" ht="14" x14ac:dyDescent="0.15">
      <c r="B1363" s="101"/>
      <c r="C1363" s="11"/>
      <c r="D1363" s="1"/>
      <c r="E1363" s="153"/>
      <c r="F1363" s="153"/>
      <c r="G1363" s="153"/>
      <c r="H1363" s="153"/>
      <c r="I1363" s="169"/>
    </row>
    <row r="1364" spans="2:10" ht="14" x14ac:dyDescent="0.15">
      <c r="B1364" s="101"/>
      <c r="C1364" s="11"/>
      <c r="D1364" s="1"/>
      <c r="E1364" s="153"/>
      <c r="F1364" s="153"/>
      <c r="G1364" s="153"/>
      <c r="H1364" s="153"/>
      <c r="I1364" s="169"/>
    </row>
    <row r="1365" spans="2:10" ht="14" x14ac:dyDescent="0.15">
      <c r="B1365" s="83"/>
      <c r="C1365" s="11"/>
      <c r="D1365" s="1"/>
      <c r="E1365" s="153"/>
      <c r="F1365" s="153"/>
      <c r="G1365" s="153"/>
      <c r="H1365" s="153"/>
      <c r="I1365" s="169"/>
    </row>
    <row r="1366" spans="2:10" x14ac:dyDescent="0.15">
      <c r="B1366" s="11"/>
      <c r="C1366" s="11"/>
      <c r="D1366" s="1"/>
      <c r="E1366" s="153"/>
      <c r="F1366" s="153"/>
      <c r="G1366" s="153"/>
      <c r="H1366" s="153"/>
      <c r="I1366" s="169"/>
    </row>
    <row r="1367" spans="2:10" x14ac:dyDescent="0.15">
      <c r="B1367" s="11"/>
      <c r="C1367" s="11"/>
      <c r="D1367" s="1"/>
      <c r="E1367" s="153"/>
      <c r="F1367" s="153"/>
      <c r="G1367" s="153"/>
      <c r="H1367" s="153"/>
      <c r="I1367" s="169"/>
    </row>
    <row r="1368" spans="2:10" x14ac:dyDescent="0.15">
      <c r="B1368" s="11"/>
      <c r="C1368" s="11"/>
      <c r="D1368" s="1"/>
      <c r="E1368" s="153"/>
      <c r="F1368" s="153"/>
      <c r="G1368" s="153"/>
      <c r="H1368" s="153"/>
      <c r="I1368" s="169"/>
    </row>
    <row r="1369" spans="2:10" x14ac:dyDescent="0.15">
      <c r="B1369" s="11"/>
      <c r="C1369" s="11"/>
      <c r="D1369" s="1"/>
      <c r="E1369" s="153"/>
      <c r="F1369" s="153"/>
      <c r="G1369" s="153"/>
      <c r="H1369" s="153"/>
      <c r="I1369" s="169"/>
    </row>
    <row r="1370" spans="2:10" x14ac:dyDescent="0.15">
      <c r="B1370" s="11"/>
      <c r="C1370" s="11"/>
      <c r="D1370" s="1"/>
      <c r="E1370" s="153"/>
      <c r="F1370" s="153"/>
      <c r="G1370" s="153"/>
      <c r="H1370" s="153"/>
      <c r="I1370" s="169"/>
    </row>
    <row r="1371" spans="2:10" x14ac:dyDescent="0.15">
      <c r="B1371" s="11"/>
      <c r="C1371" s="11"/>
      <c r="D1371" s="1"/>
      <c r="E1371" s="153"/>
      <c r="F1371" s="153"/>
      <c r="G1371" s="153"/>
      <c r="H1371" s="153"/>
      <c r="I1371" s="169"/>
    </row>
    <row r="1372" spans="2:10" ht="14" x14ac:dyDescent="0.15">
      <c r="B1372" s="101"/>
      <c r="C1372" s="83"/>
      <c r="D1372" s="84"/>
      <c r="E1372" s="83"/>
      <c r="F1372" s="83"/>
      <c r="G1372" s="102"/>
      <c r="H1372" s="83"/>
      <c r="I1372" s="85"/>
      <c r="J1372" s="85"/>
    </row>
    <row r="1373" spans="2:10" ht="14" x14ac:dyDescent="0.15">
      <c r="B1373" s="83"/>
      <c r="C1373" s="83"/>
      <c r="D1373" s="84"/>
      <c r="E1373" s="83"/>
      <c r="F1373" s="83"/>
      <c r="G1373" s="103"/>
      <c r="H1373" s="83"/>
      <c r="I1373" s="85"/>
      <c r="J1373" s="85"/>
    </row>
    <row r="1374" spans="2:10" ht="14" thickBot="1" x14ac:dyDescent="0.2">
      <c r="B1374" s="11"/>
      <c r="C1374" s="11"/>
      <c r="D1374" s="1"/>
      <c r="E1374" s="153"/>
      <c r="F1374" s="153"/>
      <c r="G1374" s="153"/>
      <c r="H1374" s="153"/>
      <c r="I1374" s="169"/>
    </row>
    <row r="1375" spans="2:10" ht="21" customHeight="1" x14ac:dyDescent="0.15">
      <c r="B1375" s="607" t="s">
        <v>1065</v>
      </c>
      <c r="C1375" s="608"/>
      <c r="D1375" s="608"/>
      <c r="E1375" s="608"/>
      <c r="F1375" s="609"/>
      <c r="G1375" s="1"/>
      <c r="H1375" s="638" t="s">
        <v>20</v>
      </c>
      <c r="I1375" s="639"/>
    </row>
    <row r="1376" spans="2:10" ht="16.5" customHeight="1" x14ac:dyDescent="0.15">
      <c r="B1376" s="604" t="s">
        <v>446</v>
      </c>
      <c r="C1376" s="605"/>
      <c r="D1376" s="605"/>
      <c r="E1376" s="605"/>
      <c r="F1376" s="606"/>
      <c r="G1376" s="63"/>
      <c r="H1376" s="640"/>
      <c r="I1376" s="641"/>
    </row>
    <row r="1377" spans="2:9" ht="12.75" customHeight="1" x14ac:dyDescent="0.15">
      <c r="B1377" s="610" t="s">
        <v>447</v>
      </c>
      <c r="C1377" s="611"/>
      <c r="D1377" s="611"/>
      <c r="E1377" s="611"/>
      <c r="F1377" s="612"/>
      <c r="G1377" s="63"/>
      <c r="H1377" s="642"/>
      <c r="I1377" s="643"/>
    </row>
    <row r="1378" spans="2:9" ht="16.5" customHeight="1" thickBot="1" x14ac:dyDescent="0.2">
      <c r="B1378" s="613"/>
      <c r="C1378" s="614"/>
      <c r="D1378" s="614"/>
      <c r="E1378" s="614"/>
      <c r="F1378" s="615"/>
      <c r="G1378" s="1"/>
      <c r="H1378" s="662" t="s">
        <v>946</v>
      </c>
      <c r="I1378" s="663"/>
    </row>
    <row r="1379" spans="2:9" ht="14" thickBot="1" x14ac:dyDescent="0.2">
      <c r="B1379" s="15"/>
      <c r="C1379" s="16"/>
      <c r="D1379" s="1"/>
      <c r="E1379" s="1"/>
      <c r="F1379" s="1"/>
      <c r="G1379" s="1"/>
      <c r="H1379" s="664"/>
      <c r="I1379" s="665"/>
    </row>
    <row r="1380" spans="2:9" ht="12.75" customHeight="1" x14ac:dyDescent="0.15">
      <c r="B1380" s="650" t="s">
        <v>890</v>
      </c>
      <c r="C1380" s="651"/>
      <c r="D1380" s="651"/>
      <c r="E1380" s="651"/>
      <c r="F1380" s="652"/>
      <c r="G1380" s="1"/>
      <c r="H1380" s="664"/>
      <c r="I1380" s="665"/>
    </row>
    <row r="1381" spans="2:9" ht="12.75" customHeight="1" x14ac:dyDescent="0.15">
      <c r="B1381" s="653"/>
      <c r="C1381" s="654"/>
      <c r="D1381" s="654"/>
      <c r="E1381" s="654"/>
      <c r="F1381" s="655"/>
      <c r="H1381" s="664"/>
      <c r="I1381" s="665"/>
    </row>
    <row r="1382" spans="2:9" ht="13.5" customHeight="1" x14ac:dyDescent="0.15">
      <c r="B1382" s="653"/>
      <c r="C1382" s="654"/>
      <c r="D1382" s="654"/>
      <c r="E1382" s="654"/>
      <c r="F1382" s="655"/>
      <c r="G1382" s="11"/>
      <c r="H1382" s="666"/>
      <c r="I1382" s="667"/>
    </row>
    <row r="1383" spans="2:9" ht="21.75" customHeight="1" thickBot="1" x14ac:dyDescent="0.2">
      <c r="B1383" s="656"/>
      <c r="C1383" s="657"/>
      <c r="D1383" s="657"/>
      <c r="E1383" s="657"/>
      <c r="F1383" s="658"/>
      <c r="H1383" s="64" t="s">
        <v>45</v>
      </c>
      <c r="I1383" s="17" t="s">
        <v>193</v>
      </c>
    </row>
    <row r="1384" spans="2:9" x14ac:dyDescent="0.15">
      <c r="B1384" s="18"/>
      <c r="C1384" s="18"/>
      <c r="D1384" s="1"/>
      <c r="E1384" s="18"/>
      <c r="F1384" s="18"/>
      <c r="G1384" s="18"/>
      <c r="H1384" s="18"/>
      <c r="I1384" s="1"/>
    </row>
    <row r="1385" spans="2:9" ht="14" thickBot="1" x14ac:dyDescent="0.2">
      <c r="B1385" s="12" t="s">
        <v>21</v>
      </c>
      <c r="C1385" s="12"/>
      <c r="D1385" s="1"/>
      <c r="E1385" s="1"/>
      <c r="F1385" s="1"/>
      <c r="G1385" s="1"/>
      <c r="H1385" s="1"/>
      <c r="I1385" s="1"/>
    </row>
    <row r="1386" spans="2:9" x14ac:dyDescent="0.15">
      <c r="B1386" s="628" t="s">
        <v>22</v>
      </c>
      <c r="C1386" s="629"/>
      <c r="D1386" s="630"/>
      <c r="E1386" s="205" t="s">
        <v>23</v>
      </c>
      <c r="F1386" s="19" t="s">
        <v>47</v>
      </c>
      <c r="G1386" s="205" t="s">
        <v>24</v>
      </c>
      <c r="H1386" s="204" t="s">
        <v>25</v>
      </c>
      <c r="I1386" s="43"/>
    </row>
    <row r="1387" spans="2:9" x14ac:dyDescent="0.15">
      <c r="B1387" s="631" t="s">
        <v>56</v>
      </c>
      <c r="C1387" s="632"/>
      <c r="D1387" s="633"/>
      <c r="E1387" s="5"/>
      <c r="F1387" s="160"/>
      <c r="G1387" s="58"/>
      <c r="H1387" s="160">
        <f>I1408*0.05</f>
        <v>1485.0682291666667</v>
      </c>
      <c r="I1387" s="44"/>
    </row>
    <row r="1388" spans="2:9" x14ac:dyDescent="0.15">
      <c r="B1388" s="631" t="s">
        <v>309</v>
      </c>
      <c r="C1388" s="632"/>
      <c r="D1388" s="633"/>
      <c r="E1388" s="5"/>
      <c r="F1388" s="160">
        <f>'HERRAMIENTAS Y EQUIPOS'!C23*2</f>
        <v>12000</v>
      </c>
      <c r="G1388" s="58">
        <v>24</v>
      </c>
      <c r="H1388" s="160">
        <f>F1388/G1388</f>
        <v>500</v>
      </c>
      <c r="I1388" s="44"/>
    </row>
    <row r="1389" spans="2:9" ht="14" thickBot="1" x14ac:dyDescent="0.2">
      <c r="B1389" s="634"/>
      <c r="C1389" s="635"/>
      <c r="D1389" s="636"/>
      <c r="E1389" s="21"/>
      <c r="F1389" s="22"/>
      <c r="G1389" s="23"/>
      <c r="H1389" s="47"/>
      <c r="I1389" s="48"/>
    </row>
    <row r="1390" spans="2:9" ht="14" thickBot="1" x14ac:dyDescent="0.2">
      <c r="B1390" s="1"/>
      <c r="C1390" s="1"/>
      <c r="D1390" s="1"/>
      <c r="E1390" s="1"/>
      <c r="F1390" s="1"/>
      <c r="G1390" s="1"/>
      <c r="H1390" s="37" t="s">
        <v>26</v>
      </c>
      <c r="I1390" s="161">
        <f>SUM(H1387:H1389)</f>
        <v>1985.0682291666667</v>
      </c>
    </row>
    <row r="1391" spans="2:9" ht="14" thickBot="1" x14ac:dyDescent="0.2">
      <c r="B1391" s="12" t="s">
        <v>27</v>
      </c>
      <c r="C1391" s="12"/>
      <c r="D1391" s="1"/>
      <c r="E1391" s="1"/>
      <c r="F1391" s="1"/>
      <c r="G1391" s="1"/>
      <c r="H1391" s="1"/>
      <c r="I1391" s="1"/>
    </row>
    <row r="1392" spans="2:9" x14ac:dyDescent="0.15">
      <c r="B1392" s="628" t="s">
        <v>22</v>
      </c>
      <c r="C1392" s="629"/>
      <c r="D1392" s="630"/>
      <c r="E1392" s="205" t="s">
        <v>28</v>
      </c>
      <c r="F1392" s="205" t="s">
        <v>29</v>
      </c>
      <c r="G1392" s="205" t="s">
        <v>30</v>
      </c>
      <c r="H1392" s="204" t="s">
        <v>25</v>
      </c>
      <c r="I1392" s="43"/>
    </row>
    <row r="1393" spans="2:11" x14ac:dyDescent="0.15">
      <c r="B1393" s="4" t="s">
        <v>67</v>
      </c>
      <c r="C1393" s="24"/>
      <c r="D1393" s="6"/>
      <c r="E1393" s="3" t="s">
        <v>58</v>
      </c>
      <c r="F1393" s="164">
        <f>'APU -BASICOS'!H260</f>
        <v>9182</v>
      </c>
      <c r="G1393" s="73">
        <f>((1.2*2*0.56)+1*7*0.56)</f>
        <v>5.2640000000000002</v>
      </c>
      <c r="H1393" s="163">
        <f>G1393*F1393</f>
        <v>48334.048000000003</v>
      </c>
      <c r="I1393" s="44"/>
    </row>
    <row r="1394" spans="2:11" x14ac:dyDescent="0.15">
      <c r="B1394" s="4" t="s">
        <v>63</v>
      </c>
      <c r="C1394" s="24"/>
      <c r="D1394" s="6"/>
      <c r="E1394" s="3" t="s">
        <v>6</v>
      </c>
      <c r="F1394" s="162">
        <f>'APU -BASICOS'!H96</f>
        <v>585821</v>
      </c>
      <c r="G1394" s="73">
        <f>0.1*0.2*1</f>
        <v>2.0000000000000004E-2</v>
      </c>
      <c r="H1394" s="163">
        <f>G1394*F1394</f>
        <v>11716.420000000002</v>
      </c>
      <c r="I1394" s="44"/>
    </row>
    <row r="1395" spans="2:11" ht="14" thickBot="1" x14ac:dyDescent="0.2">
      <c r="B1395" s="25"/>
      <c r="C1395" s="26"/>
      <c r="D1395" s="27"/>
      <c r="E1395" s="21"/>
      <c r="F1395" s="22"/>
      <c r="G1395" s="165"/>
      <c r="H1395" s="47"/>
      <c r="I1395" s="48"/>
      <c r="K1395" s="223"/>
    </row>
    <row r="1396" spans="2:11" ht="14" thickBot="1" x14ac:dyDescent="0.2">
      <c r="B1396" s="1"/>
      <c r="C1396" s="1"/>
      <c r="D1396" s="1"/>
      <c r="E1396" s="1"/>
      <c r="F1396" s="1"/>
      <c r="G1396" s="1"/>
      <c r="H1396" s="37" t="s">
        <v>26</v>
      </c>
      <c r="I1396" s="161">
        <f>SUM(H1393:H1394)</f>
        <v>60050.468000000008</v>
      </c>
    </row>
    <row r="1397" spans="2:11" ht="14" thickBot="1" x14ac:dyDescent="0.2">
      <c r="B1397" s="28" t="s">
        <v>31</v>
      </c>
      <c r="C1397" s="28"/>
      <c r="D1397" s="26"/>
      <c r="E1397" s="1"/>
      <c r="F1397" s="1"/>
      <c r="G1397" s="1"/>
      <c r="H1397" s="1"/>
      <c r="I1397" s="1"/>
    </row>
    <row r="1398" spans="2:11" x14ac:dyDescent="0.15">
      <c r="B1398" s="51" t="s">
        <v>32</v>
      </c>
      <c r="C1398" s="52"/>
      <c r="D1398" s="96" t="s">
        <v>33</v>
      </c>
      <c r="E1398" s="205" t="s">
        <v>34</v>
      </c>
      <c r="F1398" s="205" t="s">
        <v>35</v>
      </c>
      <c r="G1398" s="205" t="s">
        <v>36</v>
      </c>
      <c r="H1398" s="59" t="s">
        <v>25</v>
      </c>
      <c r="I1398" s="43"/>
    </row>
    <row r="1399" spans="2:11" x14ac:dyDescent="0.15">
      <c r="B1399" s="4"/>
      <c r="C1399" s="24"/>
      <c r="D1399" s="60"/>
      <c r="E1399" s="2"/>
      <c r="F1399" s="2"/>
      <c r="G1399" s="160"/>
      <c r="H1399" s="55"/>
      <c r="I1399" s="44"/>
      <c r="K1399" s="105"/>
    </row>
    <row r="1400" spans="2:11" x14ac:dyDescent="0.15">
      <c r="B1400" s="106"/>
      <c r="C1400" s="66"/>
      <c r="D1400" s="67"/>
      <c r="E1400" s="68"/>
      <c r="F1400" s="68"/>
      <c r="G1400" s="69"/>
      <c r="H1400" s="65"/>
      <c r="I1400" s="44"/>
    </row>
    <row r="1401" spans="2:11" ht="14" thickBot="1" x14ac:dyDescent="0.2">
      <c r="B1401" s="33"/>
      <c r="C1401" s="54"/>
      <c r="D1401" s="21"/>
      <c r="E1401" s="22"/>
      <c r="F1401" s="23"/>
      <c r="G1401" s="47"/>
      <c r="H1401" s="21"/>
      <c r="I1401" s="48"/>
    </row>
    <row r="1402" spans="2:11" ht="14" thickBot="1" x14ac:dyDescent="0.2">
      <c r="B1402" s="1"/>
      <c r="C1402" s="1"/>
      <c r="D1402" s="1"/>
      <c r="E1402" s="1"/>
      <c r="F1402" s="1"/>
      <c r="G1402" s="1"/>
      <c r="H1402" s="37" t="s">
        <v>26</v>
      </c>
      <c r="I1402" s="161">
        <f>SUM(H1399:H1401)</f>
        <v>0</v>
      </c>
    </row>
    <row r="1403" spans="2:11" ht="14" thickBot="1" x14ac:dyDescent="0.2">
      <c r="B1403" s="28" t="s">
        <v>37</v>
      </c>
      <c r="C1403" s="28"/>
      <c r="D1403" s="1"/>
      <c r="E1403" s="1"/>
      <c r="F1403" s="1"/>
      <c r="G1403" s="1"/>
      <c r="H1403" s="1"/>
      <c r="I1403" s="1"/>
    </row>
    <row r="1404" spans="2:11" x14ac:dyDescent="0.15">
      <c r="B1404" s="51" t="s">
        <v>38</v>
      </c>
      <c r="C1404" s="86"/>
      <c r="D1404" s="31" t="s">
        <v>39</v>
      </c>
      <c r="E1404" s="205" t="s">
        <v>40</v>
      </c>
      <c r="F1404" s="19" t="s">
        <v>41</v>
      </c>
      <c r="G1404" s="31" t="s">
        <v>24</v>
      </c>
      <c r="H1404" s="204" t="s">
        <v>25</v>
      </c>
      <c r="I1404" s="43"/>
      <c r="K1404" s="105"/>
    </row>
    <row r="1405" spans="2:11" x14ac:dyDescent="0.15">
      <c r="B1405" s="4" t="s">
        <v>65</v>
      </c>
      <c r="C1405" s="24"/>
      <c r="D1405" s="32">
        <f>'MANO DE OBRA'!E15</f>
        <v>95333</v>
      </c>
      <c r="E1405" s="88">
        <v>1.75</v>
      </c>
      <c r="F1405" s="162">
        <f>+E1405*D1405</f>
        <v>166832.75</v>
      </c>
      <c r="G1405" s="20">
        <f>G1388</f>
        <v>24</v>
      </c>
      <c r="H1405" s="167">
        <f>+F1405/G1405</f>
        <v>6951.364583333333</v>
      </c>
      <c r="I1405" s="44"/>
    </row>
    <row r="1406" spans="2:11" x14ac:dyDescent="0.15">
      <c r="B1406" s="4" t="s">
        <v>94</v>
      </c>
      <c r="C1406" s="24"/>
      <c r="D1406" s="32">
        <f>'MANO DE OBRA'!E14*6</f>
        <v>312000</v>
      </c>
      <c r="E1406" s="88">
        <v>1.75</v>
      </c>
      <c r="F1406" s="162">
        <f>+E1406*D1406</f>
        <v>546000</v>
      </c>
      <c r="G1406" s="20">
        <f>G1388</f>
        <v>24</v>
      </c>
      <c r="H1406" s="167">
        <f>+F1406/G1406</f>
        <v>22750</v>
      </c>
      <c r="I1406" s="44"/>
    </row>
    <row r="1407" spans="2:11" ht="14" thickBot="1" x14ac:dyDescent="0.2">
      <c r="B1407" s="33"/>
      <c r="C1407" s="34"/>
      <c r="D1407" s="22"/>
      <c r="E1407" s="21"/>
      <c r="F1407" s="22"/>
      <c r="G1407" s="23"/>
      <c r="H1407" s="47"/>
      <c r="I1407" s="48"/>
      <c r="K1407" s="105"/>
    </row>
    <row r="1408" spans="2:11" ht="14" thickBot="1" x14ac:dyDescent="0.2">
      <c r="B1408" s="1"/>
      <c r="C1408" s="1"/>
      <c r="D1408" s="1"/>
      <c r="E1408" s="1"/>
      <c r="F1408" s="1"/>
      <c r="G1408" s="1"/>
      <c r="H1408" s="37" t="s">
        <v>26</v>
      </c>
      <c r="I1408" s="175">
        <f>SUM(H1405:H1407)</f>
        <v>29701.364583333332</v>
      </c>
    </row>
    <row r="1409" spans="2:9" ht="14" thickBot="1" x14ac:dyDescent="0.2">
      <c r="B1409" s="1"/>
      <c r="C1409" s="1"/>
      <c r="D1409" s="1"/>
      <c r="E1409" s="1"/>
      <c r="F1409" s="1"/>
      <c r="G1409" s="1"/>
      <c r="H1409" s="61"/>
      <c r="I1409" s="1"/>
    </row>
    <row r="1410" spans="2:9" ht="15" thickBot="1" x14ac:dyDescent="0.2">
      <c r="B1410" s="1"/>
      <c r="C1410" s="1"/>
      <c r="D1410" s="1"/>
      <c r="E1410" s="1"/>
      <c r="F1410" s="35" t="s">
        <v>43</v>
      </c>
      <c r="G1410" s="16"/>
      <c r="H1410" s="16"/>
      <c r="I1410" s="222">
        <f>ROUND((I1390+I1396+I1402+I1408),0)</f>
        <v>91737</v>
      </c>
    </row>
    <row r="1411" spans="2:9" x14ac:dyDescent="0.15">
      <c r="B1411" s="12"/>
      <c r="C1411" s="12"/>
      <c r="D1411" s="1"/>
      <c r="E1411" s="1"/>
      <c r="F1411" s="1"/>
      <c r="G1411" s="1"/>
      <c r="H1411" s="170"/>
      <c r="I1411" s="170"/>
    </row>
    <row r="1412" spans="2:9" x14ac:dyDescent="0.15">
      <c r="B1412" s="16"/>
      <c r="C1412" s="16"/>
      <c r="D1412" s="16"/>
      <c r="E1412" s="16"/>
      <c r="F1412" s="16"/>
      <c r="G1412" s="61"/>
      <c r="H1412" s="171"/>
      <c r="I1412" s="170"/>
    </row>
    <row r="1413" spans="2:9" x14ac:dyDescent="0.15">
      <c r="B1413" s="1"/>
      <c r="C1413" s="1"/>
      <c r="D1413" s="1"/>
      <c r="E1413" s="1"/>
      <c r="F1413" s="1"/>
      <c r="G1413" s="159"/>
      <c r="H1413" s="170"/>
      <c r="I1413" s="170"/>
    </row>
    <row r="1414" spans="2:9" x14ac:dyDescent="0.15">
      <c r="B1414" s="1"/>
      <c r="C1414" s="1"/>
      <c r="D1414" s="1"/>
      <c r="E1414" s="1"/>
      <c r="F1414" s="1"/>
      <c r="G1414" s="159"/>
      <c r="H1414" s="170"/>
      <c r="I1414" s="170"/>
    </row>
    <row r="1415" spans="2:9" x14ac:dyDescent="0.15">
      <c r="B1415" s="1"/>
      <c r="C1415" s="1"/>
      <c r="D1415" s="1"/>
      <c r="E1415" s="1"/>
      <c r="F1415" s="1"/>
      <c r="G1415" s="159"/>
      <c r="H1415" s="170"/>
      <c r="I1415" s="170"/>
    </row>
    <row r="1416" spans="2:9" x14ac:dyDescent="0.15">
      <c r="B1416" s="1"/>
      <c r="C1416" s="1"/>
      <c r="D1416" s="1"/>
      <c r="E1416" s="1"/>
      <c r="F1416" s="1"/>
      <c r="G1416" s="1"/>
      <c r="H1416" s="37"/>
      <c r="I1416" s="170"/>
    </row>
    <row r="1417" spans="2:9" ht="14" x14ac:dyDescent="0.15">
      <c r="B1417" s="101"/>
      <c r="C1417" s="1"/>
      <c r="D1417" s="1"/>
      <c r="E1417" s="1"/>
      <c r="F1417" s="1"/>
      <c r="G1417" s="1"/>
      <c r="H1417" s="1"/>
      <c r="I1417" s="170"/>
    </row>
    <row r="1418" spans="2:9" ht="14" x14ac:dyDescent="0.15">
      <c r="B1418" s="83"/>
      <c r="C1418" s="11"/>
      <c r="D1418" s="1"/>
      <c r="E1418" s="637"/>
      <c r="F1418" s="637"/>
      <c r="G1418" s="637"/>
      <c r="H1418" s="637"/>
      <c r="I1418" s="169"/>
    </row>
    <row r="1419" spans="2:9" ht="14" x14ac:dyDescent="0.15">
      <c r="B1419" s="101"/>
      <c r="C1419" s="11"/>
      <c r="D1419" s="1"/>
      <c r="E1419" s="153"/>
      <c r="F1419" s="153"/>
      <c r="G1419" s="153"/>
      <c r="H1419" s="153"/>
      <c r="I1419" s="169"/>
    </row>
    <row r="1420" spans="2:9" ht="14" x14ac:dyDescent="0.15">
      <c r="B1420" s="83"/>
      <c r="C1420" s="11"/>
      <c r="D1420" s="1"/>
      <c r="E1420" s="153"/>
      <c r="F1420" s="153"/>
      <c r="G1420" s="153"/>
      <c r="H1420" s="153"/>
      <c r="I1420" s="169"/>
    </row>
    <row r="1421" spans="2:9" ht="14" x14ac:dyDescent="0.15">
      <c r="B1421" s="83"/>
      <c r="C1421" s="11"/>
      <c r="D1421" s="1"/>
      <c r="E1421" s="153"/>
      <c r="F1421" s="153"/>
      <c r="G1421" s="153"/>
      <c r="H1421" s="153"/>
      <c r="I1421" s="169"/>
    </row>
    <row r="1422" spans="2:9" x14ac:dyDescent="0.15">
      <c r="B1422" s="11"/>
      <c r="C1422" s="11"/>
      <c r="D1422" s="1"/>
      <c r="E1422" s="153"/>
      <c r="F1422" s="153"/>
      <c r="G1422" s="153"/>
      <c r="H1422" s="153"/>
      <c r="I1422" s="169"/>
    </row>
    <row r="1423" spans="2:9" x14ac:dyDescent="0.15">
      <c r="B1423" s="11"/>
      <c r="C1423" s="11"/>
      <c r="D1423" s="1"/>
      <c r="E1423" s="153"/>
      <c r="F1423" s="153"/>
      <c r="G1423" s="153"/>
      <c r="H1423" s="153"/>
      <c r="I1423" s="169"/>
    </row>
    <row r="1424" spans="2:9" x14ac:dyDescent="0.15">
      <c r="B1424" s="11"/>
      <c r="C1424" s="11"/>
      <c r="D1424" s="1"/>
      <c r="E1424" s="153"/>
      <c r="F1424" s="153"/>
      <c r="G1424" s="153"/>
      <c r="H1424" s="153"/>
      <c r="I1424" s="169"/>
    </row>
    <row r="1425" spans="2:10" x14ac:dyDescent="0.15">
      <c r="B1425" s="11"/>
      <c r="C1425" s="11"/>
      <c r="D1425" s="1"/>
      <c r="E1425" s="153"/>
      <c r="F1425" s="153"/>
      <c r="G1425" s="153"/>
      <c r="H1425" s="153"/>
      <c r="I1425" s="169"/>
    </row>
    <row r="1426" spans="2:10" x14ac:dyDescent="0.15">
      <c r="B1426" s="11"/>
      <c r="C1426" s="11"/>
      <c r="D1426" s="1"/>
      <c r="E1426" s="153"/>
      <c r="F1426" s="153"/>
      <c r="G1426" s="153"/>
      <c r="H1426" s="153"/>
      <c r="I1426" s="169"/>
    </row>
    <row r="1427" spans="2:10" x14ac:dyDescent="0.15">
      <c r="B1427" s="11"/>
      <c r="C1427" s="11"/>
      <c r="D1427" s="1"/>
      <c r="E1427" s="153"/>
      <c r="F1427" s="153"/>
      <c r="G1427" s="153"/>
      <c r="H1427" s="153"/>
      <c r="I1427" s="169"/>
    </row>
    <row r="1428" spans="2:10" x14ac:dyDescent="0.15">
      <c r="B1428" s="11"/>
      <c r="C1428" s="11"/>
      <c r="D1428" s="1"/>
      <c r="E1428" s="153"/>
      <c r="F1428" s="153"/>
      <c r="G1428" s="153"/>
      <c r="H1428" s="153"/>
      <c r="I1428" s="169"/>
    </row>
    <row r="1429" spans="2:10" x14ac:dyDescent="0.15">
      <c r="B1429" s="11"/>
      <c r="C1429" s="11"/>
      <c r="D1429" s="1"/>
      <c r="E1429" s="153"/>
      <c r="F1429" s="153"/>
      <c r="G1429" s="153"/>
      <c r="H1429" s="153"/>
      <c r="I1429" s="169"/>
    </row>
    <row r="1430" spans="2:10" x14ac:dyDescent="0.15">
      <c r="B1430" s="11"/>
      <c r="C1430" s="11"/>
      <c r="D1430" s="1"/>
      <c r="E1430" s="153"/>
      <c r="F1430" s="153"/>
      <c r="G1430" s="153"/>
      <c r="H1430" s="153"/>
      <c r="I1430" s="169"/>
    </row>
    <row r="1431" spans="2:10" x14ac:dyDescent="0.15">
      <c r="B1431" s="11"/>
      <c r="C1431" s="11"/>
      <c r="D1431" s="1"/>
      <c r="E1431" s="153"/>
      <c r="F1431" s="153"/>
      <c r="G1431" s="153"/>
      <c r="H1431" s="153"/>
      <c r="I1431" s="169"/>
    </row>
    <row r="1432" spans="2:10" x14ac:dyDescent="0.15">
      <c r="B1432" s="11"/>
      <c r="C1432" s="11"/>
      <c r="D1432" s="1"/>
      <c r="E1432" s="153"/>
      <c r="F1432" s="153"/>
      <c r="G1432" s="153"/>
      <c r="H1432" s="153"/>
      <c r="I1432" s="169"/>
    </row>
    <row r="1433" spans="2:10" ht="14" x14ac:dyDescent="0.15">
      <c r="B1433" s="83"/>
      <c r="C1433" s="83"/>
      <c r="D1433" s="84"/>
      <c r="E1433" s="83"/>
      <c r="F1433" s="83"/>
      <c r="G1433" s="103"/>
      <c r="H1433" s="83"/>
      <c r="I1433" s="85"/>
      <c r="J1433" s="85"/>
    </row>
    <row r="1434" spans="2:10" ht="15" thickBot="1" x14ac:dyDescent="0.2">
      <c r="B1434" s="83"/>
      <c r="C1434" s="83"/>
      <c r="D1434" s="84"/>
      <c r="E1434" s="83"/>
      <c r="F1434" s="83"/>
      <c r="G1434" s="103"/>
      <c r="H1434" s="83"/>
      <c r="I1434" s="85"/>
      <c r="J1434" s="85"/>
    </row>
    <row r="1435" spans="2:10" ht="21" customHeight="1" x14ac:dyDescent="0.15">
      <c r="B1435" s="607" t="s">
        <v>1065</v>
      </c>
      <c r="C1435" s="608"/>
      <c r="D1435" s="608"/>
      <c r="E1435" s="608"/>
      <c r="F1435" s="609"/>
      <c r="G1435" s="1"/>
      <c r="H1435" s="638" t="s">
        <v>20</v>
      </c>
      <c r="I1435" s="639"/>
    </row>
    <row r="1436" spans="2:10" ht="16.5" customHeight="1" x14ac:dyDescent="0.15">
      <c r="B1436" s="604" t="s">
        <v>446</v>
      </c>
      <c r="C1436" s="605"/>
      <c r="D1436" s="605"/>
      <c r="E1436" s="605"/>
      <c r="F1436" s="606"/>
      <c r="G1436" s="63"/>
      <c r="H1436" s="640"/>
      <c r="I1436" s="641"/>
    </row>
    <row r="1437" spans="2:10" ht="12.75" customHeight="1" x14ac:dyDescent="0.15">
      <c r="B1437" s="610" t="s">
        <v>447</v>
      </c>
      <c r="C1437" s="611"/>
      <c r="D1437" s="611"/>
      <c r="E1437" s="611"/>
      <c r="F1437" s="612"/>
      <c r="G1437" s="63"/>
      <c r="H1437" s="642"/>
      <c r="I1437" s="643"/>
    </row>
    <row r="1438" spans="2:10" ht="16.5" customHeight="1" thickBot="1" x14ac:dyDescent="0.2">
      <c r="B1438" s="613"/>
      <c r="C1438" s="614"/>
      <c r="D1438" s="614"/>
      <c r="E1438" s="614"/>
      <c r="F1438" s="615"/>
      <c r="G1438" s="1"/>
      <c r="H1438" s="668" t="s">
        <v>947</v>
      </c>
      <c r="I1438" s="669"/>
    </row>
    <row r="1439" spans="2:10" ht="14" thickBot="1" x14ac:dyDescent="0.2">
      <c r="B1439" s="15"/>
      <c r="C1439" s="16"/>
      <c r="D1439" s="1"/>
      <c r="E1439" s="1"/>
      <c r="F1439" s="1"/>
      <c r="G1439" s="1"/>
      <c r="H1439" s="670"/>
      <c r="I1439" s="671"/>
    </row>
    <row r="1440" spans="2:10" ht="12.75" customHeight="1" x14ac:dyDescent="0.15">
      <c r="B1440" s="650" t="s">
        <v>890</v>
      </c>
      <c r="C1440" s="651"/>
      <c r="D1440" s="651"/>
      <c r="E1440" s="651"/>
      <c r="F1440" s="652"/>
      <c r="G1440" s="1"/>
      <c r="H1440" s="670"/>
      <c r="I1440" s="671"/>
    </row>
    <row r="1441" spans="2:9" ht="12.75" customHeight="1" x14ac:dyDescent="0.15">
      <c r="B1441" s="653"/>
      <c r="C1441" s="654"/>
      <c r="D1441" s="654"/>
      <c r="E1441" s="654"/>
      <c r="F1441" s="655"/>
      <c r="H1441" s="670"/>
      <c r="I1441" s="671"/>
    </row>
    <row r="1442" spans="2:9" ht="13.5" customHeight="1" x14ac:dyDescent="0.15">
      <c r="B1442" s="653"/>
      <c r="C1442" s="654"/>
      <c r="D1442" s="654"/>
      <c r="E1442" s="654"/>
      <c r="F1442" s="655"/>
      <c r="G1442" s="11"/>
      <c r="H1442" s="670"/>
      <c r="I1442" s="671"/>
    </row>
    <row r="1443" spans="2:9" ht="21.75" customHeight="1" thickBot="1" x14ac:dyDescent="0.2">
      <c r="B1443" s="656"/>
      <c r="C1443" s="657"/>
      <c r="D1443" s="657"/>
      <c r="E1443" s="657"/>
      <c r="F1443" s="658"/>
      <c r="H1443" s="64" t="s">
        <v>45</v>
      </c>
      <c r="I1443" s="17" t="s">
        <v>5</v>
      </c>
    </row>
    <row r="1444" spans="2:9" x14ac:dyDescent="0.15">
      <c r="B1444" s="18"/>
      <c r="C1444" s="18"/>
      <c r="D1444" s="1"/>
      <c r="E1444" s="18"/>
      <c r="F1444" s="18"/>
      <c r="G1444" s="18"/>
      <c r="H1444" s="18"/>
      <c r="I1444" s="1"/>
    </row>
    <row r="1445" spans="2:9" ht="14" thickBot="1" x14ac:dyDescent="0.2">
      <c r="B1445" s="12" t="s">
        <v>21</v>
      </c>
      <c r="C1445" s="12"/>
      <c r="D1445" s="1"/>
      <c r="E1445" s="1"/>
      <c r="F1445" s="1"/>
      <c r="G1445" s="1"/>
      <c r="H1445" s="1"/>
      <c r="I1445" s="1"/>
    </row>
    <row r="1446" spans="2:9" x14ac:dyDescent="0.15">
      <c r="B1446" s="628" t="s">
        <v>22</v>
      </c>
      <c r="C1446" s="629"/>
      <c r="D1446" s="630"/>
      <c r="E1446" s="205" t="s">
        <v>23</v>
      </c>
      <c r="F1446" s="19" t="s">
        <v>47</v>
      </c>
      <c r="G1446" s="205" t="s">
        <v>24</v>
      </c>
      <c r="H1446" s="204" t="s">
        <v>25</v>
      </c>
      <c r="I1446" s="43"/>
    </row>
    <row r="1447" spans="2:9" x14ac:dyDescent="0.15">
      <c r="B1447" s="631" t="s">
        <v>56</v>
      </c>
      <c r="C1447" s="632"/>
      <c r="D1447" s="633"/>
      <c r="E1447" s="5"/>
      <c r="F1447" s="160"/>
      <c r="G1447" s="58"/>
      <c r="H1447" s="160">
        <f>I1472*0.05</f>
        <v>1466.1091666666669</v>
      </c>
      <c r="I1447" s="44"/>
    </row>
    <row r="1448" spans="2:9" x14ac:dyDescent="0.15">
      <c r="B1448" s="631" t="s">
        <v>883</v>
      </c>
      <c r="C1448" s="632"/>
      <c r="D1448" s="633"/>
      <c r="E1448" s="5"/>
      <c r="F1448" s="316">
        <f>'HERRAMIENTAS Y EQUIPOS'!C24*6</f>
        <v>27000</v>
      </c>
      <c r="G1448" s="20">
        <v>15</v>
      </c>
      <c r="H1448" s="319">
        <f>F1448/G1448</f>
        <v>1800</v>
      </c>
      <c r="I1448" s="94"/>
    </row>
    <row r="1449" spans="2:9" ht="14" thickBot="1" x14ac:dyDescent="0.2">
      <c r="B1449" s="634"/>
      <c r="C1449" s="635"/>
      <c r="D1449" s="636"/>
      <c r="E1449" s="21"/>
      <c r="F1449" s="22"/>
      <c r="G1449" s="23"/>
      <c r="H1449" s="47"/>
      <c r="I1449" s="48"/>
    </row>
    <row r="1450" spans="2:9" ht="14" thickBot="1" x14ac:dyDescent="0.2">
      <c r="B1450" s="1"/>
      <c r="C1450" s="1"/>
      <c r="D1450" s="1"/>
      <c r="E1450" s="1"/>
      <c r="F1450" s="1"/>
      <c r="G1450" s="1"/>
      <c r="H1450" s="37" t="s">
        <v>26</v>
      </c>
      <c r="I1450" s="161">
        <f>SUM(H1447:H1449)</f>
        <v>3266.1091666666671</v>
      </c>
    </row>
    <row r="1451" spans="2:9" ht="14" thickBot="1" x14ac:dyDescent="0.2">
      <c r="B1451" s="12" t="s">
        <v>27</v>
      </c>
      <c r="C1451" s="12"/>
      <c r="D1451" s="1"/>
      <c r="E1451" s="1"/>
      <c r="F1451" s="1"/>
      <c r="G1451" s="1"/>
      <c r="H1451" s="1"/>
      <c r="I1451" s="1"/>
    </row>
    <row r="1452" spans="2:9" x14ac:dyDescent="0.15">
      <c r="B1452" s="628" t="s">
        <v>22</v>
      </c>
      <c r="C1452" s="629"/>
      <c r="D1452" s="630"/>
      <c r="E1452" s="205" t="s">
        <v>28</v>
      </c>
      <c r="F1452" s="205" t="s">
        <v>29</v>
      </c>
      <c r="G1452" s="205" t="s">
        <v>30</v>
      </c>
      <c r="H1452" s="204" t="s">
        <v>25</v>
      </c>
      <c r="I1452" s="43"/>
    </row>
    <row r="1453" spans="2:9" x14ac:dyDescent="0.15">
      <c r="B1453" s="4" t="s">
        <v>427</v>
      </c>
      <c r="C1453" s="24"/>
      <c r="D1453" s="6"/>
      <c r="E1453" s="3" t="s">
        <v>426</v>
      </c>
      <c r="F1453" s="178">
        <f>MATERIALES!F55</f>
        <v>78000</v>
      </c>
      <c r="G1453" s="20">
        <v>1.9979799999999999E-2</v>
      </c>
      <c r="H1453" s="179">
        <f t="shared" ref="H1453" si="3">+F1453*G1453</f>
        <v>1558.4243999999999</v>
      </c>
      <c r="I1453" s="94"/>
    </row>
    <row r="1454" spans="2:9" x14ac:dyDescent="0.15">
      <c r="B1454" s="4" t="s">
        <v>315</v>
      </c>
      <c r="C1454" s="24"/>
      <c r="D1454" s="6"/>
      <c r="E1454" s="3" t="s">
        <v>244</v>
      </c>
      <c r="F1454" s="162">
        <f>MATERIALES!F33</f>
        <v>1800</v>
      </c>
      <c r="G1454" s="65">
        <v>0.2</v>
      </c>
      <c r="H1454" s="163">
        <f>G1454*F1454</f>
        <v>360</v>
      </c>
      <c r="I1454" s="44"/>
    </row>
    <row r="1455" spans="2:9" x14ac:dyDescent="0.15">
      <c r="B1455" s="4" t="s">
        <v>451</v>
      </c>
      <c r="C1455" s="24"/>
      <c r="D1455" s="6"/>
      <c r="E1455" s="3" t="s">
        <v>103</v>
      </c>
      <c r="F1455" s="162">
        <f>MATERIALES!F32</f>
        <v>362400</v>
      </c>
      <c r="G1455" s="65">
        <v>0.02</v>
      </c>
      <c r="H1455" s="163">
        <f>G1455*F1455</f>
        <v>7248</v>
      </c>
      <c r="I1455" s="44"/>
    </row>
    <row r="1456" spans="2:9" x14ac:dyDescent="0.15">
      <c r="B1456" s="4" t="s">
        <v>474</v>
      </c>
      <c r="C1456" s="24"/>
      <c r="D1456" s="6"/>
      <c r="E1456" s="3" t="s">
        <v>58</v>
      </c>
      <c r="F1456" s="162">
        <f>'APU -BASICOS'!H260</f>
        <v>9182</v>
      </c>
      <c r="G1456" s="65">
        <f>3.6*2*0.25</f>
        <v>1.8</v>
      </c>
      <c r="H1456" s="163">
        <f>G1456*F1456</f>
        <v>16527.600000000002</v>
      </c>
      <c r="I1456" s="44"/>
    </row>
    <row r="1457" spans="2:9" x14ac:dyDescent="0.15">
      <c r="B1457" s="4" t="s">
        <v>63</v>
      </c>
      <c r="C1457" s="24"/>
      <c r="D1457" s="6"/>
      <c r="E1457" s="3" t="s">
        <v>6</v>
      </c>
      <c r="F1457" s="162">
        <f>'APU -BASICOS'!H96</f>
        <v>585821</v>
      </c>
      <c r="G1457" s="65">
        <f>1*1*0.1</f>
        <v>0.1</v>
      </c>
      <c r="H1457" s="163">
        <f>G1457*F1457</f>
        <v>58582.100000000006</v>
      </c>
      <c r="I1457" s="44"/>
    </row>
    <row r="1458" spans="2:9" x14ac:dyDescent="0.15">
      <c r="B1458" s="4" t="s">
        <v>547</v>
      </c>
      <c r="C1458" s="24"/>
      <c r="D1458" s="6"/>
      <c r="E1458" s="3" t="s">
        <v>103</v>
      </c>
      <c r="F1458" s="316">
        <f>MATERIALES!C37</f>
        <v>85000</v>
      </c>
      <c r="G1458" s="65">
        <v>1.111E-2</v>
      </c>
      <c r="H1458" s="322">
        <f>G1458*F1458</f>
        <v>944.35</v>
      </c>
      <c r="I1458" s="44"/>
    </row>
    <row r="1459" spans="2:9" ht="14" thickBot="1" x14ac:dyDescent="0.2">
      <c r="B1459" s="25"/>
      <c r="C1459" s="26"/>
      <c r="D1459" s="27"/>
      <c r="E1459" s="21"/>
      <c r="F1459" s="22"/>
      <c r="G1459" s="165"/>
      <c r="H1459" s="47"/>
      <c r="I1459" s="48"/>
    </row>
    <row r="1460" spans="2:9" ht="14" thickBot="1" x14ac:dyDescent="0.2">
      <c r="B1460" s="1"/>
      <c r="C1460" s="1"/>
      <c r="D1460" s="1"/>
      <c r="E1460" s="1"/>
      <c r="F1460" s="1"/>
      <c r="G1460" s="1"/>
      <c r="H1460" s="37" t="s">
        <v>26</v>
      </c>
      <c r="I1460" s="161">
        <f>SUM(H1453:H1459)</f>
        <v>85220.474400000006</v>
      </c>
    </row>
    <row r="1461" spans="2:9" ht="14" thickBot="1" x14ac:dyDescent="0.2">
      <c r="B1461" s="28" t="s">
        <v>31</v>
      </c>
      <c r="C1461" s="28"/>
      <c r="D1461" s="26"/>
      <c r="E1461" s="1"/>
      <c r="F1461" s="1"/>
      <c r="G1461" s="1"/>
      <c r="H1461" s="1"/>
      <c r="I1461" s="1"/>
    </row>
    <row r="1462" spans="2:9" x14ac:dyDescent="0.15">
      <c r="B1462" s="51" t="s">
        <v>32</v>
      </c>
      <c r="C1462" s="52"/>
      <c r="D1462" s="96" t="s">
        <v>33</v>
      </c>
      <c r="E1462" s="205" t="s">
        <v>34</v>
      </c>
      <c r="F1462" s="205" t="s">
        <v>35</v>
      </c>
      <c r="G1462" s="205" t="s">
        <v>36</v>
      </c>
      <c r="H1462" s="59" t="s">
        <v>25</v>
      </c>
      <c r="I1462" s="43"/>
    </row>
    <row r="1463" spans="2:9" x14ac:dyDescent="0.15">
      <c r="B1463" s="4" t="s">
        <v>490</v>
      </c>
      <c r="C1463" s="6"/>
      <c r="D1463" s="60">
        <v>0.1</v>
      </c>
      <c r="E1463" s="2">
        <v>15</v>
      </c>
      <c r="F1463" s="2">
        <f>E1463*D1463</f>
        <v>1.5</v>
      </c>
      <c r="G1463" s="160">
        <v>1100</v>
      </c>
      <c r="H1463" s="55">
        <f>G1463*F1463</f>
        <v>1650</v>
      </c>
      <c r="I1463" s="44"/>
    </row>
    <row r="1464" spans="2:9" x14ac:dyDescent="0.15">
      <c r="B1464" s="106"/>
      <c r="C1464" s="66"/>
      <c r="D1464" s="67"/>
      <c r="E1464" s="68"/>
      <c r="F1464" s="68"/>
      <c r="G1464" s="69"/>
      <c r="H1464" s="65"/>
      <c r="I1464" s="44"/>
    </row>
    <row r="1465" spans="2:9" ht="14" thickBot="1" x14ac:dyDescent="0.2">
      <c r="B1465" s="33"/>
      <c r="C1465" s="54"/>
      <c r="D1465" s="21"/>
      <c r="E1465" s="22"/>
      <c r="F1465" s="23"/>
      <c r="G1465" s="47"/>
      <c r="H1465" s="21"/>
      <c r="I1465" s="48"/>
    </row>
    <row r="1466" spans="2:9" ht="14" thickBot="1" x14ac:dyDescent="0.2">
      <c r="B1466" s="1"/>
      <c r="C1466" s="1"/>
      <c r="D1466" s="1"/>
      <c r="E1466" s="1"/>
      <c r="F1466" s="1"/>
      <c r="G1466" s="1"/>
      <c r="H1466" s="37" t="s">
        <v>26</v>
      </c>
      <c r="I1466" s="161">
        <f>SUM(H1463:H1465)</f>
        <v>1650</v>
      </c>
    </row>
    <row r="1467" spans="2:9" ht="14" thickBot="1" x14ac:dyDescent="0.2">
      <c r="B1467" s="28" t="s">
        <v>37</v>
      </c>
      <c r="C1467" s="28"/>
      <c r="D1467" s="1"/>
      <c r="E1467" s="1"/>
      <c r="F1467" s="1"/>
      <c r="G1467" s="1"/>
      <c r="H1467" s="1"/>
      <c r="I1467" s="1"/>
    </row>
    <row r="1468" spans="2:9" x14ac:dyDescent="0.15">
      <c r="B1468" s="51" t="s">
        <v>38</v>
      </c>
      <c r="C1468" s="86"/>
      <c r="D1468" s="31" t="s">
        <v>39</v>
      </c>
      <c r="E1468" s="205" t="s">
        <v>40</v>
      </c>
      <c r="F1468" s="19" t="s">
        <v>41</v>
      </c>
      <c r="G1468" s="31" t="s">
        <v>24</v>
      </c>
      <c r="H1468" s="204" t="s">
        <v>25</v>
      </c>
      <c r="I1468" s="43"/>
    </row>
    <row r="1469" spans="2:9" x14ac:dyDescent="0.15">
      <c r="B1469" s="4" t="s">
        <v>65</v>
      </c>
      <c r="C1469" s="24"/>
      <c r="D1469" s="32">
        <f>'MANO DE OBRA'!E15</f>
        <v>95333</v>
      </c>
      <c r="E1469" s="88">
        <v>1.75</v>
      </c>
      <c r="F1469" s="162">
        <f>+E1469*D1469</f>
        <v>166832.75</v>
      </c>
      <c r="G1469" s="79">
        <v>15</v>
      </c>
      <c r="H1469" s="167">
        <f>+F1469/G1469</f>
        <v>11122.183333333332</v>
      </c>
      <c r="I1469" s="44"/>
    </row>
    <row r="1470" spans="2:9" x14ac:dyDescent="0.15">
      <c r="B1470" s="4" t="s">
        <v>64</v>
      </c>
      <c r="C1470" s="24"/>
      <c r="D1470" s="32">
        <f>'MANO DE OBRA'!E14*3</f>
        <v>156000</v>
      </c>
      <c r="E1470" s="88">
        <v>1.75</v>
      </c>
      <c r="F1470" s="162">
        <f>+E1470*D1470</f>
        <v>273000</v>
      </c>
      <c r="G1470" s="79">
        <v>15</v>
      </c>
      <c r="H1470" s="167">
        <f>+F1470/G1470</f>
        <v>18200</v>
      </c>
      <c r="I1470" s="44"/>
    </row>
    <row r="1471" spans="2:9" ht="14" thickBot="1" x14ac:dyDescent="0.2">
      <c r="B1471" s="33"/>
      <c r="C1471" s="34"/>
      <c r="D1471" s="22"/>
      <c r="E1471" s="21"/>
      <c r="F1471" s="22"/>
      <c r="G1471" s="23"/>
      <c r="H1471" s="47"/>
      <c r="I1471" s="48"/>
    </row>
    <row r="1472" spans="2:9" ht="14" thickBot="1" x14ac:dyDescent="0.2">
      <c r="B1472" s="1"/>
      <c r="C1472" s="1"/>
      <c r="D1472" s="1"/>
      <c r="E1472" s="1"/>
      <c r="F1472" s="1"/>
      <c r="G1472" s="1"/>
      <c r="H1472" s="37" t="s">
        <v>26</v>
      </c>
      <c r="I1472" s="175">
        <f>SUM(H1469:H1471)</f>
        <v>29322.183333333334</v>
      </c>
    </row>
    <row r="1473" spans="2:11" ht="14" thickBot="1" x14ac:dyDescent="0.2">
      <c r="B1473" s="1"/>
      <c r="C1473" s="1"/>
      <c r="D1473" s="1"/>
      <c r="E1473" s="1"/>
      <c r="F1473" s="1"/>
      <c r="G1473" s="1"/>
      <c r="H1473" s="61"/>
      <c r="I1473" s="1"/>
    </row>
    <row r="1474" spans="2:11" ht="15" thickBot="1" x14ac:dyDescent="0.2">
      <c r="B1474" s="1"/>
      <c r="C1474" s="1"/>
      <c r="D1474" s="1"/>
      <c r="E1474" s="1"/>
      <c r="F1474" s="35" t="s">
        <v>43</v>
      </c>
      <c r="G1474" s="16"/>
      <c r="H1474" s="16"/>
      <c r="I1474" s="222">
        <f>ROUND((I1450+I1460+I1466+I1472),0)</f>
        <v>119459</v>
      </c>
    </row>
    <row r="1475" spans="2:11" x14ac:dyDescent="0.15">
      <c r="B1475" s="12"/>
      <c r="C1475" s="12"/>
      <c r="D1475" s="1"/>
      <c r="E1475" s="1"/>
      <c r="F1475" s="1"/>
      <c r="G1475" s="1"/>
      <c r="H1475" s="170"/>
      <c r="I1475" s="170"/>
    </row>
    <row r="1476" spans="2:11" x14ac:dyDescent="0.15">
      <c r="B1476" s="16"/>
      <c r="C1476" s="16"/>
      <c r="D1476" s="16"/>
      <c r="E1476" s="16"/>
      <c r="F1476" s="16"/>
      <c r="G1476" s="61"/>
      <c r="H1476" s="171"/>
      <c r="I1476" s="170"/>
    </row>
    <row r="1477" spans="2:11" x14ac:dyDescent="0.15">
      <c r="B1477" s="1"/>
      <c r="C1477" s="1"/>
      <c r="D1477" s="1"/>
      <c r="E1477" s="1"/>
      <c r="F1477" s="1"/>
      <c r="G1477" s="159"/>
      <c r="H1477" s="170"/>
      <c r="I1477" s="170"/>
      <c r="K1477" s="105"/>
    </row>
    <row r="1478" spans="2:11" x14ac:dyDescent="0.15">
      <c r="B1478" s="1"/>
      <c r="C1478" s="1"/>
      <c r="D1478" s="1"/>
      <c r="E1478" s="1"/>
      <c r="F1478" s="1"/>
      <c r="G1478" s="159"/>
      <c r="H1478" s="170"/>
      <c r="I1478" s="170"/>
    </row>
    <row r="1479" spans="2:11" x14ac:dyDescent="0.15">
      <c r="B1479" s="1"/>
      <c r="C1479" s="1"/>
      <c r="D1479" s="1"/>
      <c r="E1479" s="1"/>
      <c r="F1479" s="1"/>
      <c r="G1479" s="159"/>
      <c r="H1479" s="170"/>
      <c r="I1479" s="170"/>
    </row>
    <row r="1480" spans="2:11" x14ac:dyDescent="0.15">
      <c r="B1480" s="1"/>
      <c r="C1480" s="1"/>
      <c r="D1480" s="1"/>
      <c r="E1480" s="1"/>
      <c r="F1480" s="1"/>
      <c r="G1480" s="1"/>
      <c r="H1480" s="37"/>
      <c r="I1480" s="170"/>
    </row>
    <row r="1481" spans="2:11" ht="14" x14ac:dyDescent="0.15">
      <c r="B1481" s="101"/>
      <c r="C1481" s="1"/>
      <c r="D1481" s="1"/>
      <c r="E1481" s="1"/>
      <c r="F1481" s="1"/>
      <c r="G1481" s="1"/>
      <c r="H1481" s="1"/>
      <c r="I1481" s="170"/>
    </row>
    <row r="1482" spans="2:11" ht="14" x14ac:dyDescent="0.15">
      <c r="B1482" s="83"/>
      <c r="C1482" s="11"/>
      <c r="D1482" s="1"/>
      <c r="E1482" s="637"/>
      <c r="F1482" s="637"/>
      <c r="G1482" s="637"/>
      <c r="H1482" s="637"/>
      <c r="I1482" s="169"/>
    </row>
    <row r="1483" spans="2:11" ht="14" x14ac:dyDescent="0.15">
      <c r="B1483" s="83"/>
      <c r="C1483" s="11"/>
      <c r="D1483" s="1"/>
      <c r="E1483" s="153"/>
      <c r="F1483" s="153"/>
      <c r="G1483" s="153"/>
      <c r="H1483" s="153"/>
      <c r="I1483" s="169"/>
    </row>
    <row r="1484" spans="2:11" ht="14" x14ac:dyDescent="0.15">
      <c r="B1484" s="83"/>
      <c r="C1484" s="11"/>
      <c r="D1484" s="1"/>
      <c r="E1484" s="153"/>
      <c r="F1484" s="153"/>
      <c r="G1484" s="153"/>
      <c r="H1484" s="153"/>
      <c r="I1484" s="169"/>
    </row>
    <row r="1485" spans="2:11" ht="14" x14ac:dyDescent="0.15">
      <c r="B1485" s="83"/>
      <c r="C1485" s="11"/>
      <c r="D1485" s="1"/>
      <c r="E1485" s="153"/>
      <c r="F1485" s="153"/>
      <c r="G1485" s="153"/>
      <c r="H1485" s="153"/>
      <c r="I1485" s="169"/>
    </row>
    <row r="1486" spans="2:11" ht="14" x14ac:dyDescent="0.15">
      <c r="B1486" s="83"/>
      <c r="C1486" s="11"/>
      <c r="D1486" s="1"/>
      <c r="E1486" s="153"/>
      <c r="F1486" s="153"/>
      <c r="G1486" s="153"/>
      <c r="H1486" s="153"/>
      <c r="I1486" s="169"/>
    </row>
    <row r="1487" spans="2:11" ht="14" x14ac:dyDescent="0.15">
      <c r="B1487" s="83"/>
      <c r="C1487" s="11"/>
      <c r="D1487" s="1"/>
      <c r="E1487" s="153"/>
      <c r="F1487" s="153"/>
      <c r="G1487" s="153"/>
      <c r="H1487" s="153"/>
      <c r="I1487" s="169"/>
    </row>
    <row r="1488" spans="2:11" x14ac:dyDescent="0.15">
      <c r="B1488" s="11"/>
      <c r="C1488" s="11"/>
      <c r="D1488" s="1"/>
      <c r="E1488" s="153"/>
      <c r="F1488" s="153"/>
      <c r="G1488" s="153"/>
      <c r="H1488" s="153"/>
      <c r="I1488" s="169"/>
    </row>
    <row r="1489" spans="2:9" x14ac:dyDescent="0.15">
      <c r="B1489" s="11"/>
      <c r="C1489" s="11"/>
      <c r="D1489" s="1"/>
      <c r="E1489" s="153"/>
      <c r="F1489" s="153"/>
      <c r="G1489" s="153"/>
      <c r="H1489" s="153"/>
      <c r="I1489" s="169"/>
    </row>
    <row r="1490" spans="2:9" x14ac:dyDescent="0.15">
      <c r="B1490" s="11"/>
      <c r="C1490" s="11"/>
      <c r="D1490" s="1"/>
      <c r="E1490" s="153"/>
      <c r="F1490" s="153"/>
      <c r="G1490" s="153"/>
      <c r="H1490" s="153"/>
      <c r="I1490" s="169"/>
    </row>
    <row r="1491" spans="2:9" x14ac:dyDescent="0.15">
      <c r="B1491" s="11"/>
      <c r="C1491" s="11"/>
      <c r="D1491" s="1"/>
      <c r="E1491" s="153"/>
      <c r="F1491" s="153"/>
      <c r="G1491" s="153"/>
      <c r="H1491" s="153"/>
      <c r="I1491" s="169"/>
    </row>
    <row r="1492" spans="2:9" x14ac:dyDescent="0.15">
      <c r="B1492" s="11"/>
      <c r="C1492" s="11"/>
      <c r="D1492" s="1"/>
      <c r="E1492" s="153"/>
      <c r="F1492" s="153"/>
      <c r="G1492" s="153"/>
      <c r="H1492" s="153"/>
      <c r="I1492" s="169"/>
    </row>
    <row r="1493" spans="2:9" x14ac:dyDescent="0.15">
      <c r="B1493" s="11"/>
      <c r="C1493" s="11"/>
      <c r="D1493" s="1"/>
      <c r="E1493" s="153"/>
      <c r="F1493" s="153"/>
      <c r="G1493" s="153"/>
      <c r="H1493" s="153"/>
      <c r="I1493" s="169"/>
    </row>
    <row r="1494" spans="2:9" x14ac:dyDescent="0.15">
      <c r="B1494" s="11"/>
      <c r="C1494" s="11"/>
      <c r="D1494" s="11"/>
      <c r="E1494" s="11"/>
      <c r="F1494" s="11"/>
      <c r="G1494" s="11"/>
      <c r="H1494" s="11"/>
      <c r="I1494" s="11"/>
    </row>
    <row r="1495" spans="2:9" ht="14" thickBot="1" x14ac:dyDescent="0.2">
      <c r="B1495" s="11"/>
      <c r="C1495" s="11"/>
      <c r="D1495" s="11"/>
      <c r="E1495" s="11"/>
      <c r="F1495" s="11"/>
      <c r="G1495" s="11"/>
      <c r="H1495" s="11"/>
      <c r="I1495" s="11"/>
    </row>
    <row r="1496" spans="2:9" ht="21" customHeight="1" x14ac:dyDescent="0.15">
      <c r="B1496" s="607" t="s">
        <v>1065</v>
      </c>
      <c r="C1496" s="608"/>
      <c r="D1496" s="608"/>
      <c r="E1496" s="608"/>
      <c r="F1496" s="609"/>
      <c r="G1496" s="1"/>
      <c r="H1496" s="638" t="s">
        <v>20</v>
      </c>
      <c r="I1496" s="639"/>
    </row>
    <row r="1497" spans="2:9" ht="16.5" customHeight="1" x14ac:dyDescent="0.15">
      <c r="B1497" s="604" t="s">
        <v>446</v>
      </c>
      <c r="C1497" s="605"/>
      <c r="D1497" s="605"/>
      <c r="E1497" s="605"/>
      <c r="F1497" s="606"/>
      <c r="G1497" s="63"/>
      <c r="H1497" s="640"/>
      <c r="I1497" s="641"/>
    </row>
    <row r="1498" spans="2:9" ht="12.75" customHeight="1" x14ac:dyDescent="0.15">
      <c r="B1498" s="610" t="s">
        <v>447</v>
      </c>
      <c r="C1498" s="611"/>
      <c r="D1498" s="611"/>
      <c r="E1498" s="611"/>
      <c r="F1498" s="612"/>
      <c r="G1498" s="63"/>
      <c r="H1498" s="642"/>
      <c r="I1498" s="643"/>
    </row>
    <row r="1499" spans="2:9" ht="16.5" customHeight="1" thickBot="1" x14ac:dyDescent="0.2">
      <c r="B1499" s="613"/>
      <c r="C1499" s="614"/>
      <c r="D1499" s="614"/>
      <c r="E1499" s="614"/>
      <c r="F1499" s="615"/>
      <c r="G1499" s="1"/>
      <c r="H1499" s="662" t="s">
        <v>948</v>
      </c>
      <c r="I1499" s="663"/>
    </row>
    <row r="1500" spans="2:9" ht="14" thickBot="1" x14ac:dyDescent="0.2">
      <c r="B1500" s="15"/>
      <c r="C1500" s="16"/>
      <c r="D1500" s="1"/>
      <c r="E1500" s="1"/>
      <c r="F1500" s="1"/>
      <c r="G1500" s="1"/>
      <c r="H1500" s="664"/>
      <c r="I1500" s="665"/>
    </row>
    <row r="1501" spans="2:9" ht="12.75" customHeight="1" x14ac:dyDescent="0.15">
      <c r="B1501" s="650" t="s">
        <v>890</v>
      </c>
      <c r="C1501" s="651"/>
      <c r="D1501" s="651"/>
      <c r="E1501" s="651"/>
      <c r="F1501" s="652"/>
      <c r="G1501" s="1"/>
      <c r="H1501" s="664"/>
      <c r="I1501" s="665"/>
    </row>
    <row r="1502" spans="2:9" ht="12.75" customHeight="1" x14ac:dyDescent="0.15">
      <c r="B1502" s="653"/>
      <c r="C1502" s="654"/>
      <c r="D1502" s="654"/>
      <c r="E1502" s="654"/>
      <c r="F1502" s="655"/>
      <c r="H1502" s="664"/>
      <c r="I1502" s="665"/>
    </row>
    <row r="1503" spans="2:9" ht="13.5" customHeight="1" x14ac:dyDescent="0.15">
      <c r="B1503" s="653"/>
      <c r="C1503" s="654"/>
      <c r="D1503" s="654"/>
      <c r="E1503" s="654"/>
      <c r="F1503" s="655"/>
      <c r="G1503" s="11"/>
      <c r="H1503" s="666"/>
      <c r="I1503" s="667"/>
    </row>
    <row r="1504" spans="2:9" ht="21.75" customHeight="1" thickBot="1" x14ac:dyDescent="0.2">
      <c r="B1504" s="656"/>
      <c r="C1504" s="657"/>
      <c r="D1504" s="657"/>
      <c r="E1504" s="657"/>
      <c r="F1504" s="658"/>
      <c r="H1504" s="64" t="s">
        <v>45</v>
      </c>
      <c r="I1504" s="17" t="s">
        <v>5</v>
      </c>
    </row>
    <row r="1505" spans="2:9" x14ac:dyDescent="0.15">
      <c r="B1505" s="18"/>
      <c r="C1505" s="18"/>
      <c r="D1505" s="1"/>
      <c r="E1505" s="18"/>
      <c r="F1505" s="18"/>
      <c r="G1505" s="18"/>
      <c r="H1505" s="18"/>
      <c r="I1505" s="1"/>
    </row>
    <row r="1506" spans="2:9" ht="14" thickBot="1" x14ac:dyDescent="0.2">
      <c r="B1506" s="12" t="s">
        <v>21</v>
      </c>
      <c r="C1506" s="12"/>
      <c r="D1506" s="1"/>
      <c r="E1506" s="1"/>
      <c r="F1506" s="1"/>
      <c r="G1506" s="1"/>
      <c r="H1506" s="1"/>
      <c r="I1506" s="1"/>
    </row>
    <row r="1507" spans="2:9" x14ac:dyDescent="0.15">
      <c r="B1507" s="628" t="s">
        <v>22</v>
      </c>
      <c r="C1507" s="629"/>
      <c r="D1507" s="630"/>
      <c r="E1507" s="205" t="s">
        <v>23</v>
      </c>
      <c r="F1507" s="19" t="s">
        <v>47</v>
      </c>
      <c r="G1507" s="205" t="s">
        <v>24</v>
      </c>
      <c r="H1507" s="204" t="s">
        <v>25</v>
      </c>
      <c r="I1507" s="43"/>
    </row>
    <row r="1508" spans="2:9" x14ac:dyDescent="0.15">
      <c r="B1508" s="631" t="s">
        <v>56</v>
      </c>
      <c r="C1508" s="632"/>
      <c r="D1508" s="633"/>
      <c r="E1508" s="5"/>
      <c r="F1508" s="160"/>
      <c r="G1508" s="58"/>
      <c r="H1508" s="160">
        <f>I1528*0.05</f>
        <v>1453.4697916666667</v>
      </c>
      <c r="I1508" s="44"/>
    </row>
    <row r="1509" spans="2:9" ht="14" thickBot="1" x14ac:dyDescent="0.2">
      <c r="B1509" s="634"/>
      <c r="C1509" s="635"/>
      <c r="D1509" s="636"/>
      <c r="E1509" s="21"/>
      <c r="F1509" s="22"/>
      <c r="G1509" s="23"/>
      <c r="H1509" s="47"/>
      <c r="I1509" s="48"/>
    </row>
    <row r="1510" spans="2:9" ht="14" thickBot="1" x14ac:dyDescent="0.2">
      <c r="B1510" s="1"/>
      <c r="C1510" s="1"/>
      <c r="D1510" s="1"/>
      <c r="E1510" s="1"/>
      <c r="F1510" s="1"/>
      <c r="G1510" s="1"/>
      <c r="H1510" s="37" t="s">
        <v>26</v>
      </c>
      <c r="I1510" s="161">
        <f>SUM(H1508:H1509)</f>
        <v>1453.4697916666667</v>
      </c>
    </row>
    <row r="1511" spans="2:9" ht="14" thickBot="1" x14ac:dyDescent="0.2">
      <c r="B1511" s="12" t="s">
        <v>27</v>
      </c>
      <c r="C1511" s="12"/>
      <c r="D1511" s="1"/>
      <c r="E1511" s="1"/>
      <c r="F1511" s="1"/>
      <c r="G1511" s="1"/>
      <c r="H1511" s="1"/>
      <c r="I1511" s="1"/>
    </row>
    <row r="1512" spans="2:9" x14ac:dyDescent="0.15">
      <c r="B1512" s="628" t="s">
        <v>22</v>
      </c>
      <c r="C1512" s="629"/>
      <c r="D1512" s="630"/>
      <c r="E1512" s="205" t="s">
        <v>28</v>
      </c>
      <c r="F1512" s="205" t="s">
        <v>29</v>
      </c>
      <c r="G1512" s="205" t="s">
        <v>30</v>
      </c>
      <c r="H1512" s="204" t="s">
        <v>25</v>
      </c>
      <c r="I1512" s="43"/>
    </row>
    <row r="1513" spans="2:9" x14ac:dyDescent="0.15">
      <c r="B1513" s="4" t="s">
        <v>488</v>
      </c>
      <c r="C1513" s="24"/>
      <c r="D1513" s="6"/>
      <c r="E1513" s="3" t="s">
        <v>316</v>
      </c>
      <c r="F1513" s="164">
        <f>MATERIALES!C39</f>
        <v>3105</v>
      </c>
      <c r="G1513" s="73">
        <v>12.5</v>
      </c>
      <c r="H1513" s="163">
        <f>G1513*F1513</f>
        <v>38812.5</v>
      </c>
      <c r="I1513" s="44"/>
    </row>
    <row r="1514" spans="2:9" x14ac:dyDescent="0.15">
      <c r="B1514" s="4" t="s">
        <v>68</v>
      </c>
      <c r="C1514" s="24"/>
      <c r="D1514" s="6"/>
      <c r="E1514" s="3" t="s">
        <v>6</v>
      </c>
      <c r="F1514" s="164">
        <f>'APU -BASICOS'!H153</f>
        <v>669587</v>
      </c>
      <c r="G1514" s="99">
        <v>1.4999999999999999E-2</v>
      </c>
      <c r="H1514" s="163">
        <f>G1514*F1514</f>
        <v>10043.805</v>
      </c>
      <c r="I1514" s="44"/>
    </row>
    <row r="1515" spans="2:9" x14ac:dyDescent="0.15">
      <c r="B1515" s="4" t="s">
        <v>63</v>
      </c>
      <c r="C1515" s="24"/>
      <c r="D1515" s="6"/>
      <c r="E1515" s="3" t="s">
        <v>6</v>
      </c>
      <c r="F1515" s="164">
        <f>'APU -BASICOS'!H96</f>
        <v>585821</v>
      </c>
      <c r="G1515" s="99">
        <v>0.06</v>
      </c>
      <c r="H1515" s="163">
        <f>G1515*F1515</f>
        <v>35149.26</v>
      </c>
      <c r="I1515" s="44"/>
    </row>
    <row r="1516" spans="2:9" ht="14" thickBot="1" x14ac:dyDescent="0.2">
      <c r="B1516" s="25"/>
      <c r="C1516" s="26"/>
      <c r="D1516" s="27"/>
      <c r="E1516" s="21"/>
      <c r="F1516" s="22"/>
      <c r="G1516" s="165"/>
      <c r="H1516" s="47"/>
      <c r="I1516" s="48"/>
    </row>
    <row r="1517" spans="2:9" ht="14" thickBot="1" x14ac:dyDescent="0.2">
      <c r="B1517" s="1"/>
      <c r="C1517" s="1"/>
      <c r="D1517" s="1"/>
      <c r="E1517" s="1"/>
      <c r="F1517" s="1"/>
      <c r="G1517" s="1"/>
      <c r="H1517" s="37" t="s">
        <v>26</v>
      </c>
      <c r="I1517" s="161">
        <f>SUM(H1513:H1515)</f>
        <v>84005.565000000002</v>
      </c>
    </row>
    <row r="1518" spans="2:9" ht="14" thickBot="1" x14ac:dyDescent="0.2">
      <c r="B1518" s="28" t="s">
        <v>31</v>
      </c>
      <c r="C1518" s="28"/>
      <c r="D1518" s="26"/>
      <c r="E1518" s="1"/>
      <c r="F1518" s="1"/>
      <c r="G1518" s="1"/>
      <c r="H1518" s="1"/>
      <c r="I1518" s="1"/>
    </row>
    <row r="1519" spans="2:9" x14ac:dyDescent="0.15">
      <c r="B1519" s="51" t="s">
        <v>32</v>
      </c>
      <c r="C1519" s="52"/>
      <c r="D1519" s="96" t="s">
        <v>33</v>
      </c>
      <c r="E1519" s="205" t="s">
        <v>34</v>
      </c>
      <c r="F1519" s="205" t="s">
        <v>35</v>
      </c>
      <c r="G1519" s="205" t="s">
        <v>36</v>
      </c>
      <c r="H1519" s="59" t="s">
        <v>25</v>
      </c>
      <c r="I1519" s="43"/>
    </row>
    <row r="1520" spans="2:9" x14ac:dyDescent="0.15">
      <c r="B1520" s="4" t="s">
        <v>489</v>
      </c>
      <c r="C1520" s="6"/>
      <c r="D1520" s="53">
        <f>1*0.9*0.15</f>
        <v>0.13500000000000001</v>
      </c>
      <c r="E1520" s="2">
        <v>15</v>
      </c>
      <c r="F1520" s="2">
        <f>E1520*D1520</f>
        <v>2.0250000000000004</v>
      </c>
      <c r="G1520" s="160">
        <v>1100</v>
      </c>
      <c r="H1520" s="20">
        <f>G1520*F1520</f>
        <v>2227.5000000000005</v>
      </c>
      <c r="I1520" s="44"/>
    </row>
    <row r="1521" spans="2:9" ht="14" thickBot="1" x14ac:dyDescent="0.2">
      <c r="B1521" s="33"/>
      <c r="C1521" s="54"/>
      <c r="D1521" s="21"/>
      <c r="E1521" s="22"/>
      <c r="F1521" s="23"/>
      <c r="G1521" s="47"/>
      <c r="H1521" s="21"/>
      <c r="I1521" s="48"/>
    </row>
    <row r="1522" spans="2:9" ht="14" thickBot="1" x14ac:dyDescent="0.2">
      <c r="B1522" s="1"/>
      <c r="C1522" s="1"/>
      <c r="D1522" s="1"/>
      <c r="E1522" s="1"/>
      <c r="F1522" s="1"/>
      <c r="G1522" s="1"/>
      <c r="H1522" s="37" t="s">
        <v>26</v>
      </c>
      <c r="I1522" s="161">
        <f>SUM(H1520:H1521)</f>
        <v>2227.5000000000005</v>
      </c>
    </row>
    <row r="1523" spans="2:9" ht="14" thickBot="1" x14ac:dyDescent="0.2">
      <c r="B1523" s="28" t="s">
        <v>37</v>
      </c>
      <c r="C1523" s="28"/>
      <c r="D1523" s="1"/>
      <c r="E1523" s="1"/>
      <c r="F1523" s="1"/>
      <c r="G1523" s="1"/>
      <c r="H1523" s="1"/>
      <c r="I1523" s="1"/>
    </row>
    <row r="1524" spans="2:9" x14ac:dyDescent="0.15">
      <c r="B1524" s="51" t="s">
        <v>38</v>
      </c>
      <c r="C1524" s="86"/>
      <c r="D1524" s="31" t="s">
        <v>39</v>
      </c>
      <c r="E1524" s="205" t="s">
        <v>40</v>
      </c>
      <c r="F1524" s="19" t="s">
        <v>41</v>
      </c>
      <c r="G1524" s="31" t="s">
        <v>24</v>
      </c>
      <c r="H1524" s="204" t="s">
        <v>25</v>
      </c>
      <c r="I1524" s="43"/>
    </row>
    <row r="1525" spans="2:9" x14ac:dyDescent="0.15">
      <c r="B1525" s="4" t="s">
        <v>65</v>
      </c>
      <c r="C1525" s="24"/>
      <c r="D1525" s="32">
        <f>'MANO DE OBRA'!E15</f>
        <v>95333</v>
      </c>
      <c r="E1525" s="88">
        <v>1.75</v>
      </c>
      <c r="F1525" s="162">
        <f>+E1525*D1525</f>
        <v>166832.75</v>
      </c>
      <c r="G1525" s="20">
        <v>12</v>
      </c>
      <c r="H1525" s="167">
        <f>+F1525/G1525</f>
        <v>13902.729166666666</v>
      </c>
      <c r="I1525" s="44"/>
    </row>
    <row r="1526" spans="2:9" x14ac:dyDescent="0.15">
      <c r="B1526" s="4" t="s">
        <v>55</v>
      </c>
      <c r="C1526" s="24"/>
      <c r="D1526" s="32">
        <f>'MANO DE OBRA'!E14*2</f>
        <v>104000</v>
      </c>
      <c r="E1526" s="88">
        <v>1.75</v>
      </c>
      <c r="F1526" s="162">
        <f>+E1526*D1526</f>
        <v>182000</v>
      </c>
      <c r="G1526" s="20">
        <v>12</v>
      </c>
      <c r="H1526" s="167">
        <f>+F1526/G1526</f>
        <v>15166.666666666666</v>
      </c>
      <c r="I1526" s="44"/>
    </row>
    <row r="1527" spans="2:9" ht="14" thickBot="1" x14ac:dyDescent="0.2">
      <c r="B1527" s="33"/>
      <c r="C1527" s="34"/>
      <c r="D1527" s="22"/>
      <c r="E1527" s="21"/>
      <c r="F1527" s="22"/>
      <c r="G1527" s="23"/>
      <c r="H1527" s="47"/>
      <c r="I1527" s="48"/>
    </row>
    <row r="1528" spans="2:9" ht="14" thickBot="1" x14ac:dyDescent="0.2">
      <c r="B1528" s="1"/>
      <c r="C1528" s="1"/>
      <c r="D1528" s="1"/>
      <c r="E1528" s="1"/>
      <c r="F1528" s="1"/>
      <c r="G1528" s="1"/>
      <c r="H1528" s="37" t="s">
        <v>26</v>
      </c>
      <c r="I1528" s="175">
        <f>SUM(H1525:H1526)</f>
        <v>29069.395833333332</v>
      </c>
    </row>
    <row r="1529" spans="2:9" ht="14" thickBot="1" x14ac:dyDescent="0.2">
      <c r="B1529" s="1"/>
      <c r="C1529" s="1"/>
      <c r="D1529" s="1"/>
      <c r="E1529" s="1"/>
      <c r="F1529" s="1"/>
      <c r="G1529" s="1"/>
      <c r="H1529" s="61"/>
      <c r="I1529" s="1"/>
    </row>
    <row r="1530" spans="2:9" ht="15" thickBot="1" x14ac:dyDescent="0.2">
      <c r="B1530" s="1"/>
      <c r="C1530" s="1"/>
      <c r="D1530" s="1"/>
      <c r="E1530" s="1"/>
      <c r="F1530" s="35" t="s">
        <v>43</v>
      </c>
      <c r="G1530" s="16"/>
      <c r="H1530" s="16"/>
      <c r="I1530" s="222">
        <f>ROUND((I1510+I1517+I1522+I1528),0)</f>
        <v>116756</v>
      </c>
    </row>
    <row r="1531" spans="2:9" x14ac:dyDescent="0.15">
      <c r="B1531" s="12"/>
      <c r="C1531" s="12"/>
      <c r="D1531" s="1"/>
      <c r="E1531" s="1"/>
      <c r="F1531" s="1"/>
      <c r="G1531" s="1"/>
      <c r="H1531" s="170"/>
      <c r="I1531" s="170"/>
    </row>
    <row r="1532" spans="2:9" x14ac:dyDescent="0.15">
      <c r="B1532" s="16"/>
      <c r="C1532" s="16"/>
      <c r="D1532" s="16"/>
      <c r="E1532" s="16"/>
      <c r="F1532" s="16"/>
      <c r="G1532" s="61"/>
      <c r="H1532" s="171"/>
      <c r="I1532" s="170"/>
    </row>
    <row r="1533" spans="2:9" x14ac:dyDescent="0.15">
      <c r="B1533" s="1"/>
      <c r="C1533" s="1"/>
      <c r="D1533" s="1"/>
      <c r="E1533" s="1"/>
      <c r="F1533" s="1"/>
      <c r="G1533" s="159"/>
      <c r="H1533" s="170"/>
      <c r="I1533" s="170"/>
    </row>
    <row r="1534" spans="2:9" x14ac:dyDescent="0.15">
      <c r="B1534" s="1"/>
      <c r="C1534" s="1"/>
      <c r="D1534" s="1"/>
      <c r="E1534" s="1"/>
      <c r="F1534" s="1"/>
      <c r="G1534" s="159"/>
      <c r="H1534" s="170"/>
      <c r="I1534" s="170"/>
    </row>
    <row r="1535" spans="2:9" x14ac:dyDescent="0.15">
      <c r="B1535" s="1"/>
      <c r="C1535" s="1"/>
      <c r="D1535" s="1"/>
      <c r="E1535" s="1"/>
      <c r="F1535" s="1"/>
      <c r="G1535" s="159"/>
      <c r="H1535" s="170"/>
      <c r="I1535" s="170"/>
    </row>
    <row r="1536" spans="2:9" x14ac:dyDescent="0.15">
      <c r="B1536" s="1"/>
      <c r="C1536" s="1"/>
      <c r="D1536" s="1"/>
      <c r="E1536" s="1"/>
      <c r="F1536" s="1"/>
      <c r="G1536" s="1"/>
      <c r="H1536" s="37"/>
      <c r="I1536" s="170"/>
    </row>
    <row r="1537" spans="2:9" ht="14" x14ac:dyDescent="0.15">
      <c r="B1537" s="101"/>
      <c r="C1537" s="1"/>
      <c r="D1537" s="1"/>
      <c r="E1537" s="1"/>
      <c r="F1537" s="1"/>
      <c r="G1537" s="1"/>
      <c r="H1537" s="1"/>
      <c r="I1537" s="170"/>
    </row>
    <row r="1538" spans="2:9" ht="14" x14ac:dyDescent="0.15">
      <c r="B1538" s="83"/>
      <c r="C1538" s="11"/>
      <c r="D1538" s="1"/>
      <c r="E1538" s="637"/>
      <c r="F1538" s="637"/>
      <c r="G1538" s="637"/>
      <c r="H1538" s="637"/>
      <c r="I1538" s="169"/>
    </row>
    <row r="1539" spans="2:9" ht="14" x14ac:dyDescent="0.15">
      <c r="B1539" s="101"/>
      <c r="C1539" s="11"/>
      <c r="D1539" s="1"/>
      <c r="E1539" s="153"/>
      <c r="F1539" s="153"/>
      <c r="G1539" s="153"/>
      <c r="H1539" s="153"/>
      <c r="I1539" s="169"/>
    </row>
    <row r="1540" spans="2:9" ht="14" x14ac:dyDescent="0.15">
      <c r="B1540" s="83"/>
      <c r="C1540" s="11"/>
      <c r="D1540" s="1"/>
      <c r="E1540" s="153"/>
      <c r="F1540" s="153"/>
      <c r="G1540" s="153"/>
      <c r="H1540" s="153"/>
      <c r="I1540" s="169"/>
    </row>
    <row r="1541" spans="2:9" x14ac:dyDescent="0.15">
      <c r="B1541" s="11"/>
      <c r="C1541" s="11"/>
      <c r="D1541" s="1"/>
      <c r="E1541" s="153"/>
      <c r="F1541" s="153"/>
      <c r="G1541" s="153"/>
      <c r="H1541" s="153"/>
      <c r="I1541" s="169"/>
    </row>
    <row r="1542" spans="2:9" x14ac:dyDescent="0.15">
      <c r="B1542" s="11"/>
      <c r="C1542" s="11"/>
      <c r="D1542" s="1"/>
      <c r="E1542" s="153"/>
      <c r="F1542" s="153"/>
      <c r="G1542" s="153"/>
      <c r="H1542" s="153"/>
      <c r="I1542" s="169"/>
    </row>
    <row r="1543" spans="2:9" x14ac:dyDescent="0.15">
      <c r="B1543" s="11"/>
      <c r="C1543" s="11"/>
      <c r="D1543" s="1"/>
      <c r="E1543" s="153"/>
      <c r="F1543" s="153"/>
      <c r="G1543" s="153"/>
      <c r="H1543" s="153"/>
      <c r="I1543" s="169"/>
    </row>
    <row r="1544" spans="2:9" x14ac:dyDescent="0.15">
      <c r="B1544" s="11"/>
      <c r="C1544" s="11"/>
      <c r="D1544" s="1"/>
      <c r="E1544" s="153"/>
      <c r="F1544" s="153"/>
      <c r="G1544" s="153"/>
      <c r="H1544" s="153"/>
      <c r="I1544" s="169"/>
    </row>
    <row r="1545" spans="2:9" x14ac:dyDescent="0.15">
      <c r="B1545" s="11"/>
      <c r="C1545" s="11"/>
      <c r="D1545" s="1"/>
      <c r="E1545" s="153"/>
      <c r="F1545" s="153"/>
      <c r="G1545" s="153"/>
      <c r="H1545" s="153"/>
      <c r="I1545" s="169"/>
    </row>
    <row r="1546" spans="2:9" x14ac:dyDescent="0.15">
      <c r="B1546" s="11"/>
      <c r="C1546" s="11"/>
      <c r="D1546" s="1"/>
      <c r="E1546" s="153"/>
      <c r="F1546" s="153"/>
      <c r="G1546" s="153"/>
      <c r="H1546" s="153"/>
      <c r="I1546" s="169"/>
    </row>
    <row r="1547" spans="2:9" x14ac:dyDescent="0.15">
      <c r="B1547" s="11"/>
      <c r="C1547" s="11"/>
      <c r="D1547" s="1"/>
      <c r="E1547" s="153"/>
      <c r="F1547" s="153"/>
      <c r="G1547" s="153"/>
      <c r="H1547" s="153"/>
      <c r="I1547" s="169"/>
    </row>
    <row r="1548" spans="2:9" x14ac:dyDescent="0.15">
      <c r="B1548" s="11"/>
      <c r="C1548" s="11"/>
      <c r="D1548" s="1"/>
      <c r="E1548" s="153"/>
      <c r="F1548" s="153"/>
      <c r="G1548" s="153"/>
      <c r="H1548" s="153"/>
      <c r="I1548" s="169"/>
    </row>
    <row r="1549" spans="2:9" x14ac:dyDescent="0.15">
      <c r="B1549" s="11"/>
      <c r="C1549" s="11"/>
      <c r="D1549" s="1"/>
      <c r="E1549" s="153"/>
      <c r="F1549" s="153"/>
      <c r="G1549" s="153"/>
      <c r="H1549" s="153"/>
      <c r="I1549" s="169"/>
    </row>
    <row r="1550" spans="2:9" x14ac:dyDescent="0.15">
      <c r="B1550" s="11"/>
      <c r="C1550" s="11"/>
      <c r="D1550" s="1"/>
      <c r="E1550" s="153"/>
      <c r="F1550" s="153"/>
      <c r="G1550" s="153"/>
      <c r="H1550" s="153"/>
      <c r="I1550" s="169"/>
    </row>
    <row r="1551" spans="2:9" x14ac:dyDescent="0.15">
      <c r="B1551" s="11"/>
      <c r="C1551" s="11"/>
      <c r="D1551" s="1"/>
      <c r="E1551" s="153"/>
      <c r="F1551" s="153"/>
      <c r="G1551" s="153"/>
      <c r="H1551" s="153"/>
      <c r="I1551" s="169"/>
    </row>
    <row r="1552" spans="2:9" x14ac:dyDescent="0.15">
      <c r="B1552" s="11"/>
      <c r="C1552" s="11"/>
      <c r="D1552" s="1"/>
      <c r="E1552" s="153"/>
      <c r="F1552" s="153"/>
      <c r="G1552" s="153"/>
      <c r="H1552" s="153"/>
      <c r="I1552" s="169"/>
    </row>
    <row r="1553" spans="2:10" ht="14" x14ac:dyDescent="0.15">
      <c r="B1553" s="101"/>
      <c r="C1553" s="83"/>
      <c r="D1553" s="84"/>
      <c r="E1553" s="83"/>
      <c r="F1553" s="83"/>
      <c r="G1553" s="102"/>
      <c r="H1553" s="83"/>
      <c r="I1553" s="85"/>
      <c r="J1553" s="85"/>
    </row>
    <row r="1554" spans="2:10" ht="14" x14ac:dyDescent="0.15">
      <c r="B1554" s="83"/>
      <c r="C1554" s="83"/>
      <c r="D1554" s="84"/>
      <c r="E1554" s="83"/>
      <c r="F1554" s="83"/>
      <c r="G1554" s="103"/>
      <c r="H1554" s="83"/>
      <c r="I1554" s="85"/>
      <c r="J1554" s="85"/>
    </row>
    <row r="1555" spans="2:10" ht="15" thickBot="1" x14ac:dyDescent="0.2">
      <c r="B1555" s="83"/>
      <c r="C1555" s="83"/>
      <c r="D1555" s="84"/>
      <c r="E1555" s="83"/>
      <c r="F1555" s="83"/>
      <c r="G1555" s="103"/>
      <c r="H1555" s="83"/>
      <c r="I1555" s="85"/>
      <c r="J1555" s="85"/>
    </row>
    <row r="1556" spans="2:10" ht="21" customHeight="1" x14ac:dyDescent="0.15">
      <c r="B1556" s="607" t="s">
        <v>1065</v>
      </c>
      <c r="C1556" s="608"/>
      <c r="D1556" s="608"/>
      <c r="E1556" s="608"/>
      <c r="F1556" s="609"/>
      <c r="G1556" s="1"/>
      <c r="H1556" s="712" t="s">
        <v>20</v>
      </c>
      <c r="I1556" s="713"/>
    </row>
    <row r="1557" spans="2:10" ht="16.5" customHeight="1" x14ac:dyDescent="0.15">
      <c r="B1557" s="604" t="s">
        <v>446</v>
      </c>
      <c r="C1557" s="605"/>
      <c r="D1557" s="605"/>
      <c r="E1557" s="605"/>
      <c r="F1557" s="606"/>
      <c r="G1557" s="63"/>
      <c r="H1557" s="531"/>
      <c r="I1557" s="533"/>
    </row>
    <row r="1558" spans="2:10" ht="12.75" customHeight="1" x14ac:dyDescent="0.15">
      <c r="B1558" s="610" t="s">
        <v>447</v>
      </c>
      <c r="C1558" s="611"/>
      <c r="D1558" s="611"/>
      <c r="E1558" s="611"/>
      <c r="F1558" s="612"/>
      <c r="G1558" s="63"/>
      <c r="H1558" s="725" t="s">
        <v>949</v>
      </c>
      <c r="I1558" s="726"/>
    </row>
    <row r="1559" spans="2:10" ht="16.5" customHeight="1" thickBot="1" x14ac:dyDescent="0.2">
      <c r="B1559" s="613"/>
      <c r="C1559" s="614"/>
      <c r="D1559" s="614"/>
      <c r="E1559" s="614"/>
      <c r="F1559" s="615"/>
      <c r="G1559" s="1"/>
      <c r="H1559" s="725"/>
      <c r="I1559" s="726"/>
    </row>
    <row r="1560" spans="2:10" ht="13.5" customHeight="1" thickBot="1" x14ac:dyDescent="0.2">
      <c r="B1560" s="15"/>
      <c r="C1560" s="16"/>
      <c r="D1560" s="1"/>
      <c r="E1560" s="1"/>
      <c r="F1560" s="1"/>
      <c r="G1560" s="1"/>
      <c r="H1560" s="725"/>
      <c r="I1560" s="726"/>
    </row>
    <row r="1561" spans="2:10" ht="12.75" customHeight="1" x14ac:dyDescent="0.15">
      <c r="B1561" s="650" t="s">
        <v>890</v>
      </c>
      <c r="C1561" s="651"/>
      <c r="D1561" s="651"/>
      <c r="E1561" s="651"/>
      <c r="F1561" s="652"/>
      <c r="G1561" s="1"/>
      <c r="H1561" s="725"/>
      <c r="I1561" s="726"/>
    </row>
    <row r="1562" spans="2:10" ht="12.75" customHeight="1" x14ac:dyDescent="0.15">
      <c r="B1562" s="653"/>
      <c r="C1562" s="654"/>
      <c r="D1562" s="654"/>
      <c r="E1562" s="654"/>
      <c r="F1562" s="655"/>
      <c r="H1562" s="725"/>
      <c r="I1562" s="726"/>
    </row>
    <row r="1563" spans="2:10" ht="13.5" customHeight="1" x14ac:dyDescent="0.15">
      <c r="B1563" s="653"/>
      <c r="C1563" s="654"/>
      <c r="D1563" s="654"/>
      <c r="E1563" s="654"/>
      <c r="F1563" s="655"/>
      <c r="G1563" s="11"/>
      <c r="H1563" s="725"/>
      <c r="I1563" s="726"/>
    </row>
    <row r="1564" spans="2:10" ht="21.75" customHeight="1" thickBot="1" x14ac:dyDescent="0.2">
      <c r="B1564" s="656"/>
      <c r="C1564" s="657"/>
      <c r="D1564" s="657"/>
      <c r="E1564" s="657"/>
      <c r="F1564" s="658"/>
      <c r="H1564" s="64" t="s">
        <v>45</v>
      </c>
      <c r="I1564" s="17" t="s">
        <v>5</v>
      </c>
    </row>
    <row r="1565" spans="2:10" x14ac:dyDescent="0.15">
      <c r="B1565" s="18"/>
      <c r="C1565" s="18"/>
      <c r="D1565" s="1"/>
      <c r="E1565" s="18"/>
      <c r="F1565" s="18"/>
      <c r="G1565" s="18"/>
      <c r="H1565" s="18"/>
      <c r="I1565" s="1"/>
    </row>
    <row r="1566" spans="2:10" ht="14" thickBot="1" x14ac:dyDescent="0.2">
      <c r="B1566" s="12" t="s">
        <v>21</v>
      </c>
      <c r="C1566" s="12"/>
      <c r="D1566" s="1"/>
      <c r="E1566" s="1"/>
      <c r="F1566" s="1"/>
      <c r="G1566" s="1"/>
      <c r="H1566" s="1"/>
      <c r="I1566" s="1"/>
    </row>
    <row r="1567" spans="2:10" x14ac:dyDescent="0.15">
      <c r="B1567" s="628" t="s">
        <v>22</v>
      </c>
      <c r="C1567" s="629"/>
      <c r="D1567" s="630"/>
      <c r="E1567" s="205" t="s">
        <v>23</v>
      </c>
      <c r="F1567" s="19" t="s">
        <v>47</v>
      </c>
      <c r="G1567" s="205" t="s">
        <v>24</v>
      </c>
      <c r="H1567" s="204" t="s">
        <v>25</v>
      </c>
      <c r="I1567" s="43"/>
    </row>
    <row r="1568" spans="2:10" x14ac:dyDescent="0.15">
      <c r="B1568" s="631" t="s">
        <v>56</v>
      </c>
      <c r="C1568" s="632"/>
      <c r="D1568" s="633"/>
      <c r="E1568" s="5"/>
      <c r="F1568" s="160"/>
      <c r="G1568" s="58"/>
      <c r="H1568" s="160">
        <f>I1589*0.05</f>
        <v>1782.0818749999999</v>
      </c>
      <c r="I1568" s="44"/>
    </row>
    <row r="1569" spans="2:11" x14ac:dyDescent="0.15">
      <c r="B1569" s="631" t="s">
        <v>309</v>
      </c>
      <c r="C1569" s="632"/>
      <c r="D1569" s="633"/>
      <c r="E1569" s="5"/>
      <c r="F1569" s="160">
        <f>'HERRAMIENTAS Y EQUIPOS'!C25</f>
        <v>45000</v>
      </c>
      <c r="G1569" s="58">
        <v>20</v>
      </c>
      <c r="H1569" s="160">
        <f>F1569/G1569</f>
        <v>2250</v>
      </c>
      <c r="I1569" s="44"/>
    </row>
    <row r="1570" spans="2:11" ht="14" thickBot="1" x14ac:dyDescent="0.2">
      <c r="B1570" s="634"/>
      <c r="C1570" s="635"/>
      <c r="D1570" s="636"/>
      <c r="E1570" s="21"/>
      <c r="F1570" s="22"/>
      <c r="G1570" s="23"/>
      <c r="H1570" s="47"/>
      <c r="I1570" s="48"/>
    </row>
    <row r="1571" spans="2:11" ht="14" thickBot="1" x14ac:dyDescent="0.2">
      <c r="B1571" s="1"/>
      <c r="C1571" s="1"/>
      <c r="D1571" s="1"/>
      <c r="E1571" s="1"/>
      <c r="F1571" s="1"/>
      <c r="G1571" s="1"/>
      <c r="H1571" s="37" t="s">
        <v>26</v>
      </c>
      <c r="I1571" s="161">
        <f>SUM(H1568:H1570)</f>
        <v>4032.0818749999999</v>
      </c>
    </row>
    <row r="1572" spans="2:11" ht="14" thickBot="1" x14ac:dyDescent="0.2">
      <c r="B1572" s="12" t="s">
        <v>27</v>
      </c>
      <c r="C1572" s="12"/>
      <c r="D1572" s="1"/>
      <c r="E1572" s="1"/>
      <c r="F1572" s="1"/>
      <c r="G1572" s="1"/>
      <c r="H1572" s="1"/>
      <c r="I1572" s="1"/>
    </row>
    <row r="1573" spans="2:11" x14ac:dyDescent="0.15">
      <c r="B1573" s="628" t="s">
        <v>22</v>
      </c>
      <c r="C1573" s="629"/>
      <c r="D1573" s="630"/>
      <c r="E1573" s="205" t="s">
        <v>28</v>
      </c>
      <c r="F1573" s="205" t="s">
        <v>29</v>
      </c>
      <c r="G1573" s="205" t="s">
        <v>30</v>
      </c>
      <c r="H1573" s="204" t="s">
        <v>25</v>
      </c>
      <c r="I1573" s="43"/>
    </row>
    <row r="1574" spans="2:11" x14ac:dyDescent="0.15">
      <c r="B1574" s="4" t="s">
        <v>66</v>
      </c>
      <c r="C1574" s="24"/>
      <c r="D1574" s="6"/>
      <c r="E1574" s="3" t="s">
        <v>58</v>
      </c>
      <c r="F1574" s="164">
        <f>'APU -BASICOS'!H260</f>
        <v>9182</v>
      </c>
      <c r="G1574" s="73">
        <f>(7*1.2*2*1)</f>
        <v>16.8</v>
      </c>
      <c r="H1574" s="163">
        <f>G1574*F1574</f>
        <v>154257.60000000001</v>
      </c>
      <c r="I1574" s="44"/>
    </row>
    <row r="1575" spans="2:11" x14ac:dyDescent="0.15">
      <c r="B1575" s="4" t="s">
        <v>63</v>
      </c>
      <c r="C1575" s="24"/>
      <c r="D1575" s="6"/>
      <c r="E1575" s="3" t="s">
        <v>6</v>
      </c>
      <c r="F1575" s="162">
        <f>'APU -BASICOS'!H96</f>
        <v>585821</v>
      </c>
      <c r="G1575" s="73">
        <f>1*1*0.1</f>
        <v>0.1</v>
      </c>
      <c r="H1575" s="163">
        <f>G1575*F1575</f>
        <v>58582.100000000006</v>
      </c>
      <c r="I1575" s="44"/>
    </row>
    <row r="1576" spans="2:11" ht="14" thickBot="1" x14ac:dyDescent="0.2">
      <c r="B1576" s="25"/>
      <c r="C1576" s="26"/>
      <c r="D1576" s="27"/>
      <c r="E1576" s="21"/>
      <c r="F1576" s="22"/>
      <c r="G1576" s="165"/>
      <c r="H1576" s="47"/>
      <c r="I1576" s="48"/>
      <c r="K1576" s="223"/>
    </row>
    <row r="1577" spans="2:11" ht="14" thickBot="1" x14ac:dyDescent="0.2">
      <c r="B1577" s="1"/>
      <c r="C1577" s="1"/>
      <c r="D1577" s="1"/>
      <c r="E1577" s="1"/>
      <c r="F1577" s="1"/>
      <c r="G1577" s="1"/>
      <c r="H1577" s="37" t="s">
        <v>26</v>
      </c>
      <c r="I1577" s="161">
        <f>SUM(H1574:H1575)</f>
        <v>212839.7</v>
      </c>
    </row>
    <row r="1578" spans="2:11" ht="14" thickBot="1" x14ac:dyDescent="0.2">
      <c r="B1578" s="28" t="s">
        <v>31</v>
      </c>
      <c r="C1578" s="28"/>
      <c r="D1578" s="26"/>
      <c r="E1578" s="1"/>
      <c r="F1578" s="1"/>
      <c r="G1578" s="1"/>
      <c r="H1578" s="1"/>
      <c r="I1578" s="1"/>
    </row>
    <row r="1579" spans="2:11" x14ac:dyDescent="0.15">
      <c r="B1579" s="51" t="s">
        <v>32</v>
      </c>
      <c r="C1579" s="52"/>
      <c r="D1579" s="96" t="s">
        <v>33</v>
      </c>
      <c r="E1579" s="205" t="s">
        <v>34</v>
      </c>
      <c r="F1579" s="205" t="s">
        <v>35</v>
      </c>
      <c r="G1579" s="205" t="s">
        <v>36</v>
      </c>
      <c r="H1579" s="59" t="s">
        <v>25</v>
      </c>
      <c r="I1579" s="43"/>
    </row>
    <row r="1580" spans="2:11" x14ac:dyDescent="0.15">
      <c r="B1580" s="4"/>
      <c r="C1580" s="24"/>
      <c r="D1580" s="60"/>
      <c r="E1580" s="2"/>
      <c r="F1580" s="2"/>
      <c r="G1580" s="160"/>
      <c r="H1580" s="55"/>
      <c r="I1580" s="44"/>
      <c r="K1580" s="105"/>
    </row>
    <row r="1581" spans="2:11" x14ac:dyDescent="0.15">
      <c r="B1581" s="106"/>
      <c r="C1581" s="66"/>
      <c r="D1581" s="67"/>
      <c r="E1581" s="68"/>
      <c r="F1581" s="68"/>
      <c r="G1581" s="69"/>
      <c r="H1581" s="65"/>
      <c r="I1581" s="44"/>
    </row>
    <row r="1582" spans="2:11" ht="14" thickBot="1" x14ac:dyDescent="0.2">
      <c r="B1582" s="33"/>
      <c r="C1582" s="54"/>
      <c r="D1582" s="21"/>
      <c r="E1582" s="22"/>
      <c r="F1582" s="23"/>
      <c r="G1582" s="47"/>
      <c r="H1582" s="21"/>
      <c r="I1582" s="48"/>
    </row>
    <row r="1583" spans="2:11" ht="14" thickBot="1" x14ac:dyDescent="0.2">
      <c r="B1583" s="1"/>
      <c r="C1583" s="1"/>
      <c r="D1583" s="1"/>
      <c r="E1583" s="1"/>
      <c r="F1583" s="1"/>
      <c r="G1583" s="1"/>
      <c r="H1583" s="37" t="s">
        <v>26</v>
      </c>
      <c r="I1583" s="161">
        <f>SUM(H1580:H1582)</f>
        <v>0</v>
      </c>
    </row>
    <row r="1584" spans="2:11" ht="14" thickBot="1" x14ac:dyDescent="0.2">
      <c r="B1584" s="28" t="s">
        <v>37</v>
      </c>
      <c r="C1584" s="28"/>
      <c r="D1584" s="1"/>
      <c r="E1584" s="1"/>
      <c r="F1584" s="1"/>
      <c r="G1584" s="1"/>
      <c r="H1584" s="1"/>
      <c r="I1584" s="1"/>
    </row>
    <row r="1585" spans="2:13" x14ac:dyDescent="0.15">
      <c r="B1585" s="51" t="s">
        <v>38</v>
      </c>
      <c r="C1585" s="86"/>
      <c r="D1585" s="31" t="s">
        <v>39</v>
      </c>
      <c r="E1585" s="205" t="s">
        <v>40</v>
      </c>
      <c r="F1585" s="19" t="s">
        <v>41</v>
      </c>
      <c r="G1585" s="31" t="s">
        <v>24</v>
      </c>
      <c r="H1585" s="204" t="s">
        <v>25</v>
      </c>
      <c r="I1585" s="43"/>
      <c r="K1585" s="105"/>
    </row>
    <row r="1586" spans="2:13" x14ac:dyDescent="0.15">
      <c r="B1586" s="4" t="s">
        <v>65</v>
      </c>
      <c r="C1586" s="24"/>
      <c r="D1586" s="32">
        <f>'MANO DE OBRA'!E15</f>
        <v>95333</v>
      </c>
      <c r="E1586" s="88">
        <v>1.75</v>
      </c>
      <c r="F1586" s="162">
        <f>+E1586*D1586</f>
        <v>166832.75</v>
      </c>
      <c r="G1586" s="20">
        <f>G1569</f>
        <v>20</v>
      </c>
      <c r="H1586" s="167">
        <f>+F1586/G1586</f>
        <v>8341.6375000000007</v>
      </c>
      <c r="I1586" s="44"/>
    </row>
    <row r="1587" spans="2:13" x14ac:dyDescent="0.15">
      <c r="B1587" s="4" t="s">
        <v>94</v>
      </c>
      <c r="C1587" s="24"/>
      <c r="D1587" s="32">
        <f>'MANO DE OBRA'!E14*6</f>
        <v>312000</v>
      </c>
      <c r="E1587" s="88">
        <v>1.75</v>
      </c>
      <c r="F1587" s="162">
        <f>+E1587*D1587</f>
        <v>546000</v>
      </c>
      <c r="G1587" s="20">
        <f>G1569</f>
        <v>20</v>
      </c>
      <c r="H1587" s="167">
        <f>+F1587/G1587</f>
        <v>27300</v>
      </c>
      <c r="I1587" s="44"/>
    </row>
    <row r="1588" spans="2:13" ht="14" thickBot="1" x14ac:dyDescent="0.2">
      <c r="B1588" s="33"/>
      <c r="C1588" s="34"/>
      <c r="D1588" s="22"/>
      <c r="E1588" s="21"/>
      <c r="F1588" s="22"/>
      <c r="G1588" s="23"/>
      <c r="H1588" s="47"/>
      <c r="I1588" s="48"/>
      <c r="K1588" s="105"/>
    </row>
    <row r="1589" spans="2:13" ht="14" thickBot="1" x14ac:dyDescent="0.2">
      <c r="B1589" s="1"/>
      <c r="C1589" s="1"/>
      <c r="D1589" s="1"/>
      <c r="E1589" s="1"/>
      <c r="F1589" s="1"/>
      <c r="G1589" s="1"/>
      <c r="H1589" s="37" t="s">
        <v>26</v>
      </c>
      <c r="I1589" s="175">
        <f>SUM(H1586:H1588)</f>
        <v>35641.637499999997</v>
      </c>
      <c r="K1589" s="223"/>
    </row>
    <row r="1590" spans="2:13" ht="14" thickBot="1" x14ac:dyDescent="0.2">
      <c r="B1590" s="1"/>
      <c r="C1590" s="1"/>
      <c r="D1590" s="1"/>
      <c r="E1590" s="1"/>
      <c r="F1590" s="1"/>
      <c r="G1590" s="1"/>
      <c r="H1590" s="61"/>
      <c r="I1590" s="1"/>
      <c r="L1590" s="105"/>
      <c r="M1590" s="105"/>
    </row>
    <row r="1591" spans="2:13" ht="15" thickBot="1" x14ac:dyDescent="0.2">
      <c r="B1591" s="1"/>
      <c r="C1591" s="1"/>
      <c r="D1591" s="1"/>
      <c r="E1591" s="1"/>
      <c r="F1591" s="35" t="s">
        <v>43</v>
      </c>
      <c r="G1591" s="16"/>
      <c r="H1591" s="16"/>
      <c r="I1591" s="222">
        <f>ROUND((I1571+I1577+I1583+I1589),0)</f>
        <v>252513</v>
      </c>
    </row>
    <row r="1592" spans="2:13" x14ac:dyDescent="0.15">
      <c r="B1592" s="12"/>
      <c r="C1592" s="12"/>
      <c r="D1592" s="1"/>
      <c r="E1592" s="1"/>
      <c r="F1592" s="1"/>
      <c r="G1592" s="1"/>
      <c r="H1592" s="170"/>
      <c r="I1592" s="170"/>
      <c r="M1592" s="105"/>
    </row>
    <row r="1593" spans="2:13" x14ac:dyDescent="0.15">
      <c r="B1593" s="16"/>
      <c r="C1593" s="16"/>
      <c r="D1593" s="16"/>
      <c r="E1593" s="16"/>
      <c r="F1593" s="16"/>
      <c r="G1593" s="61"/>
      <c r="H1593" s="171"/>
      <c r="I1593" s="170"/>
    </row>
    <row r="1594" spans="2:13" x14ac:dyDescent="0.15">
      <c r="B1594" s="1"/>
      <c r="C1594" s="1"/>
      <c r="D1594" s="1"/>
      <c r="E1594" s="1"/>
      <c r="F1594" s="1"/>
      <c r="G1594" s="159"/>
      <c r="H1594" s="170"/>
      <c r="I1594" s="170"/>
    </row>
    <row r="1595" spans="2:13" x14ac:dyDescent="0.15">
      <c r="B1595" s="1"/>
      <c r="C1595" s="1"/>
      <c r="D1595" s="1"/>
      <c r="E1595" s="1"/>
      <c r="F1595" s="1"/>
      <c r="G1595" s="159"/>
      <c r="H1595" s="170"/>
      <c r="I1595" s="170"/>
    </row>
    <row r="1596" spans="2:13" x14ac:dyDescent="0.15">
      <c r="B1596" s="1"/>
      <c r="C1596" s="1"/>
      <c r="D1596" s="1"/>
      <c r="E1596" s="1"/>
      <c r="F1596" s="1"/>
      <c r="G1596" s="159"/>
      <c r="H1596" s="170"/>
      <c r="I1596" s="170"/>
    </row>
    <row r="1597" spans="2:13" x14ac:dyDescent="0.15">
      <c r="B1597" s="1"/>
      <c r="C1597" s="1"/>
      <c r="D1597" s="1"/>
      <c r="E1597" s="1"/>
      <c r="F1597" s="1"/>
      <c r="G1597" s="1"/>
      <c r="H1597" s="37"/>
      <c r="I1597" s="170"/>
    </row>
    <row r="1598" spans="2:13" ht="14" x14ac:dyDescent="0.15">
      <c r="B1598" s="101"/>
      <c r="C1598" s="1"/>
      <c r="D1598" s="1"/>
      <c r="E1598" s="1"/>
      <c r="F1598" s="1"/>
      <c r="G1598" s="1"/>
      <c r="H1598" s="1"/>
      <c r="I1598" s="170"/>
    </row>
    <row r="1599" spans="2:13" ht="14" x14ac:dyDescent="0.15">
      <c r="B1599" s="83"/>
      <c r="C1599" s="11"/>
      <c r="D1599" s="1"/>
      <c r="E1599" s="637"/>
      <c r="F1599" s="637"/>
      <c r="G1599" s="637"/>
      <c r="H1599" s="637"/>
      <c r="I1599" s="169"/>
    </row>
    <row r="1600" spans="2:13" ht="14" x14ac:dyDescent="0.15">
      <c r="B1600" s="101"/>
      <c r="C1600" s="11"/>
      <c r="D1600" s="1"/>
      <c r="E1600" s="153"/>
      <c r="F1600" s="153"/>
      <c r="G1600" s="153"/>
      <c r="H1600" s="153"/>
      <c r="I1600" s="169"/>
    </row>
    <row r="1601" spans="2:10" ht="14" x14ac:dyDescent="0.15">
      <c r="B1601" s="101"/>
      <c r="C1601" s="11"/>
      <c r="D1601" s="1"/>
      <c r="E1601" s="153"/>
      <c r="F1601" s="153"/>
      <c r="G1601" s="153"/>
      <c r="H1601" s="153"/>
      <c r="I1601" s="169"/>
    </row>
    <row r="1602" spans="2:10" ht="14" x14ac:dyDescent="0.15">
      <c r="B1602" s="101"/>
      <c r="C1602" s="11"/>
      <c r="D1602" s="1"/>
      <c r="E1602" s="153"/>
      <c r="F1602" s="153"/>
      <c r="G1602" s="153"/>
      <c r="H1602" s="153"/>
      <c r="I1602" s="169"/>
    </row>
    <row r="1603" spans="2:10" ht="14" x14ac:dyDescent="0.15">
      <c r="B1603" s="101"/>
      <c r="C1603" s="11"/>
      <c r="D1603" s="1"/>
      <c r="E1603" s="153"/>
      <c r="F1603" s="153"/>
      <c r="G1603" s="153"/>
      <c r="H1603" s="153"/>
      <c r="I1603" s="169"/>
    </row>
    <row r="1604" spans="2:10" ht="14" x14ac:dyDescent="0.15">
      <c r="B1604" s="101"/>
      <c r="C1604" s="11"/>
      <c r="D1604" s="1"/>
      <c r="E1604" s="153"/>
      <c r="F1604" s="153"/>
      <c r="G1604" s="153"/>
      <c r="H1604" s="153"/>
      <c r="I1604" s="169"/>
    </row>
    <row r="1605" spans="2:10" ht="14" x14ac:dyDescent="0.15">
      <c r="B1605" s="101"/>
      <c r="C1605" s="11"/>
      <c r="D1605" s="1"/>
      <c r="E1605" s="153"/>
      <c r="F1605" s="153"/>
      <c r="G1605" s="153"/>
      <c r="H1605" s="153"/>
      <c r="I1605" s="169"/>
    </row>
    <row r="1606" spans="2:10" ht="14" x14ac:dyDescent="0.15">
      <c r="B1606" s="83"/>
      <c r="C1606" s="11"/>
      <c r="D1606" s="1"/>
      <c r="E1606" s="153"/>
      <c r="F1606" s="153"/>
      <c r="G1606" s="153"/>
      <c r="H1606" s="153"/>
      <c r="I1606" s="169"/>
    </row>
    <row r="1607" spans="2:10" x14ac:dyDescent="0.15">
      <c r="B1607" s="11"/>
      <c r="C1607" s="11"/>
      <c r="D1607" s="1"/>
      <c r="E1607" s="153"/>
      <c r="F1607" s="153"/>
      <c r="G1607" s="153"/>
      <c r="H1607" s="153"/>
      <c r="I1607" s="169"/>
    </row>
    <row r="1608" spans="2:10" x14ac:dyDescent="0.15">
      <c r="B1608" s="11"/>
      <c r="C1608" s="11"/>
      <c r="D1608" s="1"/>
      <c r="E1608" s="153"/>
      <c r="F1608" s="153"/>
      <c r="G1608" s="153"/>
      <c r="H1608" s="153"/>
      <c r="I1608" s="169"/>
    </row>
    <row r="1609" spans="2:10" x14ac:dyDescent="0.15">
      <c r="B1609" s="11"/>
      <c r="C1609" s="11"/>
      <c r="D1609" s="1"/>
      <c r="E1609" s="153"/>
      <c r="F1609" s="153"/>
      <c r="G1609" s="153"/>
      <c r="H1609" s="153"/>
      <c r="I1609" s="169"/>
    </row>
    <row r="1610" spans="2:10" x14ac:dyDescent="0.15">
      <c r="B1610" s="11"/>
      <c r="C1610" s="11"/>
      <c r="D1610" s="1"/>
      <c r="E1610" s="153"/>
      <c r="F1610" s="153"/>
      <c r="G1610" s="153"/>
      <c r="H1610" s="153"/>
      <c r="I1610" s="169"/>
    </row>
    <row r="1611" spans="2:10" x14ac:dyDescent="0.15">
      <c r="B1611" s="11"/>
      <c r="C1611" s="11"/>
      <c r="D1611" s="1"/>
      <c r="E1611" s="153"/>
      <c r="F1611" s="153"/>
      <c r="G1611" s="153"/>
      <c r="H1611" s="153"/>
      <c r="I1611" s="169"/>
    </row>
    <row r="1612" spans="2:10" x14ac:dyDescent="0.15">
      <c r="B1612" s="11"/>
      <c r="C1612" s="11"/>
      <c r="D1612" s="1"/>
      <c r="E1612" s="153"/>
      <c r="F1612" s="153"/>
      <c r="G1612" s="153"/>
      <c r="H1612" s="153"/>
      <c r="I1612" s="169"/>
    </row>
    <row r="1613" spans="2:10" ht="14" x14ac:dyDescent="0.15">
      <c r="B1613" s="83"/>
      <c r="C1613" s="83"/>
      <c r="D1613" s="84"/>
      <c r="E1613" s="83"/>
      <c r="F1613" s="83"/>
      <c r="G1613" s="103"/>
      <c r="H1613" s="83"/>
      <c r="I1613" s="85"/>
      <c r="J1613" s="85"/>
    </row>
    <row r="1614" spans="2:10" ht="14" x14ac:dyDescent="0.15">
      <c r="B1614" s="83"/>
      <c r="C1614" s="83"/>
      <c r="D1614" s="84"/>
      <c r="E1614" s="83"/>
      <c r="F1614" s="83"/>
      <c r="G1614" s="103"/>
      <c r="H1614" s="83"/>
      <c r="I1614" s="85"/>
      <c r="J1614" s="85"/>
    </row>
    <row r="1615" spans="2:10" ht="14" thickBot="1" x14ac:dyDescent="0.2">
      <c r="B1615" s="11"/>
      <c r="C1615" s="11"/>
      <c r="D1615" s="1"/>
      <c r="E1615" s="153"/>
      <c r="F1615" s="153"/>
      <c r="G1615" s="153"/>
      <c r="H1615" s="153"/>
      <c r="I1615" s="169"/>
    </row>
    <row r="1616" spans="2:10" ht="21" customHeight="1" x14ac:dyDescent="0.15">
      <c r="B1616" s="607" t="s">
        <v>1065</v>
      </c>
      <c r="C1616" s="608"/>
      <c r="D1616" s="608"/>
      <c r="E1616" s="608"/>
      <c r="F1616" s="609"/>
      <c r="G1616" s="1"/>
      <c r="H1616" s="712" t="s">
        <v>20</v>
      </c>
      <c r="I1616" s="713"/>
    </row>
    <row r="1617" spans="2:9" ht="16.5" customHeight="1" x14ac:dyDescent="0.15">
      <c r="B1617" s="604" t="s">
        <v>446</v>
      </c>
      <c r="C1617" s="605"/>
      <c r="D1617" s="605"/>
      <c r="E1617" s="605"/>
      <c r="F1617" s="606"/>
      <c r="G1617" s="63"/>
      <c r="H1617" s="531"/>
      <c r="I1617" s="533"/>
    </row>
    <row r="1618" spans="2:9" ht="12.75" customHeight="1" x14ac:dyDescent="0.15">
      <c r="B1618" s="610" t="s">
        <v>447</v>
      </c>
      <c r="C1618" s="611"/>
      <c r="D1618" s="611"/>
      <c r="E1618" s="611"/>
      <c r="F1618" s="612"/>
      <c r="G1618" s="63"/>
      <c r="H1618" s="725" t="s">
        <v>950</v>
      </c>
      <c r="I1618" s="726"/>
    </row>
    <row r="1619" spans="2:9" ht="16.5" customHeight="1" thickBot="1" x14ac:dyDescent="0.2">
      <c r="B1619" s="613"/>
      <c r="C1619" s="614"/>
      <c r="D1619" s="614"/>
      <c r="E1619" s="614"/>
      <c r="F1619" s="615"/>
      <c r="G1619" s="1"/>
      <c r="H1619" s="725"/>
      <c r="I1619" s="726"/>
    </row>
    <row r="1620" spans="2:9" ht="13.5" customHeight="1" thickBot="1" x14ac:dyDescent="0.2">
      <c r="B1620" s="15"/>
      <c r="C1620" s="16"/>
      <c r="D1620" s="1"/>
      <c r="E1620" s="1"/>
      <c r="F1620" s="1"/>
      <c r="G1620" s="1"/>
      <c r="H1620" s="725"/>
      <c r="I1620" s="726"/>
    </row>
    <row r="1621" spans="2:9" ht="12.75" customHeight="1" x14ac:dyDescent="0.15">
      <c r="B1621" s="650" t="s">
        <v>890</v>
      </c>
      <c r="C1621" s="651"/>
      <c r="D1621" s="651"/>
      <c r="E1621" s="651"/>
      <c r="F1621" s="652"/>
      <c r="G1621" s="1"/>
      <c r="H1621" s="725"/>
      <c r="I1621" s="726"/>
    </row>
    <row r="1622" spans="2:9" ht="12.75" customHeight="1" x14ac:dyDescent="0.15">
      <c r="B1622" s="653"/>
      <c r="C1622" s="654"/>
      <c r="D1622" s="654"/>
      <c r="E1622" s="654"/>
      <c r="F1622" s="655"/>
      <c r="H1622" s="725"/>
      <c r="I1622" s="726"/>
    </row>
    <row r="1623" spans="2:9" ht="13.5" customHeight="1" x14ac:dyDescent="0.15">
      <c r="B1623" s="653"/>
      <c r="C1623" s="654"/>
      <c r="D1623" s="654"/>
      <c r="E1623" s="654"/>
      <c r="F1623" s="655"/>
      <c r="G1623" s="11"/>
      <c r="H1623" s="725"/>
      <c r="I1623" s="726"/>
    </row>
    <row r="1624" spans="2:9" ht="21.75" customHeight="1" thickBot="1" x14ac:dyDescent="0.2">
      <c r="B1624" s="656"/>
      <c r="C1624" s="657"/>
      <c r="D1624" s="657"/>
      <c r="E1624" s="657"/>
      <c r="F1624" s="658"/>
      <c r="H1624" s="64" t="s">
        <v>45</v>
      </c>
      <c r="I1624" s="17" t="s">
        <v>5</v>
      </c>
    </row>
    <row r="1625" spans="2:9" x14ac:dyDescent="0.15">
      <c r="B1625" s="18"/>
      <c r="C1625" s="18"/>
      <c r="D1625" s="1"/>
      <c r="E1625" s="18"/>
      <c r="F1625" s="18"/>
      <c r="G1625" s="18"/>
      <c r="H1625" s="18"/>
      <c r="I1625" s="1"/>
    </row>
    <row r="1626" spans="2:9" ht="14" thickBot="1" x14ac:dyDescent="0.2">
      <c r="B1626" s="12" t="s">
        <v>21</v>
      </c>
      <c r="C1626" s="12"/>
      <c r="D1626" s="1"/>
      <c r="E1626" s="1"/>
      <c r="F1626" s="1"/>
      <c r="G1626" s="1"/>
      <c r="H1626" s="1"/>
      <c r="I1626" s="1"/>
    </row>
    <row r="1627" spans="2:9" x14ac:dyDescent="0.15">
      <c r="B1627" s="628" t="s">
        <v>22</v>
      </c>
      <c r="C1627" s="629"/>
      <c r="D1627" s="630"/>
      <c r="E1627" s="205" t="s">
        <v>23</v>
      </c>
      <c r="F1627" s="19" t="s">
        <v>47</v>
      </c>
      <c r="G1627" s="205" t="s">
        <v>24</v>
      </c>
      <c r="H1627" s="204" t="s">
        <v>25</v>
      </c>
      <c r="I1627" s="43"/>
    </row>
    <row r="1628" spans="2:9" x14ac:dyDescent="0.15">
      <c r="B1628" s="631" t="s">
        <v>56</v>
      </c>
      <c r="C1628" s="632"/>
      <c r="D1628" s="633"/>
      <c r="E1628" s="5"/>
      <c r="F1628" s="160"/>
      <c r="G1628" s="58"/>
      <c r="H1628" s="160">
        <f>I1649*0.05</f>
        <v>1782.0818749999999</v>
      </c>
      <c r="I1628" s="44"/>
    </row>
    <row r="1629" spans="2:9" x14ac:dyDescent="0.15">
      <c r="B1629" s="631" t="s">
        <v>309</v>
      </c>
      <c r="C1629" s="632"/>
      <c r="D1629" s="633"/>
      <c r="E1629" s="5"/>
      <c r="F1629" s="160">
        <f>'HERRAMIENTAS Y EQUIPOS'!C25</f>
        <v>45000</v>
      </c>
      <c r="G1629" s="58">
        <v>20</v>
      </c>
      <c r="H1629" s="160">
        <f>F1629/G1629</f>
        <v>2250</v>
      </c>
      <c r="I1629" s="44"/>
    </row>
    <row r="1630" spans="2:9" ht="14" thickBot="1" x14ac:dyDescent="0.2">
      <c r="B1630" s="634"/>
      <c r="C1630" s="635"/>
      <c r="D1630" s="636"/>
      <c r="E1630" s="21"/>
      <c r="F1630" s="22"/>
      <c r="G1630" s="23"/>
      <c r="H1630" s="47"/>
      <c r="I1630" s="48"/>
    </row>
    <row r="1631" spans="2:9" ht="14" thickBot="1" x14ac:dyDescent="0.2">
      <c r="B1631" s="1"/>
      <c r="C1631" s="1"/>
      <c r="D1631" s="1"/>
      <c r="E1631" s="1"/>
      <c r="F1631" s="1"/>
      <c r="G1631" s="1"/>
      <c r="H1631" s="37" t="s">
        <v>26</v>
      </c>
      <c r="I1631" s="161">
        <f>SUM(H1628:H1630)</f>
        <v>4032.0818749999999</v>
      </c>
    </row>
    <row r="1632" spans="2:9" ht="14" thickBot="1" x14ac:dyDescent="0.2">
      <c r="B1632" s="12" t="s">
        <v>27</v>
      </c>
      <c r="C1632" s="12"/>
      <c r="D1632" s="1"/>
      <c r="E1632" s="1"/>
      <c r="F1632" s="1"/>
      <c r="G1632" s="1"/>
      <c r="H1632" s="1"/>
      <c r="I1632" s="1"/>
    </row>
    <row r="1633" spans="2:11" x14ac:dyDescent="0.15">
      <c r="B1633" s="628" t="s">
        <v>22</v>
      </c>
      <c r="C1633" s="629"/>
      <c r="D1633" s="630"/>
      <c r="E1633" s="205" t="s">
        <v>28</v>
      </c>
      <c r="F1633" s="205" t="s">
        <v>29</v>
      </c>
      <c r="G1633" s="205" t="s">
        <v>30</v>
      </c>
      <c r="H1633" s="204" t="s">
        <v>25</v>
      </c>
      <c r="I1633" s="43"/>
    </row>
    <row r="1634" spans="2:11" x14ac:dyDescent="0.15">
      <c r="B1634" s="4" t="s">
        <v>66</v>
      </c>
      <c r="C1634" s="24"/>
      <c r="D1634" s="6"/>
      <c r="E1634" s="3" t="s">
        <v>58</v>
      </c>
      <c r="F1634" s="164">
        <f>'APU -BASICOS'!H204</f>
        <v>9182</v>
      </c>
      <c r="G1634" s="73">
        <f>(7*1.2*2)</f>
        <v>16.8</v>
      </c>
      <c r="H1634" s="163">
        <f>G1634*F1634</f>
        <v>154257.60000000001</v>
      </c>
      <c r="I1634" s="44"/>
    </row>
    <row r="1635" spans="2:11" x14ac:dyDescent="0.15">
      <c r="B1635" s="4" t="s">
        <v>63</v>
      </c>
      <c r="C1635" s="24"/>
      <c r="D1635" s="6"/>
      <c r="E1635" s="3" t="s">
        <v>6</v>
      </c>
      <c r="F1635" s="162">
        <f>'APU -BASICOS'!H96</f>
        <v>585821</v>
      </c>
      <c r="G1635" s="73">
        <f>1*1*0.1</f>
        <v>0.1</v>
      </c>
      <c r="H1635" s="163">
        <f>G1635*F1635</f>
        <v>58582.100000000006</v>
      </c>
      <c r="I1635" s="44"/>
    </row>
    <row r="1636" spans="2:11" ht="14" thickBot="1" x14ac:dyDescent="0.2">
      <c r="B1636" s="25"/>
      <c r="C1636" s="26"/>
      <c r="D1636" s="27"/>
      <c r="E1636" s="21"/>
      <c r="F1636" s="22"/>
      <c r="G1636" s="165"/>
      <c r="H1636" s="47"/>
      <c r="I1636" s="48"/>
      <c r="K1636" s="223"/>
    </row>
    <row r="1637" spans="2:11" ht="14" thickBot="1" x14ac:dyDescent="0.2">
      <c r="B1637" s="1"/>
      <c r="C1637" s="1"/>
      <c r="D1637" s="1"/>
      <c r="E1637" s="1"/>
      <c r="F1637" s="1"/>
      <c r="G1637" s="1"/>
      <c r="H1637" s="37" t="s">
        <v>26</v>
      </c>
      <c r="I1637" s="161">
        <f>SUM(H1634:H1635)</f>
        <v>212839.7</v>
      </c>
    </row>
    <row r="1638" spans="2:11" ht="14" thickBot="1" x14ac:dyDescent="0.2">
      <c r="B1638" s="28" t="s">
        <v>31</v>
      </c>
      <c r="C1638" s="28"/>
      <c r="D1638" s="26"/>
      <c r="E1638" s="1"/>
      <c r="F1638" s="1"/>
      <c r="G1638" s="1"/>
      <c r="H1638" s="1"/>
      <c r="I1638" s="1"/>
    </row>
    <row r="1639" spans="2:11" x14ac:dyDescent="0.15">
      <c r="B1639" s="51" t="s">
        <v>32</v>
      </c>
      <c r="C1639" s="52"/>
      <c r="D1639" s="96" t="s">
        <v>33</v>
      </c>
      <c r="E1639" s="205" t="s">
        <v>34</v>
      </c>
      <c r="F1639" s="205" t="s">
        <v>35</v>
      </c>
      <c r="G1639" s="205" t="s">
        <v>36</v>
      </c>
      <c r="H1639" s="59" t="s">
        <v>25</v>
      </c>
      <c r="I1639" s="43"/>
    </row>
    <row r="1640" spans="2:11" x14ac:dyDescent="0.15">
      <c r="B1640" s="4"/>
      <c r="C1640" s="24"/>
      <c r="D1640" s="60"/>
      <c r="E1640" s="2"/>
      <c r="F1640" s="2"/>
      <c r="G1640" s="160"/>
      <c r="H1640" s="55"/>
      <c r="I1640" s="44"/>
      <c r="K1640" s="105"/>
    </row>
    <row r="1641" spans="2:11" x14ac:dyDescent="0.15">
      <c r="B1641" s="106"/>
      <c r="C1641" s="66"/>
      <c r="D1641" s="67"/>
      <c r="E1641" s="68"/>
      <c r="F1641" s="68"/>
      <c r="G1641" s="69"/>
      <c r="H1641" s="65"/>
      <c r="I1641" s="44"/>
    </row>
    <row r="1642" spans="2:11" ht="14" thickBot="1" x14ac:dyDescent="0.2">
      <c r="B1642" s="33"/>
      <c r="C1642" s="54"/>
      <c r="D1642" s="21"/>
      <c r="E1642" s="22"/>
      <c r="F1642" s="23"/>
      <c r="G1642" s="47"/>
      <c r="H1642" s="21"/>
      <c r="I1642" s="48"/>
    </row>
    <row r="1643" spans="2:11" ht="14" thickBot="1" x14ac:dyDescent="0.2">
      <c r="B1643" s="1"/>
      <c r="C1643" s="1"/>
      <c r="D1643" s="1"/>
      <c r="E1643" s="1"/>
      <c r="F1643" s="1"/>
      <c r="G1643" s="1"/>
      <c r="H1643" s="37" t="s">
        <v>26</v>
      </c>
      <c r="I1643" s="161">
        <f>SUM(H1640:H1642)</f>
        <v>0</v>
      </c>
    </row>
    <row r="1644" spans="2:11" ht="14" thickBot="1" x14ac:dyDescent="0.2">
      <c r="B1644" s="28" t="s">
        <v>37</v>
      </c>
      <c r="C1644" s="28"/>
      <c r="D1644" s="1"/>
      <c r="E1644" s="1"/>
      <c r="F1644" s="1"/>
      <c r="G1644" s="1"/>
      <c r="H1644" s="1"/>
      <c r="I1644" s="1"/>
    </row>
    <row r="1645" spans="2:11" x14ac:dyDescent="0.15">
      <c r="B1645" s="51" t="s">
        <v>38</v>
      </c>
      <c r="C1645" s="86"/>
      <c r="D1645" s="31" t="s">
        <v>39</v>
      </c>
      <c r="E1645" s="205" t="s">
        <v>40</v>
      </c>
      <c r="F1645" s="19" t="s">
        <v>41</v>
      </c>
      <c r="G1645" s="31" t="s">
        <v>24</v>
      </c>
      <c r="H1645" s="204" t="s">
        <v>25</v>
      </c>
      <c r="I1645" s="43"/>
      <c r="K1645" s="105"/>
    </row>
    <row r="1646" spans="2:11" x14ac:dyDescent="0.15">
      <c r="B1646" s="4" t="s">
        <v>65</v>
      </c>
      <c r="C1646" s="24"/>
      <c r="D1646" s="32">
        <f>'MANO DE OBRA'!E15</f>
        <v>95333</v>
      </c>
      <c r="E1646" s="88">
        <v>1.75</v>
      </c>
      <c r="F1646" s="162">
        <f>+E1646*D1646</f>
        <v>166832.75</v>
      </c>
      <c r="G1646" s="20">
        <f>G1629</f>
        <v>20</v>
      </c>
      <c r="H1646" s="167">
        <f>+F1646/G1646</f>
        <v>8341.6375000000007</v>
      </c>
      <c r="I1646" s="44"/>
    </row>
    <row r="1647" spans="2:11" x14ac:dyDescent="0.15">
      <c r="B1647" s="4" t="s">
        <v>94</v>
      </c>
      <c r="C1647" s="24"/>
      <c r="D1647" s="32">
        <f>'MANO DE OBRA'!E14*6</f>
        <v>312000</v>
      </c>
      <c r="E1647" s="88">
        <v>1.75</v>
      </c>
      <c r="F1647" s="162">
        <f>+E1647*D1647</f>
        <v>546000</v>
      </c>
      <c r="G1647" s="20">
        <f>G1629</f>
        <v>20</v>
      </c>
      <c r="H1647" s="167">
        <f>+F1647/G1647</f>
        <v>27300</v>
      </c>
      <c r="I1647" s="44"/>
    </row>
    <row r="1648" spans="2:11" ht="14" thickBot="1" x14ac:dyDescent="0.2">
      <c r="B1648" s="33"/>
      <c r="C1648" s="34"/>
      <c r="D1648" s="22"/>
      <c r="E1648" s="21"/>
      <c r="F1648" s="22"/>
      <c r="G1648" s="23"/>
      <c r="H1648" s="47"/>
      <c r="I1648" s="48"/>
      <c r="K1648" s="105"/>
    </row>
    <row r="1649" spans="2:13" ht="14" thickBot="1" x14ac:dyDescent="0.2">
      <c r="B1649" s="1"/>
      <c r="C1649" s="1"/>
      <c r="D1649" s="1"/>
      <c r="E1649" s="1"/>
      <c r="F1649" s="1"/>
      <c r="G1649" s="1"/>
      <c r="H1649" s="37" t="s">
        <v>26</v>
      </c>
      <c r="I1649" s="175">
        <f>SUM(H1646:H1648)</f>
        <v>35641.637499999997</v>
      </c>
      <c r="K1649" s="223"/>
    </row>
    <row r="1650" spans="2:13" ht="14" thickBot="1" x14ac:dyDescent="0.2">
      <c r="B1650" s="1"/>
      <c r="C1650" s="1"/>
      <c r="D1650" s="1"/>
      <c r="E1650" s="1"/>
      <c r="F1650" s="1"/>
      <c r="G1650" s="1"/>
      <c r="H1650" s="61"/>
      <c r="I1650" s="1"/>
      <c r="L1650" s="105"/>
      <c r="M1650" s="105"/>
    </row>
    <row r="1651" spans="2:13" ht="15" thickBot="1" x14ac:dyDescent="0.2">
      <c r="B1651" s="1"/>
      <c r="C1651" s="1"/>
      <c r="D1651" s="1"/>
      <c r="E1651" s="1"/>
      <c r="F1651" s="35" t="s">
        <v>43</v>
      </c>
      <c r="G1651" s="16"/>
      <c r="H1651" s="16"/>
      <c r="I1651" s="222">
        <f>ROUND((I1631+I1637+I1643+I1649),0)</f>
        <v>252513</v>
      </c>
    </row>
    <row r="1652" spans="2:13" x14ac:dyDescent="0.15">
      <c r="B1652" s="12"/>
      <c r="C1652" s="12"/>
      <c r="D1652" s="1"/>
      <c r="E1652" s="1"/>
      <c r="F1652" s="1"/>
      <c r="G1652" s="1"/>
      <c r="H1652" s="170"/>
      <c r="I1652" s="170"/>
      <c r="M1652" s="105"/>
    </row>
    <row r="1653" spans="2:13" x14ac:dyDescent="0.15">
      <c r="B1653" s="16"/>
      <c r="C1653" s="16"/>
      <c r="D1653" s="16"/>
      <c r="E1653" s="16"/>
      <c r="F1653" s="16"/>
      <c r="G1653" s="61"/>
      <c r="H1653" s="171"/>
      <c r="I1653" s="170"/>
    </row>
    <row r="1654" spans="2:13" x14ac:dyDescent="0.15">
      <c r="B1654" s="1"/>
      <c r="C1654" s="1"/>
      <c r="D1654" s="1"/>
      <c r="E1654" s="1"/>
      <c r="F1654" s="1"/>
      <c r="G1654" s="159"/>
      <c r="H1654" s="170"/>
      <c r="I1654" s="170"/>
    </row>
    <row r="1655" spans="2:13" x14ac:dyDescent="0.15">
      <c r="B1655" s="1"/>
      <c r="C1655" s="1"/>
      <c r="D1655" s="1"/>
      <c r="E1655" s="1"/>
      <c r="F1655" s="1"/>
      <c r="G1655" s="159"/>
      <c r="H1655" s="170"/>
      <c r="I1655" s="170"/>
    </row>
    <row r="1656" spans="2:13" x14ac:dyDescent="0.15">
      <c r="B1656" s="1"/>
      <c r="C1656" s="1"/>
      <c r="D1656" s="1"/>
      <c r="E1656" s="1"/>
      <c r="F1656" s="1"/>
      <c r="G1656" s="159"/>
      <c r="H1656" s="170"/>
      <c r="I1656" s="170"/>
    </row>
    <row r="1657" spans="2:13" x14ac:dyDescent="0.15">
      <c r="B1657" s="1"/>
      <c r="C1657" s="1"/>
      <c r="D1657" s="1"/>
      <c r="E1657" s="1"/>
      <c r="F1657" s="1"/>
      <c r="G1657" s="1"/>
      <c r="H1657" s="37"/>
      <c r="I1657" s="170"/>
    </row>
    <row r="1658" spans="2:13" ht="14" x14ac:dyDescent="0.15">
      <c r="B1658" s="101"/>
      <c r="C1658" s="1"/>
      <c r="D1658" s="1"/>
      <c r="E1658" s="1"/>
      <c r="F1658" s="1"/>
      <c r="G1658" s="1"/>
      <c r="H1658" s="1"/>
      <c r="I1658" s="170"/>
    </row>
    <row r="1659" spans="2:13" ht="14" x14ac:dyDescent="0.15">
      <c r="B1659" s="83"/>
      <c r="C1659" s="11"/>
      <c r="D1659" s="1"/>
      <c r="E1659" s="637"/>
      <c r="F1659" s="637"/>
      <c r="G1659" s="637"/>
      <c r="H1659" s="637"/>
      <c r="I1659" s="169"/>
    </row>
    <row r="1660" spans="2:13" ht="14" x14ac:dyDescent="0.15">
      <c r="B1660" s="101"/>
      <c r="C1660" s="11"/>
      <c r="D1660" s="1"/>
      <c r="E1660" s="153"/>
      <c r="F1660" s="153"/>
      <c r="G1660" s="153"/>
      <c r="H1660" s="153"/>
      <c r="I1660" s="169"/>
    </row>
    <row r="1661" spans="2:13" ht="14" x14ac:dyDescent="0.15">
      <c r="B1661" s="101"/>
      <c r="C1661" s="11"/>
      <c r="D1661" s="1"/>
      <c r="E1661" s="153"/>
      <c r="F1661" s="153"/>
      <c r="G1661" s="153"/>
      <c r="H1661" s="153"/>
      <c r="I1661" s="169"/>
    </row>
    <row r="1662" spans="2:13" ht="14" x14ac:dyDescent="0.15">
      <c r="B1662" s="101"/>
      <c r="C1662" s="11"/>
      <c r="D1662" s="1"/>
      <c r="E1662" s="153"/>
      <c r="F1662" s="153"/>
      <c r="G1662" s="153"/>
      <c r="H1662" s="153"/>
      <c r="I1662" s="169"/>
    </row>
    <row r="1663" spans="2:13" ht="14" x14ac:dyDescent="0.15">
      <c r="B1663" s="101"/>
      <c r="C1663" s="11"/>
      <c r="D1663" s="1"/>
      <c r="E1663" s="153"/>
      <c r="F1663" s="153"/>
      <c r="G1663" s="153"/>
      <c r="H1663" s="153"/>
      <c r="I1663" s="169"/>
    </row>
    <row r="1664" spans="2:13" ht="14" x14ac:dyDescent="0.15">
      <c r="B1664" s="101"/>
      <c r="C1664" s="11"/>
      <c r="D1664" s="1"/>
      <c r="E1664" s="153"/>
      <c r="F1664" s="153"/>
      <c r="G1664" s="153"/>
      <c r="H1664" s="153"/>
      <c r="I1664" s="169"/>
    </row>
    <row r="1665" spans="2:10" ht="14" x14ac:dyDescent="0.15">
      <c r="B1665" s="101"/>
      <c r="C1665" s="11"/>
      <c r="D1665" s="1"/>
      <c r="E1665" s="153"/>
      <c r="F1665" s="153"/>
      <c r="G1665" s="153"/>
      <c r="H1665" s="153"/>
      <c r="I1665" s="169"/>
    </row>
    <row r="1666" spans="2:10" ht="14" x14ac:dyDescent="0.15">
      <c r="B1666" s="83"/>
      <c r="C1666" s="11"/>
      <c r="D1666" s="1"/>
      <c r="E1666" s="153"/>
      <c r="F1666" s="153"/>
      <c r="G1666" s="153"/>
      <c r="H1666" s="153"/>
      <c r="I1666" s="169"/>
    </row>
    <row r="1667" spans="2:10" x14ac:dyDescent="0.15">
      <c r="B1667" s="11"/>
      <c r="C1667" s="11"/>
      <c r="D1667" s="1"/>
      <c r="E1667" s="153"/>
      <c r="F1667" s="153"/>
      <c r="G1667" s="153"/>
      <c r="H1667" s="153"/>
      <c r="I1667" s="169"/>
    </row>
    <row r="1668" spans="2:10" x14ac:dyDescent="0.15">
      <c r="B1668" s="11"/>
      <c r="C1668" s="11"/>
      <c r="D1668" s="1"/>
      <c r="E1668" s="153"/>
      <c r="F1668" s="153"/>
      <c r="G1668" s="153"/>
      <c r="H1668" s="153"/>
      <c r="I1668" s="169"/>
    </row>
    <row r="1669" spans="2:10" x14ac:dyDescent="0.15">
      <c r="B1669" s="11"/>
      <c r="C1669" s="11"/>
      <c r="D1669" s="1"/>
      <c r="E1669" s="153"/>
      <c r="F1669" s="153"/>
      <c r="G1669" s="153"/>
      <c r="H1669" s="153"/>
      <c r="I1669" s="169"/>
    </row>
    <row r="1670" spans="2:10" x14ac:dyDescent="0.15">
      <c r="B1670" s="11"/>
      <c r="C1670" s="11"/>
      <c r="D1670" s="1"/>
      <c r="E1670" s="153"/>
      <c r="F1670" s="153"/>
      <c r="G1670" s="153"/>
      <c r="H1670" s="153"/>
      <c r="I1670" s="169"/>
    </row>
    <row r="1671" spans="2:10" x14ac:dyDescent="0.15">
      <c r="B1671" s="11"/>
      <c r="C1671" s="11"/>
      <c r="D1671" s="1"/>
      <c r="E1671" s="153"/>
      <c r="F1671" s="153"/>
      <c r="G1671" s="153"/>
      <c r="H1671" s="153"/>
      <c r="I1671" s="169"/>
    </row>
    <row r="1672" spans="2:10" ht="14" x14ac:dyDescent="0.15">
      <c r="B1672" s="101"/>
      <c r="C1672" s="83"/>
      <c r="D1672" s="84"/>
      <c r="E1672" s="83"/>
      <c r="F1672" s="83"/>
      <c r="G1672" s="102"/>
      <c r="H1672" s="83"/>
      <c r="I1672" s="85"/>
      <c r="J1672" s="85"/>
    </row>
    <row r="1673" spans="2:10" ht="14" x14ac:dyDescent="0.15">
      <c r="B1673" s="83"/>
      <c r="C1673" s="83"/>
      <c r="D1673" s="84"/>
      <c r="E1673" s="83"/>
      <c r="F1673" s="83"/>
      <c r="G1673" s="103"/>
      <c r="H1673" s="83"/>
      <c r="I1673" s="85"/>
      <c r="J1673" s="85"/>
    </row>
    <row r="1674" spans="2:10" ht="14" x14ac:dyDescent="0.15">
      <c r="B1674" s="83"/>
      <c r="C1674" s="83"/>
      <c r="D1674" s="84"/>
      <c r="E1674" s="83"/>
      <c r="F1674" s="83"/>
      <c r="G1674" s="103"/>
      <c r="H1674" s="83"/>
      <c r="I1674" s="85"/>
      <c r="J1674" s="85"/>
    </row>
    <row r="1675" spans="2:10" ht="14" thickBot="1" x14ac:dyDescent="0.2">
      <c r="B1675" s="11"/>
      <c r="C1675" s="11"/>
      <c r="D1675" s="1"/>
      <c r="E1675" s="153"/>
      <c r="F1675" s="153"/>
      <c r="G1675" s="153"/>
      <c r="H1675" s="153"/>
      <c r="I1675" s="169"/>
    </row>
    <row r="1676" spans="2:10" ht="21" customHeight="1" x14ac:dyDescent="0.15">
      <c r="B1676" s="607" t="s">
        <v>1065</v>
      </c>
      <c r="C1676" s="608"/>
      <c r="D1676" s="608"/>
      <c r="E1676" s="608"/>
      <c r="F1676" s="609"/>
      <c r="G1676" s="1"/>
      <c r="H1676" s="638" t="s">
        <v>20</v>
      </c>
      <c r="I1676" s="639"/>
    </row>
    <row r="1677" spans="2:10" ht="16.5" customHeight="1" x14ac:dyDescent="0.15">
      <c r="B1677" s="604" t="s">
        <v>446</v>
      </c>
      <c r="C1677" s="605"/>
      <c r="D1677" s="605"/>
      <c r="E1677" s="605"/>
      <c r="F1677" s="606"/>
      <c r="G1677" s="63"/>
      <c r="H1677" s="640"/>
      <c r="I1677" s="641"/>
    </row>
    <row r="1678" spans="2:10" ht="12.75" customHeight="1" x14ac:dyDescent="0.15">
      <c r="B1678" s="610" t="s">
        <v>447</v>
      </c>
      <c r="C1678" s="611"/>
      <c r="D1678" s="611"/>
      <c r="E1678" s="611"/>
      <c r="F1678" s="612"/>
      <c r="G1678" s="63"/>
      <c r="H1678" s="642"/>
      <c r="I1678" s="643"/>
    </row>
    <row r="1679" spans="2:10" ht="16.5" customHeight="1" thickBot="1" x14ac:dyDescent="0.2">
      <c r="B1679" s="613"/>
      <c r="C1679" s="614"/>
      <c r="D1679" s="614"/>
      <c r="E1679" s="614"/>
      <c r="F1679" s="615"/>
      <c r="G1679" s="1"/>
      <c r="H1679" s="668" t="s">
        <v>170</v>
      </c>
      <c r="I1679" s="669"/>
    </row>
    <row r="1680" spans="2:10" ht="14" thickBot="1" x14ac:dyDescent="0.2">
      <c r="B1680" s="15"/>
      <c r="C1680" s="16"/>
      <c r="D1680" s="1"/>
      <c r="E1680" s="1"/>
      <c r="F1680" s="1"/>
      <c r="G1680" s="1"/>
      <c r="H1680" s="670"/>
      <c r="I1680" s="671"/>
    </row>
    <row r="1681" spans="2:9" ht="12.75" customHeight="1" x14ac:dyDescent="0.15">
      <c r="B1681" s="650" t="s">
        <v>890</v>
      </c>
      <c r="C1681" s="651"/>
      <c r="D1681" s="651"/>
      <c r="E1681" s="651"/>
      <c r="F1681" s="652"/>
      <c r="G1681" s="1"/>
      <c r="H1681" s="670"/>
      <c r="I1681" s="671"/>
    </row>
    <row r="1682" spans="2:9" ht="12.75" customHeight="1" x14ac:dyDescent="0.15">
      <c r="B1682" s="653"/>
      <c r="C1682" s="654"/>
      <c r="D1682" s="654"/>
      <c r="E1682" s="654"/>
      <c r="F1682" s="655"/>
      <c r="H1682" s="670"/>
      <c r="I1682" s="671"/>
    </row>
    <row r="1683" spans="2:9" ht="13.5" customHeight="1" x14ac:dyDescent="0.15">
      <c r="B1683" s="653"/>
      <c r="C1683" s="654"/>
      <c r="D1683" s="654"/>
      <c r="E1683" s="654"/>
      <c r="F1683" s="655"/>
      <c r="G1683" s="11"/>
      <c r="H1683" s="672"/>
      <c r="I1683" s="673"/>
    </row>
    <row r="1684" spans="2:9" ht="21.75" customHeight="1" thickBot="1" x14ac:dyDescent="0.2">
      <c r="B1684" s="656"/>
      <c r="C1684" s="657"/>
      <c r="D1684" s="657"/>
      <c r="E1684" s="657"/>
      <c r="F1684" s="658"/>
      <c r="H1684" s="64" t="s">
        <v>45</v>
      </c>
      <c r="I1684" s="17" t="s">
        <v>5</v>
      </c>
    </row>
    <row r="1685" spans="2:9" x14ac:dyDescent="0.15">
      <c r="B1685" s="18"/>
      <c r="C1685" s="18"/>
      <c r="D1685" s="1"/>
      <c r="E1685" s="18"/>
      <c r="F1685" s="18"/>
      <c r="G1685" s="18"/>
      <c r="H1685" s="18"/>
      <c r="I1685" s="1"/>
    </row>
    <row r="1686" spans="2:9" ht="14" thickBot="1" x14ac:dyDescent="0.2">
      <c r="B1686" s="12" t="s">
        <v>21</v>
      </c>
      <c r="C1686" s="12"/>
      <c r="D1686" s="1"/>
      <c r="E1686" s="1"/>
      <c r="F1686" s="1"/>
      <c r="G1686" s="1"/>
      <c r="H1686" s="1"/>
      <c r="I1686" s="1"/>
    </row>
    <row r="1687" spans="2:9" x14ac:dyDescent="0.15">
      <c r="B1687" s="628" t="s">
        <v>22</v>
      </c>
      <c r="C1687" s="629"/>
      <c r="D1687" s="630"/>
      <c r="E1687" s="205" t="s">
        <v>23</v>
      </c>
      <c r="F1687" s="19" t="s">
        <v>47</v>
      </c>
      <c r="G1687" s="205" t="s">
        <v>24</v>
      </c>
      <c r="H1687" s="204" t="s">
        <v>25</v>
      </c>
      <c r="I1687" s="43"/>
    </row>
    <row r="1688" spans="2:9" x14ac:dyDescent="0.15">
      <c r="B1688" s="631" t="s">
        <v>56</v>
      </c>
      <c r="C1688" s="632"/>
      <c r="D1688" s="633"/>
      <c r="E1688" s="5"/>
      <c r="F1688" s="160"/>
      <c r="G1688" s="58"/>
      <c r="H1688" s="160">
        <f>I1708*0.05</f>
        <v>968.97986111111118</v>
      </c>
      <c r="I1688" s="44"/>
    </row>
    <row r="1689" spans="2:9" x14ac:dyDescent="0.15">
      <c r="B1689" s="631"/>
      <c r="C1689" s="632"/>
      <c r="D1689" s="633"/>
      <c r="E1689" s="5"/>
      <c r="F1689" s="46"/>
      <c r="G1689" s="20"/>
      <c r="H1689" s="56"/>
      <c r="I1689" s="44"/>
    </row>
    <row r="1690" spans="2:9" ht="14" thickBot="1" x14ac:dyDescent="0.2">
      <c r="B1690" s="634"/>
      <c r="C1690" s="635"/>
      <c r="D1690" s="636"/>
      <c r="E1690" s="21"/>
      <c r="F1690" s="22"/>
      <c r="G1690" s="23"/>
      <c r="H1690" s="47"/>
      <c r="I1690" s="48"/>
    </row>
    <row r="1691" spans="2:9" ht="14" thickBot="1" x14ac:dyDescent="0.2">
      <c r="B1691" s="1"/>
      <c r="C1691" s="1"/>
      <c r="D1691" s="1"/>
      <c r="E1691" s="1"/>
      <c r="F1691" s="1"/>
      <c r="G1691" s="1"/>
      <c r="H1691" s="37" t="s">
        <v>26</v>
      </c>
      <c r="I1691" s="161">
        <f>SUM(H1688:H1690)</f>
        <v>968.97986111111118</v>
      </c>
    </row>
    <row r="1692" spans="2:9" ht="14" thickBot="1" x14ac:dyDescent="0.2">
      <c r="B1692" s="12" t="s">
        <v>27</v>
      </c>
      <c r="C1692" s="12"/>
      <c r="D1692" s="1"/>
      <c r="E1692" s="1"/>
      <c r="F1692" s="1"/>
      <c r="G1692" s="1"/>
      <c r="H1692" s="1"/>
      <c r="I1692" s="1"/>
    </row>
    <row r="1693" spans="2:9" x14ac:dyDescent="0.15">
      <c r="B1693" s="628" t="s">
        <v>22</v>
      </c>
      <c r="C1693" s="629"/>
      <c r="D1693" s="630"/>
      <c r="E1693" s="205" t="s">
        <v>28</v>
      </c>
      <c r="F1693" s="205" t="s">
        <v>29</v>
      </c>
      <c r="G1693" s="205" t="s">
        <v>30</v>
      </c>
      <c r="H1693" s="204" t="s">
        <v>25</v>
      </c>
      <c r="I1693" s="43"/>
    </row>
    <row r="1694" spans="2:9" x14ac:dyDescent="0.15">
      <c r="B1694" s="4" t="s">
        <v>171</v>
      </c>
      <c r="C1694" s="24"/>
      <c r="D1694" s="6"/>
      <c r="E1694" s="3" t="s">
        <v>316</v>
      </c>
      <c r="F1694" s="164">
        <f>MATERIALES!F40</f>
        <v>1755.0000000000002</v>
      </c>
      <c r="G1694" s="73">
        <v>12.5</v>
      </c>
      <c r="H1694" s="163">
        <f>G1694*F1694</f>
        <v>21937.500000000004</v>
      </c>
      <c r="I1694" s="44"/>
    </row>
    <row r="1695" spans="2:9" x14ac:dyDescent="0.15">
      <c r="B1695" s="4" t="s">
        <v>68</v>
      </c>
      <c r="C1695" s="24"/>
      <c r="D1695" s="6"/>
      <c r="E1695" s="3" t="s">
        <v>6</v>
      </c>
      <c r="F1695" s="164">
        <f>'APU -BASICOS'!H153</f>
        <v>669587</v>
      </c>
      <c r="G1695" s="99">
        <v>0.02</v>
      </c>
      <c r="H1695" s="163">
        <f>G1695*F1695</f>
        <v>13391.74</v>
      </c>
      <c r="I1695" s="44"/>
    </row>
    <row r="1696" spans="2:9" ht="14" thickBot="1" x14ac:dyDescent="0.2">
      <c r="B1696" s="25"/>
      <c r="C1696" s="26"/>
      <c r="D1696" s="27"/>
      <c r="E1696" s="21"/>
      <c r="F1696" s="22"/>
      <c r="G1696" s="165"/>
      <c r="H1696" s="47"/>
      <c r="I1696" s="48"/>
    </row>
    <row r="1697" spans="2:11" ht="14" thickBot="1" x14ac:dyDescent="0.2">
      <c r="B1697" s="1"/>
      <c r="C1697" s="1"/>
      <c r="D1697" s="1"/>
      <c r="E1697" s="1"/>
      <c r="F1697" s="1"/>
      <c r="G1697" s="1"/>
      <c r="H1697" s="37" t="s">
        <v>26</v>
      </c>
      <c r="I1697" s="161">
        <f>SUM(H1694:H1696)</f>
        <v>35329.240000000005</v>
      </c>
    </row>
    <row r="1698" spans="2:11" ht="14" thickBot="1" x14ac:dyDescent="0.2">
      <c r="B1698" s="28" t="s">
        <v>31</v>
      </c>
      <c r="C1698" s="28"/>
      <c r="D1698" s="26"/>
      <c r="E1698" s="1"/>
      <c r="F1698" s="1"/>
      <c r="G1698" s="1"/>
      <c r="H1698" s="1"/>
      <c r="I1698" s="1"/>
    </row>
    <row r="1699" spans="2:11" x14ac:dyDescent="0.15">
      <c r="B1699" s="51" t="s">
        <v>32</v>
      </c>
      <c r="C1699" s="52"/>
      <c r="D1699" s="96" t="s">
        <v>33</v>
      </c>
      <c r="E1699" s="205" t="s">
        <v>34</v>
      </c>
      <c r="F1699" s="205" t="s">
        <v>35</v>
      </c>
      <c r="G1699" s="205" t="s">
        <v>36</v>
      </c>
      <c r="H1699" s="59" t="s">
        <v>25</v>
      </c>
      <c r="I1699" s="43"/>
    </row>
    <row r="1700" spans="2:11" x14ac:dyDescent="0.15">
      <c r="B1700" s="4" t="s">
        <v>79</v>
      </c>
      <c r="C1700" s="6"/>
      <c r="D1700" s="53">
        <v>0.09</v>
      </c>
      <c r="E1700" s="2">
        <v>15</v>
      </c>
      <c r="F1700" s="2">
        <f>E1700*D1700</f>
        <v>1.3499999999999999</v>
      </c>
      <c r="G1700" s="160">
        <v>1100</v>
      </c>
      <c r="H1700" s="20">
        <f>G1700*F1700</f>
        <v>1484.9999999999998</v>
      </c>
      <c r="I1700" s="44"/>
    </row>
    <row r="1701" spans="2:11" ht="14" thickBot="1" x14ac:dyDescent="0.2">
      <c r="B1701" s="33"/>
      <c r="C1701" s="54"/>
      <c r="D1701" s="21"/>
      <c r="E1701" s="22"/>
      <c r="F1701" s="23"/>
      <c r="G1701" s="47"/>
      <c r="H1701" s="21"/>
      <c r="I1701" s="48"/>
    </row>
    <row r="1702" spans="2:11" ht="14" thickBot="1" x14ac:dyDescent="0.2">
      <c r="B1702" s="1"/>
      <c r="C1702" s="1"/>
      <c r="D1702" s="1"/>
      <c r="E1702" s="1"/>
      <c r="F1702" s="1"/>
      <c r="G1702" s="1"/>
      <c r="H1702" s="37" t="s">
        <v>26</v>
      </c>
      <c r="I1702" s="161">
        <f>SUM(H1700:H1701)</f>
        <v>1484.9999999999998</v>
      </c>
    </row>
    <row r="1703" spans="2:11" ht="14" thickBot="1" x14ac:dyDescent="0.2">
      <c r="B1703" s="28" t="s">
        <v>37</v>
      </c>
      <c r="C1703" s="28"/>
      <c r="D1703" s="1"/>
      <c r="E1703" s="1"/>
      <c r="F1703" s="1"/>
      <c r="G1703" s="1"/>
      <c r="H1703" s="1"/>
      <c r="I1703" s="1"/>
    </row>
    <row r="1704" spans="2:11" x14ac:dyDescent="0.15">
      <c r="B1704" s="51" t="s">
        <v>38</v>
      </c>
      <c r="C1704" s="86"/>
      <c r="D1704" s="31" t="s">
        <v>39</v>
      </c>
      <c r="E1704" s="205" t="s">
        <v>40</v>
      </c>
      <c r="F1704" s="19" t="s">
        <v>41</v>
      </c>
      <c r="G1704" s="31" t="s">
        <v>24</v>
      </c>
      <c r="H1704" s="204" t="s">
        <v>25</v>
      </c>
      <c r="I1704" s="43"/>
    </row>
    <row r="1705" spans="2:11" x14ac:dyDescent="0.15">
      <c r="B1705" s="4" t="s">
        <v>65</v>
      </c>
      <c r="C1705" s="24"/>
      <c r="D1705" s="32">
        <f>'MANO DE OBRA'!E15</f>
        <v>95333</v>
      </c>
      <c r="E1705" s="88">
        <v>1.75</v>
      </c>
      <c r="F1705" s="162">
        <f>+E1705*D1705</f>
        <v>166832.75</v>
      </c>
      <c r="G1705" s="79">
        <v>18</v>
      </c>
      <c r="H1705" s="167">
        <f>+F1705/G1705</f>
        <v>9268.4861111111113</v>
      </c>
      <c r="I1705" s="44"/>
    </row>
    <row r="1706" spans="2:11" x14ac:dyDescent="0.15">
      <c r="B1706" s="4" t="s">
        <v>55</v>
      </c>
      <c r="C1706" s="24"/>
      <c r="D1706" s="32">
        <f>'MANO DE OBRA'!E14*2</f>
        <v>104000</v>
      </c>
      <c r="E1706" s="88">
        <v>1.75</v>
      </c>
      <c r="F1706" s="162">
        <f>+E1706*D1706</f>
        <v>182000</v>
      </c>
      <c r="G1706" s="79">
        <v>18</v>
      </c>
      <c r="H1706" s="167">
        <f>+F1706/G1706</f>
        <v>10111.111111111111</v>
      </c>
      <c r="I1706" s="44"/>
    </row>
    <row r="1707" spans="2:11" ht="14" thickBot="1" x14ac:dyDescent="0.2">
      <c r="B1707" s="33"/>
      <c r="C1707" s="34"/>
      <c r="D1707" s="22"/>
      <c r="E1707" s="21"/>
      <c r="F1707" s="22"/>
      <c r="G1707" s="23"/>
      <c r="H1707" s="47"/>
      <c r="I1707" s="48"/>
      <c r="K1707" s="105"/>
    </row>
    <row r="1708" spans="2:11" ht="14" thickBot="1" x14ac:dyDescent="0.2">
      <c r="B1708" s="1"/>
      <c r="C1708" s="1"/>
      <c r="D1708" s="1"/>
      <c r="E1708" s="1"/>
      <c r="F1708" s="1"/>
      <c r="G1708" s="1"/>
      <c r="H1708" s="37" t="s">
        <v>26</v>
      </c>
      <c r="I1708" s="175">
        <f>SUM(H1705:H1707)</f>
        <v>19379.597222222223</v>
      </c>
    </row>
    <row r="1709" spans="2:11" ht="14" thickBot="1" x14ac:dyDescent="0.2">
      <c r="B1709" s="1"/>
      <c r="C1709" s="1"/>
      <c r="D1709" s="1"/>
      <c r="E1709" s="1"/>
      <c r="F1709" s="1"/>
      <c r="G1709" s="1"/>
      <c r="H1709" s="61"/>
      <c r="I1709" s="1"/>
    </row>
    <row r="1710" spans="2:11" ht="15" thickBot="1" x14ac:dyDescent="0.2">
      <c r="B1710" s="1"/>
      <c r="C1710" s="1"/>
      <c r="D1710" s="1"/>
      <c r="E1710" s="1"/>
      <c r="F1710" s="35" t="s">
        <v>43</v>
      </c>
      <c r="G1710" s="16"/>
      <c r="H1710" s="16"/>
      <c r="I1710" s="222">
        <f>ROUND((I1691+I1697+I1702+I1708),0)</f>
        <v>57163</v>
      </c>
      <c r="K1710" s="105"/>
    </row>
    <row r="1711" spans="2:11" x14ac:dyDescent="0.15">
      <c r="B1711" s="12"/>
      <c r="C1711" s="12"/>
      <c r="D1711" s="1"/>
      <c r="E1711" s="1"/>
      <c r="F1711" s="1"/>
      <c r="G1711" s="1"/>
      <c r="H1711" s="170"/>
      <c r="I1711" s="170"/>
    </row>
    <row r="1712" spans="2:11" x14ac:dyDescent="0.15">
      <c r="B1712" s="16"/>
      <c r="C1712" s="16"/>
      <c r="D1712" s="16"/>
      <c r="E1712" s="16"/>
      <c r="F1712" s="16"/>
      <c r="G1712" s="61"/>
      <c r="H1712" s="171"/>
      <c r="I1712" s="170"/>
    </row>
    <row r="1713" spans="2:9" x14ac:dyDescent="0.15">
      <c r="B1713" s="1"/>
      <c r="C1713" s="1"/>
      <c r="D1713" s="1"/>
      <c r="E1713" s="1"/>
      <c r="F1713" s="1"/>
      <c r="G1713" s="159"/>
      <c r="H1713" s="170"/>
      <c r="I1713" s="170"/>
    </row>
    <row r="1714" spans="2:9" x14ac:dyDescent="0.15">
      <c r="B1714" s="1"/>
      <c r="C1714" s="1"/>
      <c r="D1714" s="1"/>
      <c r="E1714" s="1"/>
      <c r="F1714" s="1"/>
      <c r="G1714" s="159"/>
      <c r="H1714" s="170"/>
      <c r="I1714" s="170"/>
    </row>
    <row r="1715" spans="2:9" x14ac:dyDescent="0.15">
      <c r="B1715" s="1"/>
      <c r="C1715" s="1"/>
      <c r="D1715" s="1"/>
      <c r="E1715" s="1"/>
      <c r="F1715" s="1"/>
      <c r="G1715" s="159"/>
      <c r="H1715" s="170"/>
      <c r="I1715" s="170"/>
    </row>
    <row r="1716" spans="2:9" x14ac:dyDescent="0.15">
      <c r="B1716" s="1"/>
      <c r="C1716" s="1"/>
      <c r="D1716" s="1"/>
      <c r="E1716" s="1"/>
      <c r="F1716" s="1"/>
      <c r="G1716" s="1"/>
      <c r="H1716" s="37"/>
      <c r="I1716" s="170"/>
    </row>
    <row r="1717" spans="2:9" ht="14" x14ac:dyDescent="0.15">
      <c r="B1717" s="101"/>
      <c r="C1717" s="1"/>
      <c r="D1717" s="1"/>
      <c r="E1717" s="1"/>
      <c r="F1717" s="1"/>
      <c r="G1717" s="1"/>
      <c r="H1717" s="1"/>
      <c r="I1717" s="170"/>
    </row>
    <row r="1718" spans="2:9" ht="14" x14ac:dyDescent="0.15">
      <c r="B1718" s="83"/>
      <c r="C1718" s="11"/>
      <c r="D1718" s="1"/>
      <c r="E1718" s="637"/>
      <c r="F1718" s="637"/>
      <c r="G1718" s="637"/>
      <c r="H1718" s="637"/>
      <c r="I1718" s="169"/>
    </row>
    <row r="1719" spans="2:9" ht="14" x14ac:dyDescent="0.15">
      <c r="B1719" s="101"/>
      <c r="C1719" s="11"/>
      <c r="D1719" s="1"/>
      <c r="E1719" s="153"/>
      <c r="F1719" s="153"/>
      <c r="G1719" s="153"/>
      <c r="H1719" s="153"/>
      <c r="I1719" s="169"/>
    </row>
    <row r="1720" spans="2:9" ht="14" x14ac:dyDescent="0.15">
      <c r="B1720" s="83"/>
      <c r="C1720" s="11"/>
      <c r="D1720" s="1"/>
      <c r="E1720" s="153"/>
      <c r="F1720" s="153"/>
      <c r="G1720" s="153"/>
      <c r="H1720" s="153"/>
      <c r="I1720" s="169"/>
    </row>
    <row r="1721" spans="2:9" x14ac:dyDescent="0.15">
      <c r="B1721" s="11"/>
      <c r="C1721" s="11"/>
      <c r="D1721" s="1"/>
      <c r="E1721" s="153"/>
      <c r="F1721" s="153"/>
      <c r="G1721" s="153"/>
      <c r="H1721" s="153"/>
      <c r="I1721" s="169"/>
    </row>
    <row r="1722" spans="2:9" x14ac:dyDescent="0.15">
      <c r="B1722" s="11"/>
      <c r="C1722" s="11"/>
      <c r="D1722" s="1"/>
      <c r="E1722" s="153"/>
      <c r="F1722" s="153"/>
      <c r="G1722" s="153"/>
      <c r="H1722" s="153"/>
      <c r="I1722" s="169"/>
    </row>
    <row r="1723" spans="2:9" x14ac:dyDescent="0.15">
      <c r="B1723" s="11"/>
      <c r="C1723" s="11"/>
      <c r="D1723" s="1"/>
      <c r="E1723" s="153"/>
      <c r="F1723" s="153"/>
      <c r="G1723" s="153"/>
      <c r="H1723" s="153"/>
      <c r="I1723" s="169"/>
    </row>
    <row r="1724" spans="2:9" x14ac:dyDescent="0.15">
      <c r="B1724" s="11"/>
      <c r="C1724" s="11"/>
      <c r="D1724" s="1"/>
      <c r="E1724" s="153"/>
      <c r="F1724" s="153"/>
      <c r="G1724" s="153"/>
      <c r="H1724" s="153"/>
      <c r="I1724" s="169"/>
    </row>
    <row r="1725" spans="2:9" x14ac:dyDescent="0.15">
      <c r="B1725" s="11"/>
      <c r="C1725" s="11"/>
      <c r="D1725" s="1"/>
      <c r="E1725" s="153"/>
      <c r="F1725" s="153"/>
      <c r="G1725" s="153"/>
      <c r="H1725" s="153"/>
      <c r="I1725" s="169"/>
    </row>
    <row r="1726" spans="2:9" x14ac:dyDescent="0.15">
      <c r="B1726" s="11"/>
      <c r="C1726" s="11"/>
      <c r="D1726" s="1"/>
      <c r="E1726" s="153"/>
      <c r="F1726" s="153"/>
      <c r="G1726" s="153"/>
      <c r="H1726" s="153"/>
      <c r="I1726" s="169"/>
    </row>
    <row r="1727" spans="2:9" x14ac:dyDescent="0.15">
      <c r="B1727" s="11"/>
      <c r="C1727" s="11"/>
      <c r="D1727" s="1"/>
      <c r="E1727" s="153"/>
      <c r="F1727" s="153"/>
      <c r="G1727" s="153"/>
      <c r="H1727" s="153"/>
      <c r="I1727" s="169"/>
    </row>
    <row r="1728" spans="2:9" x14ac:dyDescent="0.15">
      <c r="B1728" s="11"/>
      <c r="C1728" s="11"/>
      <c r="D1728" s="1"/>
      <c r="E1728" s="153"/>
      <c r="F1728" s="153"/>
      <c r="G1728" s="153"/>
      <c r="H1728" s="153"/>
      <c r="I1728" s="169"/>
    </row>
    <row r="1729" spans="2:10" x14ac:dyDescent="0.15">
      <c r="B1729" s="11"/>
      <c r="C1729" s="11"/>
      <c r="D1729" s="1"/>
      <c r="E1729" s="153"/>
      <c r="F1729" s="153"/>
      <c r="G1729" s="153"/>
      <c r="H1729" s="153"/>
      <c r="I1729" s="169"/>
    </row>
    <row r="1730" spans="2:10" x14ac:dyDescent="0.15">
      <c r="B1730" s="11"/>
      <c r="C1730" s="11"/>
      <c r="D1730" s="1"/>
      <c r="E1730" s="153"/>
      <c r="F1730" s="153"/>
      <c r="G1730" s="153"/>
      <c r="H1730" s="153"/>
      <c r="I1730" s="169"/>
    </row>
    <row r="1731" spans="2:10" x14ac:dyDescent="0.15">
      <c r="B1731" s="11"/>
      <c r="C1731" s="11"/>
      <c r="D1731" s="11"/>
      <c r="E1731" s="11"/>
      <c r="F1731" s="11"/>
      <c r="G1731" s="11"/>
      <c r="H1731" s="11"/>
      <c r="I1731" s="11"/>
    </row>
    <row r="1732" spans="2:10" x14ac:dyDescent="0.15">
      <c r="B1732" s="11"/>
      <c r="C1732" s="11"/>
      <c r="D1732" s="11"/>
      <c r="E1732" s="11"/>
      <c r="F1732" s="11"/>
      <c r="G1732" s="11"/>
      <c r="H1732" s="11"/>
      <c r="I1732" s="11"/>
    </row>
    <row r="1733" spans="2:10" ht="14" x14ac:dyDescent="0.15">
      <c r="B1733" s="101"/>
      <c r="C1733" s="83"/>
      <c r="D1733" s="84"/>
      <c r="E1733" s="83"/>
      <c r="F1733" s="83"/>
      <c r="G1733" s="102"/>
      <c r="H1733" s="83"/>
      <c r="I1733" s="85"/>
      <c r="J1733" s="85"/>
    </row>
    <row r="1734" spans="2:10" ht="14" x14ac:dyDescent="0.15">
      <c r="B1734" s="83"/>
      <c r="C1734" s="83"/>
      <c r="D1734" s="84"/>
      <c r="E1734" s="83"/>
      <c r="F1734" s="83"/>
      <c r="G1734" s="103"/>
      <c r="H1734" s="83"/>
      <c r="I1734" s="85"/>
      <c r="J1734" s="85"/>
    </row>
    <row r="1735" spans="2:10" x14ac:dyDescent="0.15">
      <c r="B1735" s="11"/>
      <c r="C1735" s="11"/>
      <c r="D1735" s="1"/>
      <c r="E1735" s="153"/>
      <c r="F1735" s="153"/>
      <c r="G1735" s="153"/>
      <c r="H1735" s="153"/>
      <c r="I1735" s="169"/>
    </row>
    <row r="1736" spans="2:10" ht="14" thickBot="1" x14ac:dyDescent="0.2"/>
    <row r="1737" spans="2:10" ht="21" customHeight="1" x14ac:dyDescent="0.15">
      <c r="B1737" s="607" t="s">
        <v>1065</v>
      </c>
      <c r="C1737" s="608"/>
      <c r="D1737" s="608"/>
      <c r="E1737" s="608"/>
      <c r="F1737" s="609"/>
      <c r="G1737" s="1"/>
      <c r="H1737" s="712" t="s">
        <v>20</v>
      </c>
      <c r="I1737" s="713"/>
    </row>
    <row r="1738" spans="2:10" ht="16.5" customHeight="1" x14ac:dyDescent="0.15">
      <c r="B1738" s="604" t="s">
        <v>446</v>
      </c>
      <c r="C1738" s="605"/>
      <c r="D1738" s="605"/>
      <c r="E1738" s="605"/>
      <c r="F1738" s="606"/>
      <c r="G1738" s="63"/>
      <c r="H1738" s="531"/>
      <c r="I1738" s="533"/>
    </row>
    <row r="1739" spans="2:10" ht="12.75" customHeight="1" x14ac:dyDescent="0.15">
      <c r="B1739" s="610" t="s">
        <v>447</v>
      </c>
      <c r="C1739" s="611"/>
      <c r="D1739" s="611"/>
      <c r="E1739" s="611"/>
      <c r="F1739" s="612"/>
      <c r="G1739" s="63"/>
      <c r="H1739" s="676" t="s">
        <v>752</v>
      </c>
      <c r="I1739" s="716"/>
    </row>
    <row r="1740" spans="2:10" ht="16.5" customHeight="1" thickBot="1" x14ac:dyDescent="0.2">
      <c r="B1740" s="613"/>
      <c r="C1740" s="614"/>
      <c r="D1740" s="614"/>
      <c r="E1740" s="614"/>
      <c r="F1740" s="615"/>
      <c r="G1740" s="1"/>
      <c r="H1740" s="717"/>
      <c r="I1740" s="718"/>
    </row>
    <row r="1741" spans="2:10" ht="14" thickBot="1" x14ac:dyDescent="0.2">
      <c r="B1741" s="15"/>
      <c r="C1741" s="16"/>
      <c r="D1741" s="1"/>
      <c r="E1741" s="1"/>
      <c r="F1741" s="1"/>
      <c r="G1741" s="1"/>
      <c r="H1741" s="717"/>
      <c r="I1741" s="718"/>
    </row>
    <row r="1742" spans="2:10" ht="12.75" customHeight="1" x14ac:dyDescent="0.15">
      <c r="B1742" s="650" t="s">
        <v>890</v>
      </c>
      <c r="C1742" s="651"/>
      <c r="D1742" s="651"/>
      <c r="E1742" s="651"/>
      <c r="F1742" s="652"/>
      <c r="G1742" s="1"/>
      <c r="H1742" s="717"/>
      <c r="I1742" s="718"/>
    </row>
    <row r="1743" spans="2:10" ht="12.75" customHeight="1" x14ac:dyDescent="0.15">
      <c r="B1743" s="653"/>
      <c r="C1743" s="654"/>
      <c r="D1743" s="654"/>
      <c r="E1743" s="654"/>
      <c r="F1743" s="655"/>
      <c r="H1743" s="717"/>
      <c r="I1743" s="718"/>
    </row>
    <row r="1744" spans="2:10" ht="13.5" customHeight="1" x14ac:dyDescent="0.15">
      <c r="B1744" s="653"/>
      <c r="C1744" s="654"/>
      <c r="D1744" s="654"/>
      <c r="E1744" s="654"/>
      <c r="F1744" s="655"/>
      <c r="G1744" s="11"/>
      <c r="H1744" s="719"/>
      <c r="I1744" s="720"/>
    </row>
    <row r="1745" spans="2:9" ht="21.75" customHeight="1" thickBot="1" x14ac:dyDescent="0.2">
      <c r="B1745" s="656"/>
      <c r="C1745" s="657"/>
      <c r="D1745" s="657"/>
      <c r="E1745" s="657"/>
      <c r="F1745" s="658"/>
      <c r="H1745" s="64" t="s">
        <v>45</v>
      </c>
      <c r="I1745" s="17" t="s">
        <v>5</v>
      </c>
    </row>
    <row r="1746" spans="2:9" x14ac:dyDescent="0.15">
      <c r="B1746" s="18"/>
      <c r="C1746" s="18"/>
      <c r="D1746" s="1"/>
      <c r="E1746" s="18"/>
      <c r="F1746" s="18"/>
      <c r="G1746" s="18"/>
      <c r="H1746" s="18"/>
      <c r="I1746" s="1"/>
    </row>
    <row r="1747" spans="2:9" ht="14" thickBot="1" x14ac:dyDescent="0.2">
      <c r="B1747" s="12" t="s">
        <v>21</v>
      </c>
      <c r="C1747" s="12"/>
      <c r="D1747" s="1"/>
      <c r="E1747" s="1"/>
      <c r="F1747" s="1"/>
      <c r="G1747" s="1"/>
      <c r="H1747" s="1"/>
      <c r="I1747" s="1"/>
    </row>
    <row r="1748" spans="2:9" x14ac:dyDescent="0.15">
      <c r="B1748" s="628" t="s">
        <v>22</v>
      </c>
      <c r="C1748" s="629"/>
      <c r="D1748" s="630"/>
      <c r="E1748" s="205" t="s">
        <v>23</v>
      </c>
      <c r="F1748" s="19" t="s">
        <v>47</v>
      </c>
      <c r="G1748" s="205" t="s">
        <v>24</v>
      </c>
      <c r="H1748" s="204" t="s">
        <v>25</v>
      </c>
      <c r="I1748" s="43"/>
    </row>
    <row r="1749" spans="2:9" x14ac:dyDescent="0.15">
      <c r="B1749" s="631" t="s">
        <v>56</v>
      </c>
      <c r="C1749" s="632"/>
      <c r="D1749" s="633"/>
      <c r="E1749" s="5"/>
      <c r="F1749" s="160"/>
      <c r="G1749" s="58"/>
      <c r="H1749" s="160">
        <f>I1768*0.05</f>
        <v>968.97986111111118</v>
      </c>
      <c r="I1749" s="44"/>
    </row>
    <row r="1750" spans="2:9" x14ac:dyDescent="0.15">
      <c r="B1750" s="631"/>
      <c r="C1750" s="632"/>
      <c r="D1750" s="633"/>
      <c r="E1750" s="5"/>
      <c r="F1750" s="46"/>
      <c r="G1750" s="20"/>
      <c r="H1750" s="56"/>
      <c r="I1750" s="44"/>
    </row>
    <row r="1751" spans="2:9" ht="14" thickBot="1" x14ac:dyDescent="0.2">
      <c r="B1751" s="634"/>
      <c r="C1751" s="635"/>
      <c r="D1751" s="636"/>
      <c r="E1751" s="21"/>
      <c r="F1751" s="22"/>
      <c r="G1751" s="23"/>
      <c r="H1751" s="47"/>
      <c r="I1751" s="48"/>
    </row>
    <row r="1752" spans="2:9" ht="14" thickBot="1" x14ac:dyDescent="0.2">
      <c r="B1752" s="1"/>
      <c r="C1752" s="1"/>
      <c r="D1752" s="1"/>
      <c r="E1752" s="1"/>
      <c r="F1752" s="1"/>
      <c r="G1752" s="1"/>
      <c r="H1752" s="37" t="s">
        <v>26</v>
      </c>
      <c r="I1752" s="161">
        <f>SUM(H1749:H1751)</f>
        <v>968.97986111111118</v>
      </c>
    </row>
    <row r="1753" spans="2:9" ht="14" thickBot="1" x14ac:dyDescent="0.2">
      <c r="B1753" s="12" t="s">
        <v>27</v>
      </c>
      <c r="C1753" s="12"/>
      <c r="D1753" s="1"/>
      <c r="E1753" s="1"/>
      <c r="F1753" s="1"/>
      <c r="G1753" s="1"/>
      <c r="H1753" s="1"/>
      <c r="I1753" s="1"/>
    </row>
    <row r="1754" spans="2:9" x14ac:dyDescent="0.15">
      <c r="B1754" s="628" t="s">
        <v>22</v>
      </c>
      <c r="C1754" s="629"/>
      <c r="D1754" s="630"/>
      <c r="E1754" s="205" t="s">
        <v>28</v>
      </c>
      <c r="F1754" s="205" t="s">
        <v>29</v>
      </c>
      <c r="G1754" s="205" t="s">
        <v>30</v>
      </c>
      <c r="H1754" s="204" t="s">
        <v>25</v>
      </c>
      <c r="I1754" s="43"/>
    </row>
    <row r="1755" spans="2:9" x14ac:dyDescent="0.15">
      <c r="B1755" s="4" t="s">
        <v>68</v>
      </c>
      <c r="C1755" s="24"/>
      <c r="D1755" s="6"/>
      <c r="E1755" s="3" t="s">
        <v>6</v>
      </c>
      <c r="F1755" s="162">
        <f>'APU -BASICOS'!H153</f>
        <v>669587</v>
      </c>
      <c r="G1755" s="99">
        <f>1*1*0.02</f>
        <v>0.02</v>
      </c>
      <c r="H1755" s="163">
        <f>G1755*F1755</f>
        <v>13391.74</v>
      </c>
      <c r="I1755" s="44"/>
    </row>
    <row r="1756" spans="2:9" ht="14" thickBot="1" x14ac:dyDescent="0.2">
      <c r="B1756" s="25"/>
      <c r="C1756" s="26"/>
      <c r="D1756" s="27"/>
      <c r="E1756" s="21"/>
      <c r="F1756" s="22"/>
      <c r="G1756" s="165"/>
      <c r="H1756" s="47"/>
      <c r="I1756" s="48"/>
    </row>
    <row r="1757" spans="2:9" ht="14" thickBot="1" x14ac:dyDescent="0.2">
      <c r="B1757" s="1"/>
      <c r="C1757" s="1"/>
      <c r="D1757" s="1"/>
      <c r="E1757" s="1"/>
      <c r="F1757" s="1"/>
      <c r="G1757" s="1"/>
      <c r="H1757" s="37" t="s">
        <v>26</v>
      </c>
      <c r="I1757" s="161">
        <f>SUM(H1755:H1756)</f>
        <v>13391.74</v>
      </c>
    </row>
    <row r="1758" spans="2:9" ht="14" thickBot="1" x14ac:dyDescent="0.2">
      <c r="B1758" s="28" t="s">
        <v>31</v>
      </c>
      <c r="C1758" s="28"/>
      <c r="D1758" s="26"/>
      <c r="E1758" s="1"/>
      <c r="F1758" s="1"/>
      <c r="G1758" s="1"/>
      <c r="H1758" s="1"/>
      <c r="I1758" s="1"/>
    </row>
    <row r="1759" spans="2:9" x14ac:dyDescent="0.15">
      <c r="B1759" s="51" t="s">
        <v>32</v>
      </c>
      <c r="C1759" s="52"/>
      <c r="D1759" s="96" t="s">
        <v>33</v>
      </c>
      <c r="E1759" s="205" t="s">
        <v>34</v>
      </c>
      <c r="F1759" s="205" t="s">
        <v>35</v>
      </c>
      <c r="G1759" s="205" t="s">
        <v>36</v>
      </c>
      <c r="H1759" s="59" t="s">
        <v>25</v>
      </c>
      <c r="I1759" s="43"/>
    </row>
    <row r="1760" spans="2:9" x14ac:dyDescent="0.15">
      <c r="B1760" s="4"/>
      <c r="C1760" s="6"/>
      <c r="D1760" s="53"/>
      <c r="E1760" s="2"/>
      <c r="F1760" s="2"/>
      <c r="G1760" s="160"/>
      <c r="H1760" s="20"/>
      <c r="I1760" s="44"/>
    </row>
    <row r="1761" spans="2:10" ht="14" thickBot="1" x14ac:dyDescent="0.2">
      <c r="B1761" s="33"/>
      <c r="C1761" s="54"/>
      <c r="D1761" s="21"/>
      <c r="E1761" s="22"/>
      <c r="F1761" s="23"/>
      <c r="G1761" s="47"/>
      <c r="H1761" s="21"/>
      <c r="I1761" s="48"/>
    </row>
    <row r="1762" spans="2:10" ht="14" thickBot="1" x14ac:dyDescent="0.2">
      <c r="B1762" s="1"/>
      <c r="C1762" s="1"/>
      <c r="D1762" s="1"/>
      <c r="E1762" s="1"/>
      <c r="F1762" s="1"/>
      <c r="G1762" s="1"/>
      <c r="H1762" s="37" t="s">
        <v>26</v>
      </c>
      <c r="I1762" s="161">
        <f>SUM(H1760:H1761)</f>
        <v>0</v>
      </c>
    </row>
    <row r="1763" spans="2:10" ht="14" thickBot="1" x14ac:dyDescent="0.2">
      <c r="B1763" s="28" t="s">
        <v>37</v>
      </c>
      <c r="C1763" s="28"/>
      <c r="D1763" s="1"/>
      <c r="E1763" s="1"/>
      <c r="F1763" s="1"/>
      <c r="G1763" s="1"/>
      <c r="H1763" s="1"/>
      <c r="I1763" s="1"/>
    </row>
    <row r="1764" spans="2:10" x14ac:dyDescent="0.15">
      <c r="B1764" s="51" t="s">
        <v>38</v>
      </c>
      <c r="C1764" s="86"/>
      <c r="D1764" s="31" t="s">
        <v>39</v>
      </c>
      <c r="E1764" s="205" t="s">
        <v>40</v>
      </c>
      <c r="F1764" s="19" t="s">
        <v>41</v>
      </c>
      <c r="G1764" s="31" t="s">
        <v>24</v>
      </c>
      <c r="H1764" s="204" t="s">
        <v>25</v>
      </c>
      <c r="I1764" s="43"/>
    </row>
    <row r="1765" spans="2:10" x14ac:dyDescent="0.15">
      <c r="B1765" s="4" t="s">
        <v>65</v>
      </c>
      <c r="C1765" s="24"/>
      <c r="D1765" s="32">
        <f>'MANO DE OBRA'!E15</f>
        <v>95333</v>
      </c>
      <c r="E1765" s="166">
        <v>1.75</v>
      </c>
      <c r="F1765" s="162">
        <f>+E1765*D1765</f>
        <v>166832.75</v>
      </c>
      <c r="G1765" s="20">
        <v>18</v>
      </c>
      <c r="H1765" s="167">
        <f>+F1765/G1765</f>
        <v>9268.4861111111113</v>
      </c>
      <c r="I1765" s="44"/>
    </row>
    <row r="1766" spans="2:10" x14ac:dyDescent="0.15">
      <c r="B1766" s="4" t="s">
        <v>55</v>
      </c>
      <c r="C1766" s="24"/>
      <c r="D1766" s="32">
        <f>'MANO DE OBRA'!E14*2</f>
        <v>104000</v>
      </c>
      <c r="E1766" s="166">
        <v>1.75</v>
      </c>
      <c r="F1766" s="162">
        <f>+E1766*D1766</f>
        <v>182000</v>
      </c>
      <c r="G1766" s="20">
        <f>G1765</f>
        <v>18</v>
      </c>
      <c r="H1766" s="167">
        <f>+F1766/G1766</f>
        <v>10111.111111111111</v>
      </c>
      <c r="I1766" s="44"/>
    </row>
    <row r="1767" spans="2:10" ht="14" thickBot="1" x14ac:dyDescent="0.2">
      <c r="B1767" s="33"/>
      <c r="C1767" s="34"/>
      <c r="D1767" s="22"/>
      <c r="E1767" s="21"/>
      <c r="F1767" s="22"/>
      <c r="G1767" s="23"/>
      <c r="H1767" s="47"/>
      <c r="I1767" s="48"/>
    </row>
    <row r="1768" spans="2:10" ht="14" thickBot="1" x14ac:dyDescent="0.2">
      <c r="B1768" s="1"/>
      <c r="C1768" s="1"/>
      <c r="D1768" s="1"/>
      <c r="E1768" s="1"/>
      <c r="F1768" s="1"/>
      <c r="G1768" s="1"/>
      <c r="H1768" s="37" t="s">
        <v>26</v>
      </c>
      <c r="I1768" s="175">
        <f>SUM(H1765:H1767)</f>
        <v>19379.597222222223</v>
      </c>
    </row>
    <row r="1769" spans="2:10" ht="14" thickBot="1" x14ac:dyDescent="0.2">
      <c r="B1769" s="1"/>
      <c r="C1769" s="1"/>
      <c r="D1769" s="1"/>
      <c r="E1769" s="1"/>
      <c r="F1769" s="1"/>
      <c r="G1769" s="1"/>
      <c r="H1769" s="61"/>
      <c r="I1769" s="1"/>
    </row>
    <row r="1770" spans="2:10" ht="15" thickBot="1" x14ac:dyDescent="0.2">
      <c r="B1770" s="1"/>
      <c r="C1770" s="1"/>
      <c r="D1770" s="1"/>
      <c r="E1770" s="1"/>
      <c r="F1770" s="35" t="s">
        <v>43</v>
      </c>
      <c r="G1770" s="16"/>
      <c r="H1770" s="16"/>
      <c r="I1770" s="222">
        <f>ROUND((I1752+I1757+I1762+I1768),0)</f>
        <v>33740</v>
      </c>
    </row>
    <row r="1771" spans="2:10" x14ac:dyDescent="0.15">
      <c r="B1771" s="12"/>
      <c r="C1771" s="12"/>
      <c r="D1771" s="1"/>
      <c r="E1771" s="1"/>
      <c r="F1771" s="1"/>
      <c r="G1771" s="1"/>
      <c r="H1771" s="170"/>
      <c r="I1771" s="170"/>
    </row>
    <row r="1772" spans="2:10" x14ac:dyDescent="0.15">
      <c r="B1772" s="16"/>
      <c r="C1772" s="16"/>
      <c r="D1772" s="16"/>
      <c r="E1772" s="16"/>
      <c r="F1772" s="16"/>
      <c r="G1772" s="61"/>
      <c r="H1772" s="171"/>
      <c r="I1772" s="170"/>
    </row>
    <row r="1773" spans="2:10" x14ac:dyDescent="0.15">
      <c r="B1773" s="1"/>
      <c r="C1773" s="1"/>
      <c r="D1773" s="1"/>
      <c r="E1773" s="1"/>
      <c r="F1773" s="1"/>
      <c r="G1773" s="159"/>
      <c r="H1773" s="170"/>
      <c r="I1773" s="170"/>
      <c r="J1773" s="105"/>
    </row>
    <row r="1774" spans="2:10" x14ac:dyDescent="0.15">
      <c r="B1774" s="1"/>
      <c r="C1774" s="1"/>
      <c r="D1774" s="1"/>
      <c r="E1774" s="1"/>
      <c r="F1774" s="1"/>
      <c r="G1774" s="159"/>
      <c r="H1774" s="170"/>
      <c r="I1774" s="170"/>
    </row>
    <row r="1775" spans="2:10" x14ac:dyDescent="0.15">
      <c r="B1775" s="1"/>
      <c r="C1775" s="1"/>
      <c r="D1775" s="1"/>
      <c r="E1775" s="1"/>
      <c r="F1775" s="1"/>
      <c r="G1775" s="159"/>
      <c r="H1775" s="170"/>
      <c r="I1775" s="170"/>
    </row>
    <row r="1776" spans="2:10" x14ac:dyDescent="0.15">
      <c r="B1776" s="1"/>
      <c r="C1776" s="1"/>
      <c r="D1776" s="1"/>
      <c r="E1776" s="1"/>
      <c r="F1776" s="1"/>
      <c r="G1776" s="1"/>
      <c r="H1776" s="37"/>
      <c r="I1776" s="170"/>
    </row>
    <row r="1777" spans="2:9" ht="14" x14ac:dyDescent="0.15">
      <c r="B1777" s="101"/>
      <c r="C1777" s="1"/>
      <c r="D1777" s="1"/>
      <c r="E1777" s="1"/>
      <c r="F1777" s="1"/>
      <c r="G1777" s="1"/>
      <c r="H1777" s="1"/>
      <c r="I1777" s="170"/>
    </row>
    <row r="1778" spans="2:9" ht="14" x14ac:dyDescent="0.15">
      <c r="B1778" s="83"/>
      <c r="C1778" s="11"/>
      <c r="D1778" s="1"/>
      <c r="E1778" s="637"/>
      <c r="F1778" s="637"/>
      <c r="G1778" s="637"/>
      <c r="H1778" s="637"/>
      <c r="I1778" s="169"/>
    </row>
    <row r="1779" spans="2:9" ht="14" x14ac:dyDescent="0.15">
      <c r="B1779" s="101"/>
      <c r="C1779" s="11"/>
      <c r="D1779" s="1"/>
      <c r="E1779" s="153"/>
      <c r="F1779" s="153"/>
      <c r="G1779" s="153"/>
      <c r="H1779" s="153"/>
      <c r="I1779" s="169"/>
    </row>
    <row r="1780" spans="2:9" ht="14" x14ac:dyDescent="0.15">
      <c r="B1780" s="101"/>
      <c r="C1780" s="11"/>
      <c r="D1780" s="1"/>
      <c r="E1780" s="153"/>
      <c r="F1780" s="153"/>
      <c r="G1780" s="153"/>
      <c r="H1780" s="153"/>
      <c r="I1780" s="169"/>
    </row>
    <row r="1781" spans="2:9" ht="14" x14ac:dyDescent="0.15">
      <c r="B1781" s="101"/>
      <c r="C1781" s="11"/>
      <c r="D1781" s="1"/>
      <c r="E1781" s="153"/>
      <c r="F1781" s="153"/>
      <c r="G1781" s="153"/>
      <c r="H1781" s="153"/>
      <c r="I1781" s="169"/>
    </row>
    <row r="1782" spans="2:9" ht="14" x14ac:dyDescent="0.15">
      <c r="B1782" s="101"/>
      <c r="C1782" s="11"/>
      <c r="D1782" s="1"/>
      <c r="E1782" s="153"/>
      <c r="F1782" s="153"/>
      <c r="G1782" s="153"/>
      <c r="H1782" s="153"/>
      <c r="I1782" s="169"/>
    </row>
    <row r="1783" spans="2:9" ht="14" x14ac:dyDescent="0.15">
      <c r="B1783" s="101"/>
      <c r="C1783" s="11"/>
      <c r="D1783" s="1"/>
      <c r="E1783" s="153"/>
      <c r="F1783" s="153"/>
      <c r="G1783" s="153"/>
      <c r="H1783" s="153"/>
      <c r="I1783" s="169"/>
    </row>
    <row r="1784" spans="2:9" ht="14" x14ac:dyDescent="0.15">
      <c r="B1784" s="83"/>
      <c r="C1784" s="11"/>
      <c r="D1784" s="1"/>
      <c r="E1784" s="153"/>
      <c r="F1784" s="153"/>
      <c r="G1784" s="153"/>
      <c r="H1784" s="153"/>
      <c r="I1784" s="169"/>
    </row>
    <row r="1785" spans="2:9" x14ac:dyDescent="0.15">
      <c r="B1785" s="11"/>
      <c r="C1785" s="11"/>
      <c r="D1785" s="1"/>
      <c r="E1785" s="153"/>
      <c r="F1785" s="153"/>
      <c r="G1785" s="153"/>
      <c r="H1785" s="153"/>
      <c r="I1785" s="169"/>
    </row>
    <row r="1786" spans="2:9" x14ac:dyDescent="0.15">
      <c r="B1786" s="11"/>
      <c r="C1786" s="11"/>
      <c r="D1786" s="1"/>
      <c r="E1786" s="153"/>
      <c r="F1786" s="153"/>
      <c r="G1786" s="153"/>
      <c r="H1786" s="153"/>
      <c r="I1786" s="169"/>
    </row>
    <row r="1787" spans="2:9" x14ac:dyDescent="0.15">
      <c r="B1787" s="11"/>
      <c r="C1787" s="11"/>
      <c r="D1787" s="1"/>
      <c r="E1787" s="153"/>
      <c r="F1787" s="153"/>
      <c r="G1787" s="153"/>
      <c r="H1787" s="153"/>
      <c r="I1787" s="169"/>
    </row>
    <row r="1788" spans="2:9" x14ac:dyDescent="0.15">
      <c r="B1788" s="11"/>
      <c r="C1788" s="11"/>
      <c r="D1788" s="1"/>
      <c r="E1788" s="153"/>
      <c r="F1788" s="153"/>
      <c r="G1788" s="153"/>
      <c r="H1788" s="153"/>
      <c r="I1788" s="169"/>
    </row>
    <row r="1789" spans="2:9" x14ac:dyDescent="0.15">
      <c r="B1789" s="11"/>
      <c r="C1789" s="11"/>
      <c r="D1789" s="1"/>
      <c r="E1789" s="153"/>
      <c r="F1789" s="153"/>
      <c r="G1789" s="153"/>
      <c r="H1789" s="153"/>
      <c r="I1789" s="169"/>
    </row>
    <row r="1790" spans="2:9" x14ac:dyDescent="0.15">
      <c r="B1790" s="11"/>
      <c r="C1790" s="11"/>
      <c r="D1790" s="11"/>
      <c r="E1790" s="11"/>
      <c r="F1790" s="11"/>
      <c r="G1790" s="11"/>
      <c r="H1790" s="11"/>
      <c r="I1790" s="11"/>
    </row>
    <row r="1791" spans="2:9" x14ac:dyDescent="0.15">
      <c r="B1791" s="11"/>
      <c r="C1791" s="11"/>
      <c r="D1791" s="11"/>
      <c r="E1791" s="11"/>
      <c r="F1791" s="11"/>
      <c r="G1791" s="11"/>
      <c r="H1791" s="11"/>
      <c r="I1791" s="11"/>
    </row>
    <row r="1792" spans="2:9" x14ac:dyDescent="0.15">
      <c r="B1792" s="11"/>
      <c r="C1792" s="11"/>
      <c r="D1792" s="11"/>
      <c r="E1792" s="11"/>
      <c r="F1792" s="11"/>
      <c r="G1792" s="11"/>
      <c r="H1792" s="11"/>
      <c r="I1792" s="11"/>
    </row>
    <row r="1793" spans="2:10" ht="14" x14ac:dyDescent="0.15">
      <c r="B1793" s="83"/>
      <c r="C1793" s="83"/>
      <c r="D1793" s="84"/>
      <c r="E1793" s="83"/>
      <c r="F1793" s="83"/>
      <c r="G1793" s="103"/>
      <c r="H1793" s="83"/>
      <c r="I1793" s="85"/>
      <c r="J1793" s="85"/>
    </row>
    <row r="1794" spans="2:10" ht="14" x14ac:dyDescent="0.15">
      <c r="B1794" s="83"/>
      <c r="C1794" s="83"/>
      <c r="D1794" s="84"/>
      <c r="E1794" s="83"/>
      <c r="F1794" s="83"/>
      <c r="G1794" s="103"/>
      <c r="H1794" s="83"/>
      <c r="I1794" s="85"/>
      <c r="J1794" s="85"/>
    </row>
    <row r="1795" spans="2:10" x14ac:dyDescent="0.15">
      <c r="B1795" s="11"/>
      <c r="C1795" s="11"/>
      <c r="D1795" s="1"/>
      <c r="E1795" s="153"/>
      <c r="F1795" s="153"/>
      <c r="G1795" s="153"/>
      <c r="H1795" s="153"/>
      <c r="I1795" s="169"/>
    </row>
    <row r="1796" spans="2:10" ht="14" thickBot="1" x14ac:dyDescent="0.2"/>
    <row r="1797" spans="2:10" ht="21" customHeight="1" x14ac:dyDescent="0.15">
      <c r="B1797" s="607" t="s">
        <v>1065</v>
      </c>
      <c r="C1797" s="608"/>
      <c r="D1797" s="608"/>
      <c r="E1797" s="608"/>
      <c r="F1797" s="609"/>
      <c r="G1797" s="1"/>
      <c r="H1797" s="712" t="s">
        <v>20</v>
      </c>
      <c r="I1797" s="713"/>
    </row>
    <row r="1798" spans="2:10" ht="16.5" customHeight="1" x14ac:dyDescent="0.15">
      <c r="B1798" s="604" t="s">
        <v>446</v>
      </c>
      <c r="C1798" s="605"/>
      <c r="D1798" s="605"/>
      <c r="E1798" s="605"/>
      <c r="F1798" s="606"/>
      <c r="G1798" s="63"/>
      <c r="H1798" s="531"/>
      <c r="I1798" s="533"/>
    </row>
    <row r="1799" spans="2:10" ht="12.75" customHeight="1" x14ac:dyDescent="0.15">
      <c r="B1799" s="610" t="s">
        <v>447</v>
      </c>
      <c r="C1799" s="611"/>
      <c r="D1799" s="611"/>
      <c r="E1799" s="611"/>
      <c r="F1799" s="612"/>
      <c r="G1799" s="63"/>
      <c r="H1799" s="676" t="s">
        <v>753</v>
      </c>
      <c r="I1799" s="716"/>
    </row>
    <row r="1800" spans="2:10" ht="16.5" customHeight="1" thickBot="1" x14ac:dyDescent="0.2">
      <c r="B1800" s="613"/>
      <c r="C1800" s="614"/>
      <c r="D1800" s="614"/>
      <c r="E1800" s="614"/>
      <c r="F1800" s="615"/>
      <c r="G1800" s="1"/>
      <c r="H1800" s="717"/>
      <c r="I1800" s="718"/>
    </row>
    <row r="1801" spans="2:10" ht="14" thickBot="1" x14ac:dyDescent="0.2">
      <c r="B1801" s="15"/>
      <c r="C1801" s="16"/>
      <c r="D1801" s="1"/>
      <c r="E1801" s="1"/>
      <c r="F1801" s="1"/>
      <c r="G1801" s="1"/>
      <c r="H1801" s="717"/>
      <c r="I1801" s="718"/>
    </row>
    <row r="1802" spans="2:10" ht="12.75" customHeight="1" x14ac:dyDescent="0.15">
      <c r="B1802" s="650" t="s">
        <v>890</v>
      </c>
      <c r="C1802" s="651"/>
      <c r="D1802" s="651"/>
      <c r="E1802" s="651"/>
      <c r="F1802" s="652"/>
      <c r="G1802" s="1"/>
      <c r="H1802" s="717"/>
      <c r="I1802" s="718"/>
    </row>
    <row r="1803" spans="2:10" ht="12.75" customHeight="1" x14ac:dyDescent="0.15">
      <c r="B1803" s="653"/>
      <c r="C1803" s="654"/>
      <c r="D1803" s="654"/>
      <c r="E1803" s="654"/>
      <c r="F1803" s="655"/>
      <c r="H1803" s="717"/>
      <c r="I1803" s="718"/>
    </row>
    <row r="1804" spans="2:10" ht="13.5" customHeight="1" x14ac:dyDescent="0.15">
      <c r="B1804" s="653"/>
      <c r="C1804" s="654"/>
      <c r="D1804" s="654"/>
      <c r="E1804" s="654"/>
      <c r="F1804" s="655"/>
      <c r="G1804" s="11"/>
      <c r="H1804" s="719"/>
      <c r="I1804" s="720"/>
    </row>
    <row r="1805" spans="2:10" ht="21.75" customHeight="1" thickBot="1" x14ac:dyDescent="0.2">
      <c r="B1805" s="656"/>
      <c r="C1805" s="657"/>
      <c r="D1805" s="657"/>
      <c r="E1805" s="657"/>
      <c r="F1805" s="658"/>
      <c r="H1805" s="64" t="s">
        <v>45</v>
      </c>
      <c r="I1805" s="17" t="s">
        <v>5</v>
      </c>
    </row>
    <row r="1806" spans="2:10" x14ac:dyDescent="0.15">
      <c r="B1806" s="18"/>
      <c r="C1806" s="18"/>
      <c r="D1806" s="1"/>
      <c r="E1806" s="18"/>
      <c r="F1806" s="18"/>
      <c r="G1806" s="18"/>
      <c r="H1806" s="18"/>
      <c r="I1806" s="1"/>
    </row>
    <row r="1807" spans="2:10" ht="14" thickBot="1" x14ac:dyDescent="0.2">
      <c r="B1807" s="12" t="s">
        <v>21</v>
      </c>
      <c r="C1807" s="12"/>
      <c r="D1807" s="1"/>
      <c r="E1807" s="1"/>
      <c r="F1807" s="1"/>
      <c r="G1807" s="1"/>
      <c r="H1807" s="1"/>
      <c r="I1807" s="1"/>
    </row>
    <row r="1808" spans="2:10" x14ac:dyDescent="0.15">
      <c r="B1808" s="628" t="s">
        <v>22</v>
      </c>
      <c r="C1808" s="629"/>
      <c r="D1808" s="630"/>
      <c r="E1808" s="205" t="s">
        <v>23</v>
      </c>
      <c r="F1808" s="19" t="s">
        <v>47</v>
      </c>
      <c r="G1808" s="205" t="s">
        <v>24</v>
      </c>
      <c r="H1808" s="204" t="s">
        <v>25</v>
      </c>
      <c r="I1808" s="43"/>
    </row>
    <row r="1809" spans="2:9" x14ac:dyDescent="0.15">
      <c r="B1809" s="631" t="s">
        <v>56</v>
      </c>
      <c r="C1809" s="632"/>
      <c r="D1809" s="633"/>
      <c r="E1809" s="5"/>
      <c r="F1809" s="160"/>
      <c r="G1809" s="58"/>
      <c r="H1809" s="160">
        <f>I1828*0.05</f>
        <v>436.04093750000004</v>
      </c>
      <c r="I1809" s="44"/>
    </row>
    <row r="1810" spans="2:9" x14ac:dyDescent="0.15">
      <c r="B1810" s="631"/>
      <c r="C1810" s="632"/>
      <c r="D1810" s="633"/>
      <c r="E1810" s="5"/>
      <c r="F1810" s="46"/>
      <c r="G1810" s="20"/>
      <c r="H1810" s="56"/>
      <c r="I1810" s="44"/>
    </row>
    <row r="1811" spans="2:9" ht="14" thickBot="1" x14ac:dyDescent="0.2">
      <c r="B1811" s="634"/>
      <c r="C1811" s="635"/>
      <c r="D1811" s="636"/>
      <c r="E1811" s="21"/>
      <c r="F1811" s="22"/>
      <c r="G1811" s="23"/>
      <c r="H1811" s="47"/>
      <c r="I1811" s="48"/>
    </row>
    <row r="1812" spans="2:9" ht="14" thickBot="1" x14ac:dyDescent="0.2">
      <c r="B1812" s="1"/>
      <c r="C1812" s="1"/>
      <c r="D1812" s="1"/>
      <c r="E1812" s="1"/>
      <c r="F1812" s="1"/>
      <c r="G1812" s="1"/>
      <c r="H1812" s="37" t="s">
        <v>26</v>
      </c>
      <c r="I1812" s="161">
        <f>SUM(H1809:H1811)</f>
        <v>436.04093750000004</v>
      </c>
    </row>
    <row r="1813" spans="2:9" ht="14" thickBot="1" x14ac:dyDescent="0.2">
      <c r="B1813" s="12" t="s">
        <v>27</v>
      </c>
      <c r="C1813" s="12"/>
      <c r="D1813" s="1"/>
      <c r="E1813" s="1"/>
      <c r="F1813" s="1"/>
      <c r="G1813" s="1"/>
      <c r="H1813" s="1"/>
      <c r="I1813" s="1"/>
    </row>
    <row r="1814" spans="2:9" x14ac:dyDescent="0.15">
      <c r="B1814" s="628" t="s">
        <v>22</v>
      </c>
      <c r="C1814" s="629"/>
      <c r="D1814" s="630"/>
      <c r="E1814" s="205" t="s">
        <v>28</v>
      </c>
      <c r="F1814" s="205" t="s">
        <v>29</v>
      </c>
      <c r="G1814" s="205" t="s">
        <v>30</v>
      </c>
      <c r="H1814" s="204" t="s">
        <v>25</v>
      </c>
      <c r="I1814" s="43"/>
    </row>
    <row r="1815" spans="2:9" x14ac:dyDescent="0.15">
      <c r="B1815" s="4" t="s">
        <v>68</v>
      </c>
      <c r="C1815" s="24"/>
      <c r="D1815" s="6"/>
      <c r="E1815" s="3" t="s">
        <v>6</v>
      </c>
      <c r="F1815" s="162">
        <f>'APU -BASICOS'!H153</f>
        <v>669587</v>
      </c>
      <c r="G1815" s="99">
        <f>1*0.1*0.02</f>
        <v>2E-3</v>
      </c>
      <c r="H1815" s="163">
        <f>G1815*F1815</f>
        <v>1339.174</v>
      </c>
      <c r="I1815" s="44"/>
    </row>
    <row r="1816" spans="2:9" ht="14" thickBot="1" x14ac:dyDescent="0.2">
      <c r="B1816" s="25"/>
      <c r="C1816" s="26"/>
      <c r="D1816" s="27"/>
      <c r="E1816" s="21"/>
      <c r="F1816" s="22"/>
      <c r="G1816" s="165"/>
      <c r="H1816" s="47"/>
      <c r="I1816" s="48"/>
    </row>
    <row r="1817" spans="2:9" ht="14" thickBot="1" x14ac:dyDescent="0.2">
      <c r="B1817" s="1"/>
      <c r="C1817" s="1"/>
      <c r="D1817" s="1"/>
      <c r="E1817" s="1"/>
      <c r="F1817" s="1"/>
      <c r="G1817" s="1"/>
      <c r="H1817" s="37" t="s">
        <v>26</v>
      </c>
      <c r="I1817" s="161">
        <f>SUM(H1815:H1816)</f>
        <v>1339.174</v>
      </c>
    </row>
    <row r="1818" spans="2:9" ht="14" thickBot="1" x14ac:dyDescent="0.2">
      <c r="B1818" s="28" t="s">
        <v>31</v>
      </c>
      <c r="C1818" s="28"/>
      <c r="D1818" s="26"/>
      <c r="E1818" s="1"/>
      <c r="F1818" s="1"/>
      <c r="G1818" s="1"/>
      <c r="H1818" s="1"/>
      <c r="I1818" s="1"/>
    </row>
    <row r="1819" spans="2:9" x14ac:dyDescent="0.15">
      <c r="B1819" s="51" t="s">
        <v>32</v>
      </c>
      <c r="C1819" s="52"/>
      <c r="D1819" s="96" t="s">
        <v>33</v>
      </c>
      <c r="E1819" s="205" t="s">
        <v>34</v>
      </c>
      <c r="F1819" s="205" t="s">
        <v>35</v>
      </c>
      <c r="G1819" s="205" t="s">
        <v>36</v>
      </c>
      <c r="H1819" s="59" t="s">
        <v>25</v>
      </c>
      <c r="I1819" s="43"/>
    </row>
    <row r="1820" spans="2:9" x14ac:dyDescent="0.15">
      <c r="B1820" s="4"/>
      <c r="C1820" s="6"/>
      <c r="D1820" s="53"/>
      <c r="E1820" s="2"/>
      <c r="F1820" s="2"/>
      <c r="G1820" s="160"/>
      <c r="H1820" s="20"/>
      <c r="I1820" s="44"/>
    </row>
    <row r="1821" spans="2:9" ht="14" thickBot="1" x14ac:dyDescent="0.2">
      <c r="B1821" s="33"/>
      <c r="C1821" s="54"/>
      <c r="D1821" s="21"/>
      <c r="E1821" s="22"/>
      <c r="F1821" s="23"/>
      <c r="G1821" s="47"/>
      <c r="H1821" s="21"/>
      <c r="I1821" s="48"/>
    </row>
    <row r="1822" spans="2:9" ht="14" thickBot="1" x14ac:dyDescent="0.2">
      <c r="B1822" s="1"/>
      <c r="C1822" s="1"/>
      <c r="D1822" s="1"/>
      <c r="E1822" s="1"/>
      <c r="F1822" s="1"/>
      <c r="G1822" s="1"/>
      <c r="H1822" s="37" t="s">
        <v>26</v>
      </c>
      <c r="I1822" s="161">
        <f>SUM(H1820:H1821)</f>
        <v>0</v>
      </c>
    </row>
    <row r="1823" spans="2:9" ht="14" thickBot="1" x14ac:dyDescent="0.2">
      <c r="B1823" s="28" t="s">
        <v>37</v>
      </c>
      <c r="C1823" s="28"/>
      <c r="D1823" s="1"/>
      <c r="E1823" s="1"/>
      <c r="F1823" s="1"/>
      <c r="G1823" s="1"/>
      <c r="H1823" s="1"/>
      <c r="I1823" s="1"/>
    </row>
    <row r="1824" spans="2:9" x14ac:dyDescent="0.15">
      <c r="B1824" s="51" t="s">
        <v>38</v>
      </c>
      <c r="C1824" s="86"/>
      <c r="D1824" s="31" t="s">
        <v>39</v>
      </c>
      <c r="E1824" s="205" t="s">
        <v>40</v>
      </c>
      <c r="F1824" s="19" t="s">
        <v>41</v>
      </c>
      <c r="G1824" s="31" t="s">
        <v>24</v>
      </c>
      <c r="H1824" s="204" t="s">
        <v>25</v>
      </c>
      <c r="I1824" s="43"/>
    </row>
    <row r="1825" spans="2:10" x14ac:dyDescent="0.15">
      <c r="B1825" s="4" t="s">
        <v>65</v>
      </c>
      <c r="C1825" s="24"/>
      <c r="D1825" s="32">
        <f>'MANO DE OBRA'!E15</f>
        <v>95333</v>
      </c>
      <c r="E1825" s="166">
        <v>1.75</v>
      </c>
      <c r="F1825" s="162">
        <f>+E1825*D1825</f>
        <v>166832.75</v>
      </c>
      <c r="G1825" s="20">
        <v>40</v>
      </c>
      <c r="H1825" s="167">
        <f>+F1825/G1825</f>
        <v>4170.8187500000004</v>
      </c>
      <c r="I1825" s="44"/>
    </row>
    <row r="1826" spans="2:10" x14ac:dyDescent="0.15">
      <c r="B1826" s="4" t="s">
        <v>55</v>
      </c>
      <c r="C1826" s="24"/>
      <c r="D1826" s="32">
        <f>'MANO DE OBRA'!E14*2</f>
        <v>104000</v>
      </c>
      <c r="E1826" s="166">
        <v>1.75</v>
      </c>
      <c r="F1826" s="162">
        <f>+E1826*D1826</f>
        <v>182000</v>
      </c>
      <c r="G1826" s="20">
        <v>40</v>
      </c>
      <c r="H1826" s="167">
        <f>+F1826/G1826</f>
        <v>4550</v>
      </c>
      <c r="I1826" s="44"/>
    </row>
    <row r="1827" spans="2:10" ht="14" thickBot="1" x14ac:dyDescent="0.2">
      <c r="B1827" s="33"/>
      <c r="C1827" s="34"/>
      <c r="D1827" s="22"/>
      <c r="E1827" s="21"/>
      <c r="F1827" s="22"/>
      <c r="G1827" s="23"/>
      <c r="H1827" s="47"/>
      <c r="I1827" s="48"/>
    </row>
    <row r="1828" spans="2:10" ht="14" thickBot="1" x14ac:dyDescent="0.2">
      <c r="B1828" s="1"/>
      <c r="C1828" s="1"/>
      <c r="D1828" s="1"/>
      <c r="E1828" s="1"/>
      <c r="F1828" s="1"/>
      <c r="G1828" s="1"/>
      <c r="H1828" s="37" t="s">
        <v>26</v>
      </c>
      <c r="I1828" s="175">
        <f>SUM(H1825:H1827)</f>
        <v>8720.8187500000004</v>
      </c>
    </row>
    <row r="1829" spans="2:10" ht="14" thickBot="1" x14ac:dyDescent="0.2">
      <c r="B1829" s="1"/>
      <c r="C1829" s="1"/>
      <c r="D1829" s="1"/>
      <c r="E1829" s="1"/>
      <c r="F1829" s="1"/>
      <c r="G1829" s="1"/>
      <c r="H1829" s="61"/>
      <c r="I1829" s="1"/>
    </row>
    <row r="1830" spans="2:10" ht="15" thickBot="1" x14ac:dyDescent="0.2">
      <c r="B1830" s="1"/>
      <c r="C1830" s="1"/>
      <c r="D1830" s="1"/>
      <c r="E1830" s="1"/>
      <c r="F1830" s="35" t="s">
        <v>43</v>
      </c>
      <c r="G1830" s="16"/>
      <c r="H1830" s="16"/>
      <c r="I1830" s="222">
        <f>ROUND((I1812+I1817+I1822+I1828),0)</f>
        <v>10496</v>
      </c>
    </row>
    <row r="1831" spans="2:10" x14ac:dyDescent="0.15">
      <c r="B1831" s="12"/>
      <c r="C1831" s="12"/>
      <c r="D1831" s="1"/>
      <c r="E1831" s="1"/>
      <c r="F1831" s="1"/>
      <c r="G1831" s="1"/>
      <c r="H1831" s="170"/>
      <c r="I1831" s="170"/>
    </row>
    <row r="1832" spans="2:10" x14ac:dyDescent="0.15">
      <c r="B1832" s="16"/>
      <c r="C1832" s="16"/>
      <c r="D1832" s="16"/>
      <c r="E1832" s="16"/>
      <c r="F1832" s="16"/>
      <c r="G1832" s="61"/>
      <c r="H1832" s="171"/>
      <c r="I1832" s="170"/>
    </row>
    <row r="1833" spans="2:10" x14ac:dyDescent="0.15">
      <c r="B1833" s="1"/>
      <c r="C1833" s="1"/>
      <c r="D1833" s="1"/>
      <c r="E1833" s="1"/>
      <c r="F1833" s="1"/>
      <c r="G1833" s="159"/>
      <c r="H1833" s="170"/>
      <c r="I1833" s="170"/>
      <c r="J1833" s="105"/>
    </row>
    <row r="1834" spans="2:10" x14ac:dyDescent="0.15">
      <c r="B1834" s="1"/>
      <c r="C1834" s="1"/>
      <c r="D1834" s="1"/>
      <c r="E1834" s="1"/>
      <c r="F1834" s="1"/>
      <c r="G1834" s="159"/>
      <c r="H1834" s="170"/>
      <c r="I1834" s="170"/>
    </row>
    <row r="1835" spans="2:10" x14ac:dyDescent="0.15">
      <c r="B1835" s="1"/>
      <c r="C1835" s="1"/>
      <c r="D1835" s="1"/>
      <c r="E1835" s="1"/>
      <c r="F1835" s="1"/>
      <c r="G1835" s="159"/>
      <c r="H1835" s="170"/>
      <c r="I1835" s="170"/>
    </row>
    <row r="1836" spans="2:10" x14ac:dyDescent="0.15">
      <c r="B1836" s="1"/>
      <c r="C1836" s="1"/>
      <c r="D1836" s="1"/>
      <c r="E1836" s="1"/>
      <c r="F1836" s="1"/>
      <c r="G1836" s="1"/>
      <c r="H1836" s="37"/>
      <c r="I1836" s="170"/>
    </row>
    <row r="1837" spans="2:10" ht="14" x14ac:dyDescent="0.15">
      <c r="B1837" s="101"/>
      <c r="C1837" s="1"/>
      <c r="D1837" s="1"/>
      <c r="E1837" s="1"/>
      <c r="F1837" s="1"/>
      <c r="G1837" s="1"/>
      <c r="H1837" s="1"/>
      <c r="I1837" s="170"/>
    </row>
    <row r="1838" spans="2:10" ht="14" x14ac:dyDescent="0.15">
      <c r="B1838" s="83"/>
      <c r="C1838" s="11"/>
      <c r="D1838" s="1"/>
      <c r="E1838" s="637"/>
      <c r="F1838" s="637"/>
      <c r="G1838" s="637"/>
      <c r="H1838" s="637"/>
      <c r="I1838" s="169"/>
    </row>
    <row r="1839" spans="2:10" ht="14" x14ac:dyDescent="0.15">
      <c r="B1839" s="101"/>
      <c r="C1839" s="11"/>
      <c r="D1839" s="1"/>
      <c r="E1839" s="153"/>
      <c r="F1839" s="153"/>
      <c r="G1839" s="153"/>
      <c r="H1839" s="153"/>
      <c r="I1839" s="169"/>
    </row>
    <row r="1840" spans="2:10" ht="14" x14ac:dyDescent="0.15">
      <c r="B1840" s="83"/>
      <c r="C1840" s="11"/>
      <c r="D1840" s="1"/>
      <c r="E1840" s="153"/>
      <c r="F1840" s="153"/>
      <c r="G1840" s="153"/>
      <c r="H1840" s="153"/>
      <c r="I1840" s="169"/>
    </row>
    <row r="1841" spans="2:10" x14ac:dyDescent="0.15">
      <c r="B1841" s="11"/>
      <c r="C1841" s="11"/>
      <c r="D1841" s="1"/>
      <c r="E1841" s="153"/>
      <c r="F1841" s="153"/>
      <c r="G1841" s="153"/>
      <c r="H1841" s="153"/>
      <c r="I1841" s="169"/>
    </row>
    <row r="1842" spans="2:10" x14ac:dyDescent="0.15">
      <c r="B1842" s="11"/>
      <c r="C1842" s="11"/>
      <c r="D1842" s="1"/>
      <c r="E1842" s="153"/>
      <c r="F1842" s="153"/>
      <c r="G1842" s="153"/>
      <c r="H1842" s="153"/>
      <c r="I1842" s="169"/>
    </row>
    <row r="1843" spans="2:10" x14ac:dyDescent="0.15">
      <c r="B1843" s="11"/>
      <c r="C1843" s="11"/>
      <c r="D1843" s="1"/>
      <c r="E1843" s="153"/>
      <c r="F1843" s="153"/>
      <c r="G1843" s="153"/>
      <c r="H1843" s="153"/>
      <c r="I1843" s="169"/>
    </row>
    <row r="1844" spans="2:10" x14ac:dyDescent="0.15">
      <c r="B1844" s="11"/>
      <c r="C1844" s="11"/>
      <c r="D1844" s="1"/>
      <c r="E1844" s="153"/>
      <c r="F1844" s="153"/>
      <c r="G1844" s="153"/>
      <c r="H1844" s="153"/>
      <c r="I1844" s="169"/>
    </row>
    <row r="1845" spans="2:10" x14ac:dyDescent="0.15">
      <c r="B1845" s="11"/>
      <c r="C1845" s="11"/>
      <c r="D1845" s="1"/>
      <c r="E1845" s="153"/>
      <c r="F1845" s="153"/>
      <c r="G1845" s="153"/>
      <c r="H1845" s="153"/>
      <c r="I1845" s="169"/>
    </row>
    <row r="1846" spans="2:10" x14ac:dyDescent="0.15">
      <c r="B1846" s="11"/>
      <c r="C1846" s="11"/>
      <c r="D1846" s="1"/>
      <c r="E1846" s="153"/>
      <c r="F1846" s="153"/>
      <c r="G1846" s="153"/>
      <c r="H1846" s="153"/>
      <c r="I1846" s="169"/>
    </row>
    <row r="1847" spans="2:10" x14ac:dyDescent="0.15">
      <c r="B1847" s="11"/>
      <c r="C1847" s="11"/>
      <c r="D1847" s="1"/>
      <c r="E1847" s="153"/>
      <c r="F1847" s="153"/>
      <c r="G1847" s="153"/>
      <c r="H1847" s="153"/>
      <c r="I1847" s="169"/>
    </row>
    <row r="1848" spans="2:10" x14ac:dyDescent="0.15">
      <c r="B1848" s="11"/>
      <c r="C1848" s="11"/>
      <c r="D1848" s="1"/>
      <c r="E1848" s="153"/>
      <c r="F1848" s="153"/>
      <c r="G1848" s="153"/>
      <c r="H1848" s="153"/>
      <c r="I1848" s="169"/>
    </row>
    <row r="1849" spans="2:10" x14ac:dyDescent="0.15">
      <c r="B1849" s="11"/>
      <c r="C1849" s="11"/>
      <c r="D1849" s="1"/>
      <c r="E1849" s="153"/>
      <c r="F1849" s="153"/>
      <c r="G1849" s="153"/>
      <c r="H1849" s="153"/>
      <c r="I1849" s="169"/>
    </row>
    <row r="1850" spans="2:10" x14ac:dyDescent="0.15">
      <c r="B1850" s="11"/>
      <c r="C1850" s="11"/>
      <c r="D1850" s="1"/>
      <c r="E1850" s="153"/>
      <c r="F1850" s="153"/>
      <c r="G1850" s="153"/>
      <c r="H1850" s="153"/>
      <c r="I1850" s="169"/>
    </row>
    <row r="1851" spans="2:10" x14ac:dyDescent="0.15">
      <c r="B1851" s="11"/>
      <c r="C1851" s="11"/>
      <c r="D1851" s="11"/>
      <c r="E1851" s="11"/>
      <c r="F1851" s="11"/>
      <c r="G1851" s="11"/>
      <c r="H1851" s="11"/>
      <c r="I1851" s="11"/>
    </row>
    <row r="1852" spans="2:10" x14ac:dyDescent="0.15">
      <c r="B1852" s="11"/>
      <c r="C1852" s="11"/>
      <c r="D1852" s="11"/>
      <c r="E1852" s="11"/>
      <c r="F1852" s="11"/>
      <c r="G1852" s="11"/>
      <c r="H1852" s="11"/>
      <c r="I1852" s="11"/>
    </row>
    <row r="1853" spans="2:10" x14ac:dyDescent="0.15">
      <c r="B1853" s="11"/>
      <c r="C1853" s="11"/>
      <c r="D1853" s="11"/>
      <c r="E1853" s="11"/>
      <c r="F1853" s="11"/>
      <c r="G1853" s="11"/>
      <c r="H1853" s="11"/>
      <c r="I1853" s="11"/>
    </row>
    <row r="1854" spans="2:10" ht="14" x14ac:dyDescent="0.15">
      <c r="B1854" s="83"/>
      <c r="C1854" s="83"/>
      <c r="D1854" s="84"/>
      <c r="E1854" s="83"/>
      <c r="F1854" s="83"/>
      <c r="G1854" s="103"/>
      <c r="H1854" s="83"/>
      <c r="I1854" s="85"/>
      <c r="J1854" s="85"/>
    </row>
    <row r="1855" spans="2:10" ht="14" x14ac:dyDescent="0.15">
      <c r="B1855" s="83"/>
      <c r="C1855" s="83"/>
      <c r="D1855" s="84"/>
      <c r="E1855" s="83"/>
      <c r="F1855" s="83"/>
      <c r="G1855" s="103"/>
      <c r="H1855" s="83"/>
      <c r="I1855" s="85"/>
      <c r="J1855" s="85"/>
    </row>
    <row r="1856" spans="2:10" x14ac:dyDescent="0.15">
      <c r="B1856" s="11"/>
      <c r="C1856" s="11"/>
      <c r="D1856" s="1"/>
      <c r="E1856" s="153"/>
      <c r="F1856" s="153"/>
      <c r="G1856" s="153"/>
      <c r="H1856" s="153"/>
      <c r="I1856" s="169"/>
    </row>
    <row r="1857" spans="2:9" ht="14" thickBot="1" x14ac:dyDescent="0.2"/>
    <row r="1858" spans="2:9" ht="21" customHeight="1" x14ac:dyDescent="0.15">
      <c r="B1858" s="607" t="s">
        <v>1065</v>
      </c>
      <c r="C1858" s="608"/>
      <c r="D1858" s="608"/>
      <c r="E1858" s="608"/>
      <c r="F1858" s="609"/>
      <c r="G1858" s="1"/>
      <c r="H1858" s="712" t="s">
        <v>20</v>
      </c>
      <c r="I1858" s="713"/>
    </row>
    <row r="1859" spans="2:9" ht="16.5" customHeight="1" x14ac:dyDescent="0.15">
      <c r="B1859" s="604" t="s">
        <v>446</v>
      </c>
      <c r="C1859" s="605"/>
      <c r="D1859" s="605"/>
      <c r="E1859" s="605"/>
      <c r="F1859" s="606"/>
      <c r="G1859" s="63"/>
      <c r="H1859" s="531"/>
      <c r="I1859" s="533"/>
    </row>
    <row r="1860" spans="2:9" ht="12.75" customHeight="1" x14ac:dyDescent="0.15">
      <c r="B1860" s="610" t="s">
        <v>447</v>
      </c>
      <c r="C1860" s="611"/>
      <c r="D1860" s="611"/>
      <c r="E1860" s="611"/>
      <c r="F1860" s="612"/>
      <c r="G1860" s="63"/>
      <c r="H1860" s="676" t="s">
        <v>666</v>
      </c>
      <c r="I1860" s="716"/>
    </row>
    <row r="1861" spans="2:9" ht="16.5" customHeight="1" thickBot="1" x14ac:dyDescent="0.2">
      <c r="B1861" s="613"/>
      <c r="C1861" s="614"/>
      <c r="D1861" s="614"/>
      <c r="E1861" s="614"/>
      <c r="F1861" s="615"/>
      <c r="G1861" s="1"/>
      <c r="H1861" s="717"/>
      <c r="I1861" s="718"/>
    </row>
    <row r="1862" spans="2:9" ht="14" thickBot="1" x14ac:dyDescent="0.2">
      <c r="B1862" s="15"/>
      <c r="C1862" s="16"/>
      <c r="D1862" s="1"/>
      <c r="E1862" s="1"/>
      <c r="F1862" s="1"/>
      <c r="G1862" s="1"/>
      <c r="H1862" s="717"/>
      <c r="I1862" s="718"/>
    </row>
    <row r="1863" spans="2:9" ht="12.75" customHeight="1" x14ac:dyDescent="0.15">
      <c r="B1863" s="650" t="s">
        <v>890</v>
      </c>
      <c r="C1863" s="651"/>
      <c r="D1863" s="651"/>
      <c r="E1863" s="651"/>
      <c r="F1863" s="652"/>
      <c r="G1863" s="1"/>
      <c r="H1863" s="717"/>
      <c r="I1863" s="718"/>
    </row>
    <row r="1864" spans="2:9" ht="12.75" customHeight="1" x14ac:dyDescent="0.15">
      <c r="B1864" s="653"/>
      <c r="C1864" s="654"/>
      <c r="D1864" s="654"/>
      <c r="E1864" s="654"/>
      <c r="F1864" s="655"/>
      <c r="H1864" s="717"/>
      <c r="I1864" s="718"/>
    </row>
    <row r="1865" spans="2:9" ht="13.5" customHeight="1" x14ac:dyDescent="0.15">
      <c r="B1865" s="653"/>
      <c r="C1865" s="654"/>
      <c r="D1865" s="654"/>
      <c r="E1865" s="654"/>
      <c r="F1865" s="655"/>
      <c r="G1865" s="11"/>
      <c r="H1865" s="719"/>
      <c r="I1865" s="720"/>
    </row>
    <row r="1866" spans="2:9" ht="21.75" customHeight="1" thickBot="1" x14ac:dyDescent="0.2">
      <c r="B1866" s="656"/>
      <c r="C1866" s="657"/>
      <c r="D1866" s="657"/>
      <c r="E1866" s="657"/>
      <c r="F1866" s="658"/>
      <c r="H1866" s="64" t="s">
        <v>45</v>
      </c>
      <c r="I1866" s="17" t="s">
        <v>5</v>
      </c>
    </row>
    <row r="1867" spans="2:9" x14ac:dyDescent="0.15">
      <c r="B1867" s="18"/>
      <c r="C1867" s="18"/>
      <c r="D1867" s="1"/>
      <c r="E1867" s="18"/>
      <c r="F1867" s="18"/>
      <c r="G1867" s="18"/>
      <c r="H1867" s="18"/>
      <c r="I1867" s="1"/>
    </row>
    <row r="1868" spans="2:9" ht="14" thickBot="1" x14ac:dyDescent="0.2">
      <c r="B1868" s="12" t="s">
        <v>21</v>
      </c>
      <c r="C1868" s="12"/>
      <c r="D1868" s="1"/>
      <c r="E1868" s="1"/>
      <c r="F1868" s="1"/>
      <c r="G1868" s="1"/>
      <c r="H1868" s="1"/>
      <c r="I1868" s="1"/>
    </row>
    <row r="1869" spans="2:9" x14ac:dyDescent="0.15">
      <c r="B1869" s="628" t="s">
        <v>22</v>
      </c>
      <c r="C1869" s="629"/>
      <c r="D1869" s="630"/>
      <c r="E1869" s="205" t="s">
        <v>23</v>
      </c>
      <c r="F1869" s="19" t="s">
        <v>47</v>
      </c>
      <c r="G1869" s="205" t="s">
        <v>24</v>
      </c>
      <c r="H1869" s="204" t="s">
        <v>25</v>
      </c>
      <c r="I1869" s="43"/>
    </row>
    <row r="1870" spans="2:9" x14ac:dyDescent="0.15">
      <c r="B1870" s="631" t="s">
        <v>56</v>
      </c>
      <c r="C1870" s="632"/>
      <c r="D1870" s="633"/>
      <c r="E1870" s="5"/>
      <c r="F1870" s="160"/>
      <c r="G1870" s="58"/>
      <c r="H1870" s="163">
        <f>+I1890*0.05</f>
        <v>784.58187500000008</v>
      </c>
      <c r="I1870" s="44"/>
    </row>
    <row r="1871" spans="2:9" x14ac:dyDescent="0.15">
      <c r="B1871" s="631"/>
      <c r="C1871" s="632"/>
      <c r="D1871" s="633"/>
      <c r="E1871" s="5"/>
      <c r="F1871" s="46"/>
      <c r="G1871" s="20"/>
      <c r="H1871" s="56"/>
      <c r="I1871" s="44"/>
    </row>
    <row r="1872" spans="2:9" ht="14" thickBot="1" x14ac:dyDescent="0.2">
      <c r="B1872" s="634"/>
      <c r="C1872" s="635"/>
      <c r="D1872" s="636"/>
      <c r="E1872" s="21"/>
      <c r="F1872" s="22"/>
      <c r="G1872" s="23"/>
      <c r="H1872" s="47"/>
      <c r="I1872" s="48"/>
    </row>
    <row r="1873" spans="2:9" ht="14" thickBot="1" x14ac:dyDescent="0.2">
      <c r="B1873" s="1"/>
      <c r="C1873" s="1"/>
      <c r="D1873" s="1"/>
      <c r="E1873" s="1"/>
      <c r="F1873" s="1"/>
      <c r="G1873" s="1"/>
      <c r="H1873" s="37" t="s">
        <v>26</v>
      </c>
      <c r="I1873" s="161">
        <f>SUM(H1870:H1872)</f>
        <v>784.58187500000008</v>
      </c>
    </row>
    <row r="1874" spans="2:9" ht="14" thickBot="1" x14ac:dyDescent="0.2">
      <c r="B1874" s="12" t="s">
        <v>27</v>
      </c>
      <c r="C1874" s="12"/>
      <c r="D1874" s="1"/>
      <c r="E1874" s="1"/>
      <c r="F1874" s="1"/>
      <c r="G1874" s="1"/>
      <c r="H1874" s="1"/>
      <c r="I1874" s="1"/>
    </row>
    <row r="1875" spans="2:9" x14ac:dyDescent="0.15">
      <c r="B1875" s="628" t="s">
        <v>22</v>
      </c>
      <c r="C1875" s="629"/>
      <c r="D1875" s="630"/>
      <c r="E1875" s="205" t="s">
        <v>28</v>
      </c>
      <c r="F1875" s="205" t="s">
        <v>29</v>
      </c>
      <c r="G1875" s="205" t="s">
        <v>30</v>
      </c>
      <c r="H1875" s="204" t="s">
        <v>25</v>
      </c>
      <c r="I1875" s="43"/>
    </row>
    <row r="1876" spans="2:9" x14ac:dyDescent="0.15">
      <c r="B1876" s="4" t="s">
        <v>117</v>
      </c>
      <c r="C1876" s="24"/>
      <c r="D1876" s="6"/>
      <c r="E1876" s="3" t="s">
        <v>103</v>
      </c>
      <c r="F1876" s="164">
        <f>MATERIALES!F43</f>
        <v>40000</v>
      </c>
      <c r="G1876" s="73">
        <v>0.05</v>
      </c>
      <c r="H1876" s="221">
        <f>F1876*G1876</f>
        <v>2000</v>
      </c>
      <c r="I1876" s="44"/>
    </row>
    <row r="1877" spans="2:9" x14ac:dyDescent="0.15">
      <c r="B1877" s="4"/>
      <c r="C1877" s="24"/>
      <c r="D1877" s="6"/>
      <c r="E1877" s="3"/>
      <c r="F1877" s="162"/>
      <c r="G1877" s="65"/>
      <c r="H1877" s="163"/>
      <c r="I1877" s="44"/>
    </row>
    <row r="1878" spans="2:9" ht="14" thickBot="1" x14ac:dyDescent="0.2">
      <c r="B1878" s="25"/>
      <c r="C1878" s="26"/>
      <c r="D1878" s="27"/>
      <c r="E1878" s="21"/>
      <c r="F1878" s="22"/>
      <c r="G1878" s="165"/>
      <c r="H1878" s="47"/>
      <c r="I1878" s="48"/>
    </row>
    <row r="1879" spans="2:9" ht="14" thickBot="1" x14ac:dyDescent="0.2">
      <c r="B1879" s="1"/>
      <c r="C1879" s="1"/>
      <c r="D1879" s="1"/>
      <c r="E1879" s="1"/>
      <c r="F1879" s="1"/>
      <c r="G1879" s="1"/>
      <c r="H1879" s="37" t="s">
        <v>26</v>
      </c>
      <c r="I1879" s="161">
        <f>SUM(H1876:H1878)</f>
        <v>2000</v>
      </c>
    </row>
    <row r="1880" spans="2:9" ht="14" thickBot="1" x14ac:dyDescent="0.2">
      <c r="B1880" s="28" t="s">
        <v>31</v>
      </c>
      <c r="C1880" s="28"/>
      <c r="D1880" s="26"/>
      <c r="E1880" s="1"/>
      <c r="F1880" s="1"/>
      <c r="G1880" s="1"/>
      <c r="H1880" s="1"/>
      <c r="I1880" s="1"/>
    </row>
    <row r="1881" spans="2:9" x14ac:dyDescent="0.15">
      <c r="B1881" s="51" t="s">
        <v>32</v>
      </c>
      <c r="C1881" s="52"/>
      <c r="D1881" s="96" t="s">
        <v>33</v>
      </c>
      <c r="E1881" s="205" t="s">
        <v>34</v>
      </c>
      <c r="F1881" s="205" t="s">
        <v>35</v>
      </c>
      <c r="G1881" s="205" t="s">
        <v>36</v>
      </c>
      <c r="H1881" s="59" t="s">
        <v>25</v>
      </c>
      <c r="I1881" s="43"/>
    </row>
    <row r="1882" spans="2:9" x14ac:dyDescent="0.15">
      <c r="B1882" s="4" t="s">
        <v>79</v>
      </c>
      <c r="C1882" s="6"/>
      <c r="D1882" s="53">
        <v>0.05</v>
      </c>
      <c r="E1882" s="2">
        <v>15</v>
      </c>
      <c r="F1882" s="2">
        <f>E1882*D1882</f>
        <v>0.75</v>
      </c>
      <c r="G1882" s="160">
        <v>1100</v>
      </c>
      <c r="H1882" s="20">
        <f>G1882*F1882</f>
        <v>825</v>
      </c>
      <c r="I1882" s="44"/>
    </row>
    <row r="1883" spans="2:9" ht="14" thickBot="1" x14ac:dyDescent="0.2">
      <c r="B1883" s="33"/>
      <c r="C1883" s="54"/>
      <c r="D1883" s="21"/>
      <c r="E1883" s="22"/>
      <c r="F1883" s="23"/>
      <c r="G1883" s="47"/>
      <c r="H1883" s="21"/>
      <c r="I1883" s="48"/>
    </row>
    <row r="1884" spans="2:9" ht="14" thickBot="1" x14ac:dyDescent="0.2">
      <c r="B1884" s="1"/>
      <c r="C1884" s="1"/>
      <c r="D1884" s="1"/>
      <c r="E1884" s="1"/>
      <c r="F1884" s="1"/>
      <c r="G1884" s="1"/>
      <c r="H1884" s="37" t="s">
        <v>26</v>
      </c>
      <c r="I1884" s="161">
        <f>SUM(H1882:H1883)</f>
        <v>825</v>
      </c>
    </row>
    <row r="1885" spans="2:9" ht="14" thickBot="1" x14ac:dyDescent="0.2">
      <c r="B1885" s="28" t="s">
        <v>37</v>
      </c>
      <c r="C1885" s="28"/>
      <c r="D1885" s="1"/>
      <c r="E1885" s="1"/>
      <c r="F1885" s="1"/>
      <c r="G1885" s="1"/>
      <c r="H1885" s="1"/>
      <c r="I1885" s="1"/>
    </row>
    <row r="1886" spans="2:9" x14ac:dyDescent="0.15">
      <c r="B1886" s="51" t="s">
        <v>38</v>
      </c>
      <c r="C1886" s="86"/>
      <c r="D1886" s="31" t="s">
        <v>39</v>
      </c>
      <c r="E1886" s="205" t="s">
        <v>40</v>
      </c>
      <c r="F1886" s="19" t="s">
        <v>41</v>
      </c>
      <c r="G1886" s="31" t="s">
        <v>24</v>
      </c>
      <c r="H1886" s="204" t="s">
        <v>25</v>
      </c>
      <c r="I1886" s="43"/>
    </row>
    <row r="1887" spans="2:9" x14ac:dyDescent="0.15">
      <c r="B1887" s="4" t="s">
        <v>65</v>
      </c>
      <c r="C1887" s="24"/>
      <c r="D1887" s="32">
        <f>'MANO DE OBRA'!E15</f>
        <v>95333</v>
      </c>
      <c r="E1887" s="88">
        <v>1.75</v>
      </c>
      <c r="F1887" s="162">
        <f>+E1887*D1887</f>
        <v>166832.75</v>
      </c>
      <c r="G1887" s="20">
        <v>20</v>
      </c>
      <c r="H1887" s="167">
        <f>+F1887/G1887</f>
        <v>8341.6375000000007</v>
      </c>
      <c r="I1887" s="44"/>
    </row>
    <row r="1888" spans="2:9" x14ac:dyDescent="0.15">
      <c r="B1888" s="4" t="s">
        <v>55</v>
      </c>
      <c r="C1888" s="24"/>
      <c r="D1888" s="32">
        <v>84000</v>
      </c>
      <c r="E1888" s="88">
        <v>1.75</v>
      </c>
      <c r="F1888" s="162">
        <f>+E1888*D1888</f>
        <v>147000</v>
      </c>
      <c r="G1888" s="20">
        <v>20</v>
      </c>
      <c r="H1888" s="167">
        <f>+F1888/G1888</f>
        <v>7350</v>
      </c>
      <c r="I1888" s="44"/>
    </row>
    <row r="1889" spans="2:9" ht="14" thickBot="1" x14ac:dyDescent="0.2">
      <c r="B1889" s="33"/>
      <c r="C1889" s="34"/>
      <c r="D1889" s="22"/>
      <c r="E1889" s="21"/>
      <c r="F1889" s="22"/>
      <c r="G1889" s="23"/>
      <c r="H1889" s="47"/>
      <c r="I1889" s="48"/>
    </row>
    <row r="1890" spans="2:9" ht="14" thickBot="1" x14ac:dyDescent="0.2">
      <c r="B1890" s="1"/>
      <c r="C1890" s="1"/>
      <c r="D1890" s="1"/>
      <c r="E1890" s="1"/>
      <c r="F1890" s="1"/>
      <c r="G1890" s="1"/>
      <c r="H1890" s="37" t="s">
        <v>26</v>
      </c>
      <c r="I1890" s="175">
        <f>SUM(H1887:H1889)</f>
        <v>15691.637500000001</v>
      </c>
    </row>
    <row r="1891" spans="2:9" ht="14" thickBot="1" x14ac:dyDescent="0.2">
      <c r="B1891" s="1"/>
      <c r="C1891" s="1"/>
      <c r="D1891" s="1"/>
      <c r="E1891" s="1"/>
      <c r="F1891" s="1"/>
      <c r="G1891" s="1"/>
      <c r="H1891" s="61"/>
      <c r="I1891" s="1"/>
    </row>
    <row r="1892" spans="2:9" ht="15" thickBot="1" x14ac:dyDescent="0.2">
      <c r="B1892" s="1"/>
      <c r="C1892" s="1"/>
      <c r="D1892" s="1"/>
      <c r="E1892" s="1"/>
      <c r="F1892" s="35" t="s">
        <v>43</v>
      </c>
      <c r="G1892" s="16"/>
      <c r="H1892" s="16"/>
      <c r="I1892" s="222">
        <f>ROUND((I1873+I1879+I1884+I1890),0)</f>
        <v>19301</v>
      </c>
    </row>
    <row r="1893" spans="2:9" x14ac:dyDescent="0.15">
      <c r="B1893" s="12"/>
      <c r="C1893" s="12"/>
      <c r="D1893" s="1"/>
      <c r="E1893" s="1"/>
      <c r="F1893" s="1"/>
      <c r="G1893" s="1"/>
      <c r="H1893" s="170"/>
      <c r="I1893" s="170"/>
    </row>
    <row r="1894" spans="2:9" x14ac:dyDescent="0.15">
      <c r="B1894" s="16"/>
      <c r="C1894" s="16"/>
      <c r="D1894" s="16"/>
      <c r="E1894" s="16"/>
      <c r="F1894" s="16"/>
      <c r="G1894" s="61"/>
      <c r="H1894" s="171"/>
      <c r="I1894" s="170"/>
    </row>
    <row r="1895" spans="2:9" x14ac:dyDescent="0.15">
      <c r="B1895" s="1"/>
      <c r="C1895" s="1"/>
      <c r="D1895" s="1"/>
      <c r="E1895" s="1"/>
      <c r="F1895" s="1"/>
      <c r="G1895" s="159"/>
      <c r="H1895" s="170"/>
      <c r="I1895" s="170"/>
    </row>
    <row r="1896" spans="2:9" x14ac:dyDescent="0.15">
      <c r="B1896" s="1"/>
      <c r="C1896" s="1"/>
      <c r="D1896" s="1"/>
      <c r="E1896" s="1"/>
      <c r="F1896" s="1"/>
      <c r="G1896" s="159"/>
      <c r="H1896" s="170"/>
      <c r="I1896" s="170"/>
    </row>
    <row r="1897" spans="2:9" x14ac:dyDescent="0.15">
      <c r="B1897" s="1"/>
      <c r="C1897" s="1"/>
      <c r="D1897" s="1"/>
      <c r="E1897" s="1"/>
      <c r="F1897" s="1"/>
      <c r="G1897" s="159"/>
      <c r="H1897" s="170"/>
      <c r="I1897" s="170"/>
    </row>
    <row r="1898" spans="2:9" x14ac:dyDescent="0.15">
      <c r="B1898" s="1"/>
      <c r="C1898" s="1"/>
      <c r="D1898" s="1"/>
      <c r="E1898" s="1"/>
      <c r="F1898" s="1"/>
      <c r="G1898" s="1"/>
      <c r="H1898" s="37"/>
      <c r="I1898" s="170"/>
    </row>
    <row r="1899" spans="2:9" ht="14" x14ac:dyDescent="0.15">
      <c r="B1899" s="101"/>
      <c r="C1899" s="1"/>
      <c r="D1899" s="1"/>
      <c r="E1899" s="1"/>
      <c r="F1899" s="1"/>
      <c r="G1899" s="1"/>
      <c r="H1899" s="1"/>
      <c r="I1899" s="170"/>
    </row>
    <row r="1900" spans="2:9" ht="14" x14ac:dyDescent="0.15">
      <c r="B1900" s="83"/>
      <c r="C1900" s="11"/>
      <c r="D1900" s="1"/>
      <c r="E1900" s="637"/>
      <c r="F1900" s="637"/>
      <c r="G1900" s="637"/>
      <c r="H1900" s="637"/>
      <c r="I1900" s="169"/>
    </row>
    <row r="1901" spans="2:9" ht="14" x14ac:dyDescent="0.15">
      <c r="B1901" s="101"/>
      <c r="C1901" s="11"/>
      <c r="D1901" s="1"/>
      <c r="E1901" s="153"/>
      <c r="F1901" s="153"/>
      <c r="G1901" s="153"/>
      <c r="H1901" s="153"/>
      <c r="I1901" s="169"/>
    </row>
    <row r="1902" spans="2:9" ht="14" x14ac:dyDescent="0.15">
      <c r="B1902" s="83"/>
      <c r="C1902" s="11"/>
      <c r="D1902" s="1"/>
      <c r="E1902" s="153"/>
      <c r="F1902" s="153"/>
      <c r="G1902" s="153"/>
      <c r="H1902" s="153"/>
      <c r="I1902" s="169"/>
    </row>
    <row r="1903" spans="2:9" x14ac:dyDescent="0.15">
      <c r="B1903" s="11"/>
      <c r="C1903" s="11"/>
      <c r="D1903" s="1"/>
      <c r="E1903" s="153"/>
      <c r="F1903" s="153"/>
      <c r="G1903" s="153"/>
      <c r="H1903" s="153"/>
      <c r="I1903" s="169"/>
    </row>
    <row r="1904" spans="2:9" x14ac:dyDescent="0.15">
      <c r="B1904" s="11"/>
      <c r="C1904" s="11"/>
      <c r="D1904" s="1"/>
      <c r="E1904" s="153"/>
      <c r="F1904" s="153"/>
      <c r="G1904" s="153"/>
      <c r="H1904" s="153"/>
      <c r="I1904" s="169"/>
    </row>
    <row r="1905" spans="2:10" x14ac:dyDescent="0.15">
      <c r="B1905" s="11"/>
      <c r="C1905" s="11"/>
      <c r="D1905" s="1"/>
      <c r="E1905" s="153"/>
      <c r="F1905" s="153"/>
      <c r="G1905" s="153"/>
      <c r="H1905" s="153"/>
      <c r="I1905" s="169"/>
    </row>
    <row r="1906" spans="2:10" x14ac:dyDescent="0.15">
      <c r="B1906" s="11"/>
      <c r="C1906" s="11"/>
      <c r="D1906" s="1"/>
      <c r="E1906" s="153"/>
      <c r="F1906" s="153"/>
      <c r="G1906" s="153"/>
      <c r="H1906" s="153"/>
      <c r="I1906" s="169"/>
    </row>
    <row r="1907" spans="2:10" x14ac:dyDescent="0.15">
      <c r="B1907" s="11"/>
      <c r="C1907" s="11"/>
      <c r="D1907" s="1"/>
      <c r="E1907" s="153"/>
      <c r="F1907" s="153"/>
      <c r="G1907" s="153"/>
      <c r="H1907" s="153"/>
      <c r="I1907" s="169"/>
    </row>
    <row r="1908" spans="2:10" x14ac:dyDescent="0.15">
      <c r="B1908" s="11"/>
      <c r="C1908" s="11"/>
      <c r="D1908" s="1"/>
      <c r="E1908" s="153"/>
      <c r="F1908" s="153"/>
      <c r="G1908" s="153"/>
      <c r="H1908" s="153"/>
      <c r="I1908" s="169"/>
    </row>
    <row r="1909" spans="2:10" x14ac:dyDescent="0.15">
      <c r="B1909" s="11"/>
      <c r="C1909" s="11"/>
      <c r="D1909" s="1"/>
      <c r="E1909" s="153"/>
      <c r="F1909" s="153"/>
      <c r="G1909" s="153"/>
      <c r="H1909" s="153"/>
      <c r="I1909" s="169"/>
    </row>
    <row r="1910" spans="2:10" x14ac:dyDescent="0.15">
      <c r="B1910" s="11"/>
      <c r="C1910" s="11"/>
      <c r="D1910" s="1"/>
      <c r="E1910" s="153"/>
      <c r="F1910" s="153"/>
      <c r="G1910" s="153"/>
      <c r="H1910" s="153"/>
      <c r="I1910" s="169"/>
    </row>
    <row r="1911" spans="2:10" x14ac:dyDescent="0.15">
      <c r="B1911" s="11"/>
      <c r="C1911" s="11"/>
      <c r="D1911" s="1"/>
      <c r="E1911" s="153"/>
      <c r="F1911" s="153"/>
      <c r="G1911" s="153"/>
      <c r="H1911" s="153"/>
      <c r="I1911" s="169"/>
    </row>
    <row r="1912" spans="2:10" x14ac:dyDescent="0.15">
      <c r="B1912" s="11"/>
      <c r="C1912" s="11"/>
      <c r="D1912" s="1"/>
      <c r="E1912" s="153"/>
      <c r="F1912" s="153"/>
      <c r="G1912" s="153"/>
      <c r="H1912" s="153"/>
      <c r="I1912" s="169"/>
    </row>
    <row r="1913" spans="2:10" x14ac:dyDescent="0.15">
      <c r="B1913" s="11"/>
      <c r="C1913" s="11"/>
      <c r="D1913" s="11"/>
      <c r="E1913" s="11"/>
      <c r="F1913" s="11"/>
      <c r="G1913" s="11"/>
      <c r="H1913" s="11"/>
      <c r="I1913" s="11"/>
    </row>
    <row r="1914" spans="2:10" x14ac:dyDescent="0.15">
      <c r="B1914" s="11"/>
      <c r="C1914" s="11"/>
      <c r="D1914" s="11"/>
      <c r="E1914" s="11"/>
      <c r="F1914" s="11"/>
      <c r="G1914" s="11"/>
      <c r="H1914" s="11"/>
      <c r="I1914" s="11"/>
    </row>
    <row r="1915" spans="2:10" ht="14" x14ac:dyDescent="0.15">
      <c r="B1915" s="101"/>
      <c r="C1915" s="83"/>
      <c r="D1915" s="84"/>
      <c r="E1915" s="83"/>
      <c r="F1915" s="83"/>
      <c r="G1915" s="102"/>
      <c r="H1915" s="83"/>
      <c r="I1915" s="85"/>
      <c r="J1915" s="85"/>
    </row>
    <row r="1916" spans="2:10" x14ac:dyDescent="0.15">
      <c r="B1916" s="11"/>
      <c r="C1916" s="11"/>
      <c r="D1916" s="1"/>
      <c r="E1916" s="153"/>
      <c r="F1916" s="153"/>
      <c r="G1916" s="153"/>
      <c r="H1916" s="153"/>
      <c r="I1916" s="169"/>
    </row>
    <row r="1917" spans="2:10" x14ac:dyDescent="0.15">
      <c r="B1917" s="11"/>
      <c r="C1917" s="11"/>
      <c r="D1917" s="1"/>
      <c r="E1917" s="153"/>
      <c r="F1917" s="153"/>
      <c r="G1917" s="153"/>
      <c r="H1917" s="153"/>
      <c r="I1917" s="169"/>
    </row>
    <row r="1918" spans="2:10" ht="14" thickBot="1" x14ac:dyDescent="0.2"/>
    <row r="1919" spans="2:10" ht="21" customHeight="1" x14ac:dyDescent="0.15">
      <c r="B1919" s="607" t="s">
        <v>1065</v>
      </c>
      <c r="C1919" s="608"/>
      <c r="D1919" s="608"/>
      <c r="E1919" s="608"/>
      <c r="F1919" s="609"/>
      <c r="G1919" s="1"/>
      <c r="H1919" s="712" t="s">
        <v>20</v>
      </c>
      <c r="I1919" s="713"/>
    </row>
    <row r="1920" spans="2:10" ht="16.5" customHeight="1" thickBot="1" x14ac:dyDescent="0.2">
      <c r="B1920" s="604" t="s">
        <v>446</v>
      </c>
      <c r="C1920" s="605"/>
      <c r="D1920" s="605"/>
      <c r="E1920" s="605"/>
      <c r="F1920" s="606"/>
      <c r="G1920" s="63"/>
      <c r="H1920" s="714"/>
      <c r="I1920" s="715"/>
    </row>
    <row r="1921" spans="2:9" ht="12.75" customHeight="1" x14ac:dyDescent="0.15">
      <c r="B1921" s="610" t="s">
        <v>447</v>
      </c>
      <c r="C1921" s="611"/>
      <c r="D1921" s="611"/>
      <c r="E1921" s="611"/>
      <c r="F1921" s="612"/>
      <c r="G1921" s="63"/>
      <c r="H1921" s="721" t="s">
        <v>667</v>
      </c>
      <c r="I1921" s="722"/>
    </row>
    <row r="1922" spans="2:9" ht="16.5" customHeight="1" thickBot="1" x14ac:dyDescent="0.2">
      <c r="B1922" s="613"/>
      <c r="C1922" s="614"/>
      <c r="D1922" s="614"/>
      <c r="E1922" s="614"/>
      <c r="F1922" s="615"/>
      <c r="G1922" s="1"/>
      <c r="H1922" s="717"/>
      <c r="I1922" s="718"/>
    </row>
    <row r="1923" spans="2:9" ht="13.5" customHeight="1" thickBot="1" x14ac:dyDescent="0.2">
      <c r="B1923" s="15"/>
      <c r="C1923" s="16"/>
      <c r="D1923" s="1"/>
      <c r="E1923" s="1"/>
      <c r="F1923" s="1"/>
      <c r="G1923" s="1"/>
      <c r="H1923" s="717"/>
      <c r="I1923" s="718"/>
    </row>
    <row r="1924" spans="2:9" ht="12.75" customHeight="1" x14ac:dyDescent="0.15">
      <c r="B1924" s="650" t="s">
        <v>890</v>
      </c>
      <c r="C1924" s="651"/>
      <c r="D1924" s="651"/>
      <c r="E1924" s="651"/>
      <c r="F1924" s="652"/>
      <c r="G1924" s="1"/>
      <c r="H1924" s="717"/>
      <c r="I1924" s="718"/>
    </row>
    <row r="1925" spans="2:9" ht="12.75" customHeight="1" x14ac:dyDescent="0.15">
      <c r="B1925" s="653"/>
      <c r="C1925" s="654"/>
      <c r="D1925" s="654"/>
      <c r="E1925" s="654"/>
      <c r="F1925" s="655"/>
      <c r="H1925" s="717"/>
      <c r="I1925" s="718"/>
    </row>
    <row r="1926" spans="2:9" ht="13.5" customHeight="1" thickBot="1" x14ac:dyDescent="0.2">
      <c r="B1926" s="653"/>
      <c r="C1926" s="654"/>
      <c r="D1926" s="654"/>
      <c r="E1926" s="654"/>
      <c r="F1926" s="655"/>
      <c r="G1926" s="11"/>
      <c r="H1926" s="723"/>
      <c r="I1926" s="724"/>
    </row>
    <row r="1927" spans="2:9" ht="21.75" customHeight="1" thickBot="1" x14ac:dyDescent="0.2">
      <c r="B1927" s="656"/>
      <c r="C1927" s="657"/>
      <c r="D1927" s="657"/>
      <c r="E1927" s="657"/>
      <c r="F1927" s="658"/>
      <c r="H1927" s="144" t="s">
        <v>45</v>
      </c>
      <c r="I1927" s="145" t="s">
        <v>5</v>
      </c>
    </row>
    <row r="1928" spans="2:9" ht="13.5" customHeight="1" x14ac:dyDescent="0.15">
      <c r="B1928" s="18"/>
      <c r="C1928" s="18"/>
      <c r="D1928" s="1"/>
      <c r="E1928" s="18"/>
      <c r="F1928" s="18"/>
      <c r="G1928" s="18"/>
      <c r="H1928" s="18"/>
      <c r="I1928" s="1"/>
    </row>
    <row r="1929" spans="2:9" ht="14" thickBot="1" x14ac:dyDescent="0.2">
      <c r="B1929" s="12" t="s">
        <v>21</v>
      </c>
      <c r="C1929" s="12"/>
      <c r="D1929" s="1"/>
      <c r="E1929" s="1"/>
      <c r="F1929" s="1"/>
      <c r="G1929" s="1"/>
      <c r="H1929" s="1"/>
      <c r="I1929" s="1"/>
    </row>
    <row r="1930" spans="2:9" x14ac:dyDescent="0.15">
      <c r="B1930" s="628" t="s">
        <v>22</v>
      </c>
      <c r="C1930" s="629"/>
      <c r="D1930" s="630"/>
      <c r="E1930" s="205" t="s">
        <v>23</v>
      </c>
      <c r="F1930" s="19" t="s">
        <v>47</v>
      </c>
      <c r="G1930" s="205" t="s">
        <v>24</v>
      </c>
      <c r="H1930" s="204" t="s">
        <v>25</v>
      </c>
      <c r="I1930" s="43"/>
    </row>
    <row r="1931" spans="2:9" x14ac:dyDescent="0.15">
      <c r="B1931" s="631" t="s">
        <v>56</v>
      </c>
      <c r="C1931" s="632"/>
      <c r="D1931" s="633"/>
      <c r="E1931" s="5"/>
      <c r="F1931" s="160"/>
      <c r="G1931" s="58"/>
      <c r="H1931" s="163">
        <f>+I1951*0.05</f>
        <v>733.05458333333343</v>
      </c>
      <c r="I1931" s="44"/>
    </row>
    <row r="1932" spans="2:9" x14ac:dyDescent="0.15">
      <c r="B1932" s="631"/>
      <c r="C1932" s="632"/>
      <c r="D1932" s="633"/>
      <c r="E1932" s="5"/>
      <c r="F1932" s="46"/>
      <c r="G1932" s="20"/>
      <c r="H1932" s="56"/>
      <c r="I1932" s="44"/>
    </row>
    <row r="1933" spans="2:9" ht="14" thickBot="1" x14ac:dyDescent="0.2">
      <c r="B1933" s="634"/>
      <c r="C1933" s="635"/>
      <c r="D1933" s="636"/>
      <c r="E1933" s="21"/>
      <c r="F1933" s="22"/>
      <c r="G1933" s="23"/>
      <c r="H1933" s="47"/>
      <c r="I1933" s="48"/>
    </row>
    <row r="1934" spans="2:9" ht="14" thickBot="1" x14ac:dyDescent="0.2">
      <c r="B1934" s="1"/>
      <c r="C1934" s="1"/>
      <c r="D1934" s="1"/>
      <c r="E1934" s="1"/>
      <c r="F1934" s="1"/>
      <c r="G1934" s="1"/>
      <c r="H1934" s="37" t="s">
        <v>26</v>
      </c>
      <c r="I1934" s="161">
        <f>SUM(H1931:H1933)</f>
        <v>733.05458333333343</v>
      </c>
    </row>
    <row r="1935" spans="2:9" ht="14" thickBot="1" x14ac:dyDescent="0.2">
      <c r="B1935" s="12" t="s">
        <v>27</v>
      </c>
      <c r="C1935" s="12"/>
      <c r="D1935" s="1"/>
      <c r="E1935" s="1"/>
      <c r="F1935" s="1"/>
      <c r="G1935" s="1"/>
      <c r="H1935" s="1"/>
      <c r="I1935" s="1"/>
    </row>
    <row r="1936" spans="2:9" x14ac:dyDescent="0.15">
      <c r="B1936" s="628" t="s">
        <v>22</v>
      </c>
      <c r="C1936" s="629"/>
      <c r="D1936" s="630"/>
      <c r="E1936" s="205" t="s">
        <v>28</v>
      </c>
      <c r="F1936" s="205" t="s">
        <v>29</v>
      </c>
      <c r="G1936" s="205" t="s">
        <v>30</v>
      </c>
      <c r="H1936" s="204" t="s">
        <v>25</v>
      </c>
      <c r="I1936" s="43"/>
    </row>
    <row r="1937" spans="2:9" x14ac:dyDescent="0.15">
      <c r="B1937" s="4" t="s">
        <v>271</v>
      </c>
      <c r="C1937" s="24"/>
      <c r="D1937" s="6"/>
      <c r="E1937" s="3" t="s">
        <v>103</v>
      </c>
      <c r="F1937" s="164">
        <f>MATERIALES!F44</f>
        <v>103000</v>
      </c>
      <c r="G1937" s="73">
        <v>0.03</v>
      </c>
      <c r="H1937" s="221">
        <f>F1937*G1937</f>
        <v>3090</v>
      </c>
      <c r="I1937" s="44"/>
    </row>
    <row r="1938" spans="2:9" ht="14" thickBot="1" x14ac:dyDescent="0.2">
      <c r="B1938" s="25"/>
      <c r="C1938" s="26"/>
      <c r="D1938" s="27"/>
      <c r="E1938" s="21"/>
      <c r="F1938" s="22"/>
      <c r="G1938" s="165"/>
      <c r="H1938" s="47"/>
      <c r="I1938" s="48"/>
    </row>
    <row r="1939" spans="2:9" ht="14" thickBot="1" x14ac:dyDescent="0.2">
      <c r="B1939" s="1"/>
      <c r="C1939" s="1"/>
      <c r="D1939" s="1"/>
      <c r="E1939" s="1"/>
      <c r="F1939" s="1"/>
      <c r="G1939" s="1"/>
      <c r="H1939" s="37" t="s">
        <v>26</v>
      </c>
      <c r="I1939" s="161">
        <f>SUM(H1937:H1938)</f>
        <v>3090</v>
      </c>
    </row>
    <row r="1940" spans="2:9" ht="14" thickBot="1" x14ac:dyDescent="0.2">
      <c r="B1940" s="28" t="s">
        <v>31</v>
      </c>
      <c r="C1940" s="28"/>
      <c r="D1940" s="26"/>
      <c r="E1940" s="1"/>
      <c r="F1940" s="1"/>
      <c r="G1940" s="1"/>
      <c r="H1940" s="1"/>
      <c r="I1940" s="1"/>
    </row>
    <row r="1941" spans="2:9" x14ac:dyDescent="0.15">
      <c r="B1941" s="51" t="s">
        <v>32</v>
      </c>
      <c r="C1941" s="52"/>
      <c r="D1941" s="96" t="s">
        <v>33</v>
      </c>
      <c r="E1941" s="205" t="s">
        <v>34</v>
      </c>
      <c r="F1941" s="205" t="s">
        <v>35</v>
      </c>
      <c r="G1941" s="205" t="s">
        <v>36</v>
      </c>
      <c r="H1941" s="59" t="s">
        <v>25</v>
      </c>
      <c r="I1941" s="43"/>
    </row>
    <row r="1942" spans="2:9" x14ac:dyDescent="0.15">
      <c r="B1942" s="4" t="s">
        <v>79</v>
      </c>
      <c r="C1942" s="6"/>
      <c r="D1942" s="53">
        <v>0.05</v>
      </c>
      <c r="E1942" s="2">
        <v>15</v>
      </c>
      <c r="F1942" s="2">
        <f>E1942*D1942</f>
        <v>0.75</v>
      </c>
      <c r="G1942" s="160">
        <v>1100</v>
      </c>
      <c r="H1942" s="20">
        <f>G1942*F1942</f>
        <v>825</v>
      </c>
      <c r="I1942" s="44"/>
    </row>
    <row r="1943" spans="2:9" x14ac:dyDescent="0.15">
      <c r="B1943" s="106"/>
      <c r="C1943" s="66"/>
      <c r="D1943" s="67"/>
      <c r="E1943" s="68"/>
      <c r="F1943" s="68"/>
      <c r="G1943" s="69"/>
      <c r="H1943" s="65"/>
      <c r="I1943" s="44"/>
    </row>
    <row r="1944" spans="2:9" ht="14" thickBot="1" x14ac:dyDescent="0.2">
      <c r="B1944" s="33"/>
      <c r="C1944" s="54"/>
      <c r="D1944" s="21"/>
      <c r="E1944" s="22"/>
      <c r="F1944" s="23"/>
      <c r="G1944" s="47"/>
      <c r="H1944" s="21"/>
      <c r="I1944" s="48"/>
    </row>
    <row r="1945" spans="2:9" ht="14" thickBot="1" x14ac:dyDescent="0.2">
      <c r="B1945" s="1"/>
      <c r="C1945" s="1"/>
      <c r="D1945" s="1"/>
      <c r="E1945" s="1"/>
      <c r="F1945" s="1"/>
      <c r="G1945" s="1"/>
      <c r="H1945" s="37" t="s">
        <v>26</v>
      </c>
      <c r="I1945" s="161">
        <f>SUM(H1942:H1944)</f>
        <v>825</v>
      </c>
    </row>
    <row r="1946" spans="2:9" ht="14" thickBot="1" x14ac:dyDescent="0.2">
      <c r="B1946" s="28" t="s">
        <v>37</v>
      </c>
      <c r="C1946" s="28"/>
      <c r="D1946" s="1"/>
      <c r="E1946" s="1"/>
      <c r="F1946" s="1"/>
      <c r="G1946" s="1"/>
      <c r="H1946" s="1"/>
      <c r="I1946" s="1"/>
    </row>
    <row r="1947" spans="2:9" x14ac:dyDescent="0.15">
      <c r="B1947" s="51" t="s">
        <v>38</v>
      </c>
      <c r="C1947" s="86"/>
      <c r="D1947" s="31" t="s">
        <v>39</v>
      </c>
      <c r="E1947" s="205" t="s">
        <v>40</v>
      </c>
      <c r="F1947" s="19" t="s">
        <v>41</v>
      </c>
      <c r="G1947" s="31" t="s">
        <v>24</v>
      </c>
      <c r="H1947" s="204" t="s">
        <v>25</v>
      </c>
      <c r="I1947" s="43"/>
    </row>
    <row r="1948" spans="2:9" x14ac:dyDescent="0.15">
      <c r="B1948" s="4" t="s">
        <v>104</v>
      </c>
      <c r="C1948" s="24"/>
      <c r="D1948" s="32">
        <f>'MANO DE OBRA'!E15</f>
        <v>95333</v>
      </c>
      <c r="E1948" s="88">
        <v>1.75</v>
      </c>
      <c r="F1948" s="162">
        <f>+E1948*D1948</f>
        <v>166832.75</v>
      </c>
      <c r="G1948" s="20">
        <v>30</v>
      </c>
      <c r="H1948" s="167">
        <f>+F1948/G1948</f>
        <v>5561.0916666666662</v>
      </c>
      <c r="I1948" s="44"/>
    </row>
    <row r="1949" spans="2:9" x14ac:dyDescent="0.15">
      <c r="B1949" s="4" t="s">
        <v>64</v>
      </c>
      <c r="C1949" s="24"/>
      <c r="D1949" s="32">
        <f>'MANO DE OBRA'!E14*3</f>
        <v>156000</v>
      </c>
      <c r="E1949" s="88">
        <v>1.75</v>
      </c>
      <c r="F1949" s="162">
        <f>+E1949*D1949</f>
        <v>273000</v>
      </c>
      <c r="G1949" s="20">
        <v>30</v>
      </c>
      <c r="H1949" s="167">
        <f>+F1949/G1949</f>
        <v>9100</v>
      </c>
      <c r="I1949" s="44"/>
    </row>
    <row r="1950" spans="2:9" ht="14" thickBot="1" x14ac:dyDescent="0.2">
      <c r="B1950" s="33"/>
      <c r="C1950" s="34"/>
      <c r="D1950" s="22"/>
      <c r="E1950" s="21"/>
      <c r="F1950" s="22"/>
      <c r="G1950" s="23"/>
      <c r="H1950" s="47"/>
      <c r="I1950" s="48"/>
    </row>
    <row r="1951" spans="2:9" ht="14" thickBot="1" x14ac:dyDescent="0.2">
      <c r="B1951" s="1"/>
      <c r="C1951" s="1"/>
      <c r="D1951" s="1"/>
      <c r="E1951" s="1"/>
      <c r="F1951" s="1"/>
      <c r="G1951" s="1"/>
      <c r="H1951" s="37" t="s">
        <v>26</v>
      </c>
      <c r="I1951" s="175">
        <f>SUM(H1948:H1950)</f>
        <v>14661.091666666667</v>
      </c>
    </row>
    <row r="1952" spans="2:9" ht="14" thickBot="1" x14ac:dyDescent="0.2">
      <c r="B1952" s="1"/>
      <c r="C1952" s="1"/>
      <c r="D1952" s="1"/>
      <c r="E1952" s="1"/>
      <c r="F1952" s="1"/>
      <c r="G1952" s="1"/>
      <c r="H1952" s="61"/>
      <c r="I1952" s="1"/>
    </row>
    <row r="1953" spans="2:11" ht="15" thickBot="1" x14ac:dyDescent="0.2">
      <c r="B1953" s="1"/>
      <c r="C1953" s="1"/>
      <c r="D1953" s="1"/>
      <c r="E1953" s="1"/>
      <c r="F1953" s="35" t="s">
        <v>43</v>
      </c>
      <c r="G1953" s="16"/>
      <c r="H1953" s="16"/>
      <c r="I1953" s="222">
        <f>ROUND((I1934+I1939+I1945+I1951),0)</f>
        <v>19309</v>
      </c>
    </row>
    <row r="1954" spans="2:11" x14ac:dyDescent="0.15">
      <c r="B1954" s="12"/>
      <c r="C1954" s="12"/>
      <c r="D1954" s="1"/>
      <c r="E1954" s="1"/>
      <c r="F1954" s="1"/>
      <c r="G1954" s="1"/>
      <c r="H1954" s="170"/>
      <c r="I1954" s="170"/>
    </row>
    <row r="1955" spans="2:11" x14ac:dyDescent="0.15">
      <c r="B1955" s="16"/>
      <c r="C1955" s="16"/>
      <c r="D1955" s="16"/>
      <c r="E1955" s="16"/>
      <c r="F1955" s="16"/>
      <c r="G1955" s="61"/>
      <c r="H1955" s="171"/>
      <c r="I1955" s="170"/>
    </row>
    <row r="1956" spans="2:11" x14ac:dyDescent="0.15">
      <c r="B1956" s="1"/>
      <c r="C1956" s="1"/>
      <c r="D1956" s="1"/>
      <c r="E1956" s="1"/>
      <c r="F1956" s="1"/>
      <c r="G1956" s="159"/>
      <c r="H1956" s="170"/>
      <c r="I1956" s="170"/>
      <c r="K1956" s="105"/>
    </row>
    <row r="1957" spans="2:11" x14ac:dyDescent="0.15">
      <c r="B1957" s="1"/>
      <c r="C1957" s="1"/>
      <c r="D1957" s="1"/>
      <c r="E1957" s="1"/>
      <c r="F1957" s="1"/>
      <c r="G1957" s="159"/>
      <c r="H1957" s="170"/>
      <c r="I1957" s="170"/>
    </row>
    <row r="1958" spans="2:11" x14ac:dyDescent="0.15">
      <c r="B1958" s="1"/>
      <c r="C1958" s="1"/>
      <c r="D1958" s="1"/>
      <c r="E1958" s="1"/>
      <c r="F1958" s="1"/>
      <c r="G1958" s="159"/>
      <c r="H1958" s="170"/>
      <c r="I1958" s="170"/>
    </row>
    <row r="1959" spans="2:11" x14ac:dyDescent="0.15">
      <c r="B1959" s="1"/>
      <c r="C1959" s="1"/>
      <c r="D1959" s="1"/>
      <c r="E1959" s="1"/>
      <c r="F1959" s="1"/>
      <c r="G1959" s="1"/>
      <c r="H1959" s="37"/>
      <c r="I1959" s="170"/>
    </row>
    <row r="1960" spans="2:11" ht="14" x14ac:dyDescent="0.15">
      <c r="B1960" s="101"/>
      <c r="C1960" s="1"/>
      <c r="D1960" s="1"/>
      <c r="E1960" s="1"/>
      <c r="F1960" s="1"/>
      <c r="G1960" s="1"/>
      <c r="H1960" s="1"/>
      <c r="I1960" s="170"/>
    </row>
    <row r="1961" spans="2:11" ht="14" x14ac:dyDescent="0.15">
      <c r="B1961" s="83"/>
      <c r="C1961" s="11"/>
      <c r="D1961" s="1"/>
      <c r="E1961" s="637"/>
      <c r="F1961" s="637"/>
      <c r="G1961" s="637"/>
      <c r="H1961" s="637"/>
      <c r="I1961" s="169"/>
    </row>
    <row r="1962" spans="2:11" ht="14" x14ac:dyDescent="0.15">
      <c r="B1962" s="101"/>
      <c r="C1962" s="11"/>
      <c r="D1962" s="1"/>
      <c r="E1962" s="153"/>
      <c r="F1962" s="153"/>
      <c r="G1962" s="153"/>
      <c r="H1962" s="153"/>
      <c r="I1962" s="169"/>
    </row>
    <row r="1963" spans="2:11" ht="14" x14ac:dyDescent="0.15">
      <c r="B1963" s="83"/>
      <c r="C1963" s="11"/>
      <c r="D1963" s="1"/>
      <c r="E1963" s="153"/>
      <c r="F1963" s="153"/>
      <c r="G1963" s="153"/>
      <c r="H1963" s="153"/>
      <c r="I1963" s="169"/>
    </row>
    <row r="1964" spans="2:11" ht="14" x14ac:dyDescent="0.15">
      <c r="B1964" s="83"/>
      <c r="C1964" s="11"/>
      <c r="D1964" s="1"/>
      <c r="E1964" s="153"/>
      <c r="F1964" s="153"/>
      <c r="G1964" s="153"/>
      <c r="H1964" s="153"/>
      <c r="I1964" s="169"/>
    </row>
    <row r="1965" spans="2:11" ht="14" x14ac:dyDescent="0.15">
      <c r="B1965" s="83"/>
      <c r="C1965" s="11"/>
      <c r="D1965" s="1"/>
      <c r="E1965" s="153"/>
      <c r="F1965" s="153"/>
      <c r="G1965" s="153"/>
      <c r="H1965" s="153"/>
      <c r="I1965" s="169"/>
    </row>
    <row r="1966" spans="2:11" ht="14" x14ac:dyDescent="0.15">
      <c r="B1966" s="83"/>
      <c r="C1966" s="11"/>
      <c r="D1966" s="1"/>
      <c r="E1966" s="153"/>
      <c r="F1966" s="153"/>
      <c r="G1966" s="153"/>
      <c r="H1966" s="153"/>
      <c r="I1966" s="169"/>
    </row>
    <row r="1967" spans="2:11" ht="14" x14ac:dyDescent="0.15">
      <c r="B1967" s="83"/>
      <c r="C1967" s="11"/>
      <c r="D1967" s="1"/>
      <c r="E1967" s="153"/>
      <c r="F1967" s="153"/>
      <c r="G1967" s="153"/>
      <c r="H1967" s="153"/>
      <c r="I1967" s="169"/>
    </row>
    <row r="1968" spans="2:11" ht="14" x14ac:dyDescent="0.15">
      <c r="B1968" s="83"/>
      <c r="C1968" s="11"/>
      <c r="D1968" s="1"/>
      <c r="E1968" s="153"/>
      <c r="F1968" s="153"/>
      <c r="G1968" s="153"/>
      <c r="H1968" s="153"/>
      <c r="I1968" s="169"/>
    </row>
    <row r="1969" spans="2:10" ht="14" x14ac:dyDescent="0.15">
      <c r="B1969" s="83"/>
      <c r="C1969" s="11"/>
      <c r="D1969" s="1"/>
      <c r="E1969" s="153"/>
      <c r="F1969" s="153"/>
      <c r="G1969" s="153"/>
      <c r="H1969" s="153"/>
      <c r="I1969" s="169"/>
    </row>
    <row r="1970" spans="2:10" x14ac:dyDescent="0.15">
      <c r="B1970" s="11"/>
      <c r="C1970" s="11"/>
      <c r="D1970" s="1"/>
      <c r="E1970" s="153"/>
      <c r="F1970" s="153"/>
      <c r="G1970" s="153"/>
      <c r="H1970" s="153"/>
      <c r="I1970" s="169"/>
    </row>
    <row r="1971" spans="2:10" x14ac:dyDescent="0.15">
      <c r="B1971" s="11"/>
      <c r="C1971" s="11"/>
      <c r="D1971" s="1"/>
      <c r="E1971" s="153"/>
      <c r="F1971" s="153"/>
      <c r="G1971" s="153"/>
      <c r="H1971" s="153"/>
      <c r="I1971" s="169"/>
    </row>
    <row r="1972" spans="2:10" x14ac:dyDescent="0.15">
      <c r="B1972" s="11"/>
      <c r="C1972" s="11"/>
      <c r="D1972" s="11"/>
      <c r="E1972" s="11"/>
      <c r="F1972" s="11"/>
      <c r="G1972" s="11"/>
      <c r="H1972" s="11"/>
      <c r="I1972" s="11"/>
    </row>
    <row r="1973" spans="2:10" ht="14" x14ac:dyDescent="0.15">
      <c r="B1973" s="101"/>
      <c r="C1973" s="83"/>
      <c r="D1973" s="84"/>
      <c r="E1973" s="83"/>
      <c r="F1973" s="83"/>
      <c r="G1973" s="102"/>
      <c r="H1973" s="83"/>
      <c r="I1973" s="85"/>
      <c r="J1973" s="85"/>
    </row>
    <row r="1974" spans="2:10" ht="14" x14ac:dyDescent="0.15">
      <c r="B1974" s="83"/>
      <c r="C1974" s="83"/>
      <c r="D1974" s="84"/>
      <c r="E1974" s="83"/>
      <c r="F1974" s="83"/>
      <c r="G1974" s="103"/>
      <c r="H1974" s="83"/>
      <c r="I1974" s="85"/>
      <c r="J1974" s="85"/>
    </row>
    <row r="1975" spans="2:10" x14ac:dyDescent="0.15">
      <c r="B1975" s="11"/>
      <c r="C1975" s="11"/>
      <c r="D1975" s="1"/>
      <c r="E1975" s="153"/>
      <c r="F1975" s="153"/>
      <c r="G1975" s="153"/>
      <c r="H1975" s="153"/>
      <c r="I1975" s="169"/>
    </row>
    <row r="1976" spans="2:10" x14ac:dyDescent="0.15">
      <c r="B1976" s="11"/>
      <c r="C1976" s="11"/>
      <c r="D1976" s="1"/>
      <c r="E1976" s="153"/>
      <c r="F1976" s="153"/>
      <c r="G1976" s="153"/>
      <c r="H1976" s="153"/>
      <c r="I1976" s="169"/>
    </row>
    <row r="1977" spans="2:10" ht="14" thickBot="1" x14ac:dyDescent="0.2"/>
    <row r="1978" spans="2:10" ht="21" customHeight="1" x14ac:dyDescent="0.15">
      <c r="B1978" s="607" t="s">
        <v>1065</v>
      </c>
      <c r="C1978" s="608"/>
      <c r="D1978" s="608"/>
      <c r="E1978" s="608"/>
      <c r="F1978" s="609"/>
      <c r="G1978" s="1"/>
      <c r="H1978" s="638" t="s">
        <v>20</v>
      </c>
      <c r="I1978" s="639"/>
    </row>
    <row r="1979" spans="2:10" ht="16.5" customHeight="1" x14ac:dyDescent="0.15">
      <c r="B1979" s="604" t="s">
        <v>446</v>
      </c>
      <c r="C1979" s="605"/>
      <c r="D1979" s="605"/>
      <c r="E1979" s="605"/>
      <c r="F1979" s="606"/>
      <c r="G1979" s="63"/>
      <c r="H1979" s="640"/>
      <c r="I1979" s="641"/>
    </row>
    <row r="1980" spans="2:10" ht="12.75" customHeight="1" x14ac:dyDescent="0.15">
      <c r="B1980" s="610" t="s">
        <v>447</v>
      </c>
      <c r="C1980" s="611"/>
      <c r="D1980" s="611"/>
      <c r="E1980" s="611"/>
      <c r="F1980" s="612"/>
      <c r="G1980" s="63"/>
      <c r="H1980" s="642"/>
      <c r="I1980" s="643"/>
    </row>
    <row r="1981" spans="2:10" ht="16.5" customHeight="1" thickBot="1" x14ac:dyDescent="0.2">
      <c r="B1981" s="613"/>
      <c r="C1981" s="614"/>
      <c r="D1981" s="614"/>
      <c r="E1981" s="614"/>
      <c r="F1981" s="615"/>
      <c r="G1981" s="1"/>
      <c r="H1981" s="668" t="s">
        <v>669</v>
      </c>
      <c r="I1981" s="669"/>
    </row>
    <row r="1982" spans="2:10" ht="14" thickBot="1" x14ac:dyDescent="0.2">
      <c r="B1982" s="15"/>
      <c r="C1982" s="16"/>
      <c r="D1982" s="1"/>
      <c r="E1982" s="1"/>
      <c r="F1982" s="1"/>
      <c r="G1982" s="1"/>
      <c r="H1982" s="670"/>
      <c r="I1982" s="671"/>
    </row>
    <row r="1983" spans="2:10" ht="12.75" customHeight="1" x14ac:dyDescent="0.15">
      <c r="B1983" s="650" t="s">
        <v>890</v>
      </c>
      <c r="C1983" s="651"/>
      <c r="D1983" s="651"/>
      <c r="E1983" s="651"/>
      <c r="F1983" s="652"/>
      <c r="G1983" s="1"/>
      <c r="H1983" s="670"/>
      <c r="I1983" s="671"/>
    </row>
    <row r="1984" spans="2:10" ht="12.75" customHeight="1" x14ac:dyDescent="0.15">
      <c r="B1984" s="653"/>
      <c r="C1984" s="654"/>
      <c r="D1984" s="654"/>
      <c r="E1984" s="654"/>
      <c r="F1984" s="655"/>
      <c r="H1984" s="670"/>
      <c r="I1984" s="671"/>
    </row>
    <row r="1985" spans="2:9" ht="13.5" customHeight="1" x14ac:dyDescent="0.15">
      <c r="B1985" s="653"/>
      <c r="C1985" s="654"/>
      <c r="D1985" s="654"/>
      <c r="E1985" s="654"/>
      <c r="F1985" s="655"/>
      <c r="G1985" s="11"/>
      <c r="H1985" s="670"/>
      <c r="I1985" s="671"/>
    </row>
    <row r="1986" spans="2:9" ht="21.75" customHeight="1" thickBot="1" x14ac:dyDescent="0.2">
      <c r="B1986" s="656"/>
      <c r="C1986" s="657"/>
      <c r="D1986" s="657"/>
      <c r="E1986" s="657"/>
      <c r="F1986" s="658"/>
      <c r="H1986" s="64" t="s">
        <v>45</v>
      </c>
      <c r="I1986" s="17" t="s">
        <v>5</v>
      </c>
    </row>
    <row r="1987" spans="2:9" x14ac:dyDescent="0.15">
      <c r="B1987" s="18"/>
      <c r="C1987" s="18"/>
      <c r="D1987" s="1"/>
      <c r="E1987" s="18"/>
      <c r="F1987" s="18"/>
      <c r="G1987" s="18"/>
      <c r="H1987" s="18"/>
      <c r="I1987" s="1"/>
    </row>
    <row r="1988" spans="2:9" ht="14" thickBot="1" x14ac:dyDescent="0.2">
      <c r="B1988" s="12" t="s">
        <v>21</v>
      </c>
      <c r="C1988" s="12"/>
      <c r="D1988" s="1"/>
      <c r="E1988" s="1"/>
      <c r="F1988" s="1"/>
      <c r="G1988" s="1"/>
      <c r="H1988" s="1"/>
      <c r="I1988" s="1"/>
    </row>
    <row r="1989" spans="2:9" x14ac:dyDescent="0.15">
      <c r="B1989" s="628" t="s">
        <v>22</v>
      </c>
      <c r="C1989" s="629"/>
      <c r="D1989" s="630"/>
      <c r="E1989" s="205" t="s">
        <v>23</v>
      </c>
      <c r="F1989" s="19" t="s">
        <v>47</v>
      </c>
      <c r="G1989" s="205" t="s">
        <v>24</v>
      </c>
      <c r="H1989" s="204" t="s">
        <v>25</v>
      </c>
      <c r="I1989" s="43"/>
    </row>
    <row r="1990" spans="2:9" x14ac:dyDescent="0.15">
      <c r="B1990" s="631" t="s">
        <v>56</v>
      </c>
      <c r="C1990" s="632"/>
      <c r="D1990" s="633"/>
      <c r="E1990" s="5"/>
      <c r="F1990" s="160"/>
      <c r="G1990" s="58"/>
      <c r="H1990" s="160">
        <f>I2013*0.05</f>
        <v>1466.1091666666669</v>
      </c>
      <c r="I1990" s="44"/>
    </row>
    <row r="1991" spans="2:9" ht="14" thickBot="1" x14ac:dyDescent="0.2">
      <c r="B1991" s="634"/>
      <c r="C1991" s="635"/>
      <c r="D1991" s="636"/>
      <c r="E1991" s="21"/>
      <c r="F1991" s="22"/>
      <c r="G1991" s="23"/>
      <c r="H1991" s="47"/>
      <c r="I1991" s="48"/>
    </row>
    <row r="1992" spans="2:9" ht="14" thickBot="1" x14ac:dyDescent="0.2">
      <c r="B1992" s="1"/>
      <c r="C1992" s="1"/>
      <c r="D1992" s="1"/>
      <c r="E1992" s="1"/>
      <c r="F1992" s="1"/>
      <c r="G1992" s="1"/>
      <c r="H1992" s="37" t="s">
        <v>26</v>
      </c>
      <c r="I1992" s="161">
        <f>SUM(H1990:H1991)</f>
        <v>1466.1091666666669</v>
      </c>
    </row>
    <row r="1993" spans="2:9" ht="14" thickBot="1" x14ac:dyDescent="0.2">
      <c r="B1993" s="12" t="s">
        <v>27</v>
      </c>
      <c r="C1993" s="12"/>
      <c r="D1993" s="1"/>
      <c r="E1993" s="1"/>
      <c r="F1993" s="1"/>
      <c r="G1993" s="1"/>
      <c r="H1993" s="1"/>
      <c r="I1993" s="1"/>
    </row>
    <row r="1994" spans="2:9" x14ac:dyDescent="0.15">
      <c r="B1994" s="628" t="s">
        <v>22</v>
      </c>
      <c r="C1994" s="629"/>
      <c r="D1994" s="630"/>
      <c r="E1994" s="205" t="s">
        <v>28</v>
      </c>
      <c r="F1994" s="205" t="s">
        <v>29</v>
      </c>
      <c r="G1994" s="205" t="s">
        <v>30</v>
      </c>
      <c r="H1994" s="204" t="s">
        <v>25</v>
      </c>
      <c r="I1994" s="43"/>
    </row>
    <row r="1995" spans="2:9" x14ac:dyDescent="0.15">
      <c r="B1995" s="4" t="s">
        <v>550</v>
      </c>
      <c r="C1995" s="24"/>
      <c r="D1995" s="6"/>
      <c r="E1995" s="3" t="s">
        <v>324</v>
      </c>
      <c r="F1995" s="162">
        <f>MATERIALES!C150</f>
        <v>118399.05</v>
      </c>
      <c r="G1995" s="20">
        <v>0.03</v>
      </c>
      <c r="H1995" s="179">
        <f t="shared" ref="H1995" si="4">+F1995*G1995</f>
        <v>3551.9715000000001</v>
      </c>
      <c r="I1995" s="94"/>
    </row>
    <row r="1996" spans="2:9" x14ac:dyDescent="0.15">
      <c r="B1996" s="4" t="s">
        <v>551</v>
      </c>
      <c r="C1996" s="24"/>
      <c r="D1996" s="6"/>
      <c r="E1996" s="3" t="s">
        <v>555</v>
      </c>
      <c r="F1996" s="162">
        <f>MATERIALES!C151</f>
        <v>290776.5</v>
      </c>
      <c r="G1996" s="20">
        <v>0.03</v>
      </c>
      <c r="H1996" s="163">
        <f>G1996*F1996</f>
        <v>8723.2950000000001</v>
      </c>
      <c r="I1996" s="44"/>
    </row>
    <row r="1997" spans="2:9" ht="23.25" customHeight="1" x14ac:dyDescent="0.15">
      <c r="B1997" s="682" t="s">
        <v>552</v>
      </c>
      <c r="C1997" s="683"/>
      <c r="D1997" s="684"/>
      <c r="E1997" s="3" t="s">
        <v>556</v>
      </c>
      <c r="F1997" s="162">
        <f>MATERIALES!C152</f>
        <v>427329</v>
      </c>
      <c r="G1997" s="20">
        <v>0.03</v>
      </c>
      <c r="H1997" s="163">
        <f>G1997*F1997</f>
        <v>12819.869999999999</v>
      </c>
      <c r="I1997" s="44"/>
    </row>
    <row r="1998" spans="2:9" ht="34.5" customHeight="1" x14ac:dyDescent="0.15">
      <c r="B1998" s="682" t="s">
        <v>553</v>
      </c>
      <c r="C1998" s="683"/>
      <c r="D1998" s="684"/>
      <c r="E1998" s="3" t="s">
        <v>426</v>
      </c>
      <c r="F1998" s="162">
        <f>MATERIALES!C153</f>
        <v>609184.80000000005</v>
      </c>
      <c r="G1998" s="65">
        <v>0.01</v>
      </c>
      <c r="H1998" s="163">
        <f>G1998*F1998</f>
        <v>6091.8480000000009</v>
      </c>
      <c r="I1998" s="44"/>
    </row>
    <row r="1999" spans="2:9" ht="24" customHeight="1" x14ac:dyDescent="0.15">
      <c r="B1999" s="682" t="s">
        <v>554</v>
      </c>
      <c r="C1999" s="683"/>
      <c r="D1999" s="684"/>
      <c r="E1999" s="3" t="s">
        <v>426</v>
      </c>
      <c r="F1999" s="162">
        <f>MATERIALES!C154</f>
        <v>464599.80000000005</v>
      </c>
      <c r="G1999" s="65">
        <v>0.01</v>
      </c>
      <c r="H1999" s="163">
        <f>G1999*F1999</f>
        <v>4645.9980000000005</v>
      </c>
      <c r="I1999" s="44"/>
    </row>
    <row r="2000" spans="2:9" ht="14" thickBot="1" x14ac:dyDescent="0.2">
      <c r="B2000" s="25"/>
      <c r="C2000" s="26"/>
      <c r="D2000" s="27"/>
      <c r="E2000" s="21"/>
      <c r="F2000" s="22"/>
      <c r="G2000" s="165"/>
      <c r="H2000" s="47"/>
      <c r="I2000" s="48"/>
    </row>
    <row r="2001" spans="2:9" ht="14" thickBot="1" x14ac:dyDescent="0.2">
      <c r="B2001" s="1"/>
      <c r="C2001" s="1"/>
      <c r="D2001" s="1"/>
      <c r="E2001" s="1"/>
      <c r="F2001" s="1"/>
      <c r="G2001" s="1"/>
      <c r="H2001" s="37" t="s">
        <v>26</v>
      </c>
      <c r="I2001" s="161">
        <f>SUM(H1995:H2000)</f>
        <v>35832.982500000006</v>
      </c>
    </row>
    <row r="2002" spans="2:9" ht="14" thickBot="1" x14ac:dyDescent="0.2">
      <c r="B2002" s="28" t="s">
        <v>31</v>
      </c>
      <c r="C2002" s="28"/>
      <c r="D2002" s="26"/>
      <c r="E2002" s="1"/>
      <c r="F2002" s="1"/>
      <c r="G2002" s="1"/>
      <c r="H2002" s="1"/>
      <c r="I2002" s="1"/>
    </row>
    <row r="2003" spans="2:9" x14ac:dyDescent="0.15">
      <c r="B2003" s="51" t="s">
        <v>32</v>
      </c>
      <c r="C2003" s="52"/>
      <c r="D2003" s="96" t="s">
        <v>33</v>
      </c>
      <c r="E2003" s="205" t="s">
        <v>34</v>
      </c>
      <c r="F2003" s="205" t="s">
        <v>35</v>
      </c>
      <c r="G2003" s="205" t="s">
        <v>36</v>
      </c>
      <c r="H2003" s="59" t="s">
        <v>25</v>
      </c>
      <c r="I2003" s="43"/>
    </row>
    <row r="2004" spans="2:9" x14ac:dyDescent="0.15">
      <c r="B2004" s="4" t="s">
        <v>490</v>
      </c>
      <c r="C2004" s="6"/>
      <c r="D2004" s="60">
        <v>0.01</v>
      </c>
      <c r="E2004" s="2">
        <v>1200</v>
      </c>
      <c r="F2004" s="2">
        <f>E2004*D2004</f>
        <v>12</v>
      </c>
      <c r="G2004" s="160">
        <v>1100</v>
      </c>
      <c r="H2004" s="55">
        <f>G2004*F2004</f>
        <v>13200</v>
      </c>
      <c r="I2004" s="44"/>
    </row>
    <row r="2005" spans="2:9" x14ac:dyDescent="0.15">
      <c r="B2005" s="106"/>
      <c r="C2005" s="66"/>
      <c r="D2005" s="67"/>
      <c r="E2005" s="68"/>
      <c r="F2005" s="68"/>
      <c r="G2005" s="69"/>
      <c r="H2005" s="65"/>
      <c r="I2005" s="44"/>
    </row>
    <row r="2006" spans="2:9" ht="14" thickBot="1" x14ac:dyDescent="0.2">
      <c r="B2006" s="33"/>
      <c r="C2006" s="54"/>
      <c r="D2006" s="21"/>
      <c r="E2006" s="22"/>
      <c r="F2006" s="23"/>
      <c r="G2006" s="47"/>
      <c r="H2006" s="21"/>
      <c r="I2006" s="48"/>
    </row>
    <row r="2007" spans="2:9" ht="14" thickBot="1" x14ac:dyDescent="0.2">
      <c r="B2007" s="1"/>
      <c r="C2007" s="1"/>
      <c r="D2007" s="1"/>
      <c r="E2007" s="1"/>
      <c r="F2007" s="1"/>
      <c r="G2007" s="1"/>
      <c r="H2007" s="37" t="s">
        <v>26</v>
      </c>
      <c r="I2007" s="161">
        <f>SUM(H2004:H2006)</f>
        <v>13200</v>
      </c>
    </row>
    <row r="2008" spans="2:9" ht="14" thickBot="1" x14ac:dyDescent="0.2">
      <c r="B2008" s="28" t="s">
        <v>37</v>
      </c>
      <c r="C2008" s="28"/>
      <c r="D2008" s="1"/>
      <c r="E2008" s="1"/>
      <c r="F2008" s="1"/>
      <c r="G2008" s="1"/>
      <c r="H2008" s="1"/>
      <c r="I2008" s="1"/>
    </row>
    <row r="2009" spans="2:9" x14ac:dyDescent="0.15">
      <c r="B2009" s="51" t="s">
        <v>38</v>
      </c>
      <c r="C2009" s="86"/>
      <c r="D2009" s="31" t="s">
        <v>39</v>
      </c>
      <c r="E2009" s="205" t="s">
        <v>40</v>
      </c>
      <c r="F2009" s="19" t="s">
        <v>41</v>
      </c>
      <c r="G2009" s="31" t="s">
        <v>24</v>
      </c>
      <c r="H2009" s="204" t="s">
        <v>25</v>
      </c>
      <c r="I2009" s="43"/>
    </row>
    <row r="2010" spans="2:9" x14ac:dyDescent="0.15">
      <c r="B2010" s="4" t="s">
        <v>546</v>
      </c>
      <c r="C2010" s="24"/>
      <c r="D2010" s="32">
        <f>'MANO DE OBRA'!E15*2</f>
        <v>190666</v>
      </c>
      <c r="E2010" s="88">
        <v>1.75</v>
      </c>
      <c r="F2010" s="162">
        <f>+E2010*D2010</f>
        <v>333665.5</v>
      </c>
      <c r="G2010" s="79">
        <v>30</v>
      </c>
      <c r="H2010" s="167">
        <f>+F2010/G2010</f>
        <v>11122.183333333332</v>
      </c>
      <c r="I2010" s="44"/>
    </row>
    <row r="2011" spans="2:9" x14ac:dyDescent="0.15">
      <c r="B2011" s="4" t="s">
        <v>94</v>
      </c>
      <c r="C2011" s="24"/>
      <c r="D2011" s="32">
        <f>'MANO DE OBRA'!E14*6</f>
        <v>312000</v>
      </c>
      <c r="E2011" s="88">
        <v>1.75</v>
      </c>
      <c r="F2011" s="162">
        <f>+E2011*D2011</f>
        <v>546000</v>
      </c>
      <c r="G2011" s="79">
        <v>30</v>
      </c>
      <c r="H2011" s="167">
        <f>+F2011/G2011</f>
        <v>18200</v>
      </c>
      <c r="I2011" s="44"/>
    </row>
    <row r="2012" spans="2:9" ht="14" thickBot="1" x14ac:dyDescent="0.2">
      <c r="B2012" s="33"/>
      <c r="C2012" s="34"/>
      <c r="D2012" s="22"/>
      <c r="E2012" s="21"/>
      <c r="F2012" s="22"/>
      <c r="G2012" s="23"/>
      <c r="H2012" s="47"/>
      <c r="I2012" s="48"/>
    </row>
    <row r="2013" spans="2:9" ht="14" thickBot="1" x14ac:dyDescent="0.2">
      <c r="B2013" s="1"/>
      <c r="C2013" s="1"/>
      <c r="D2013" s="1"/>
      <c r="E2013" s="1"/>
      <c r="F2013" s="1"/>
      <c r="G2013" s="1"/>
      <c r="H2013" s="37" t="s">
        <v>26</v>
      </c>
      <c r="I2013" s="175">
        <f>SUM(H2010:H2012)</f>
        <v>29322.183333333334</v>
      </c>
    </row>
    <row r="2014" spans="2:9" ht="14" thickBot="1" x14ac:dyDescent="0.2">
      <c r="B2014" s="1"/>
      <c r="C2014" s="1"/>
      <c r="D2014" s="1"/>
      <c r="E2014" s="1"/>
      <c r="F2014" s="1"/>
      <c r="G2014" s="1"/>
      <c r="H2014" s="61"/>
      <c r="I2014" s="1"/>
    </row>
    <row r="2015" spans="2:9" ht="15" thickBot="1" x14ac:dyDescent="0.2">
      <c r="B2015" s="1"/>
      <c r="C2015" s="1"/>
      <c r="D2015" s="1"/>
      <c r="E2015" s="1"/>
      <c r="F2015" s="35" t="s">
        <v>43</v>
      </c>
      <c r="G2015" s="16"/>
      <c r="H2015" s="16"/>
      <c r="I2015" s="222">
        <f>ROUND((I1992+I2001+I2007+I2013),0)</f>
        <v>79821</v>
      </c>
    </row>
    <row r="2016" spans="2:9" x14ac:dyDescent="0.15">
      <c r="B2016" s="12"/>
      <c r="C2016" s="12"/>
      <c r="D2016" s="1"/>
      <c r="E2016" s="1"/>
      <c r="F2016" s="1"/>
      <c r="G2016" s="1"/>
      <c r="H2016" s="170"/>
      <c r="I2016" s="170"/>
    </row>
    <row r="2017" spans="2:11" x14ac:dyDescent="0.15">
      <c r="B2017" s="16"/>
      <c r="C2017" s="16"/>
      <c r="D2017" s="16"/>
      <c r="E2017" s="16"/>
      <c r="F2017" s="16"/>
      <c r="G2017" s="61"/>
      <c r="H2017" s="171"/>
      <c r="I2017" s="170"/>
    </row>
    <row r="2018" spans="2:11" x14ac:dyDescent="0.15">
      <c r="B2018" s="1"/>
      <c r="C2018" s="1"/>
      <c r="D2018" s="1"/>
      <c r="E2018" s="1"/>
      <c r="F2018" s="1"/>
      <c r="G2018" s="159"/>
      <c r="H2018" s="170"/>
      <c r="I2018" s="170"/>
      <c r="K2018" s="105"/>
    </row>
    <row r="2019" spans="2:11" x14ac:dyDescent="0.15">
      <c r="B2019" s="1"/>
      <c r="C2019" s="1"/>
      <c r="D2019" s="1"/>
      <c r="E2019" s="1"/>
      <c r="F2019" s="1"/>
      <c r="G2019" s="159"/>
      <c r="H2019" s="170"/>
      <c r="I2019" s="170"/>
    </row>
    <row r="2020" spans="2:11" ht="14" x14ac:dyDescent="0.15">
      <c r="B2020" s="101"/>
      <c r="C2020" s="1"/>
      <c r="D2020" s="1"/>
      <c r="E2020" s="1"/>
      <c r="F2020" s="1"/>
      <c r="G2020" s="1"/>
      <c r="H2020" s="1"/>
      <c r="I2020" s="170"/>
    </row>
    <row r="2021" spans="2:11" ht="14" x14ac:dyDescent="0.15">
      <c r="B2021" s="83"/>
      <c r="C2021" s="11"/>
      <c r="D2021" s="1"/>
      <c r="E2021" s="637"/>
      <c r="F2021" s="637"/>
      <c r="G2021" s="637"/>
      <c r="H2021" s="637"/>
      <c r="I2021" s="169"/>
    </row>
    <row r="2022" spans="2:11" ht="14" x14ac:dyDescent="0.15">
      <c r="B2022" s="83"/>
      <c r="C2022" s="11"/>
      <c r="D2022" s="1"/>
      <c r="E2022" s="153"/>
      <c r="F2022" s="153"/>
      <c r="G2022" s="153"/>
      <c r="H2022" s="153"/>
      <c r="I2022" s="169"/>
    </row>
    <row r="2023" spans="2:11" ht="14" x14ac:dyDescent="0.15">
      <c r="B2023" s="83"/>
      <c r="C2023" s="11"/>
      <c r="D2023" s="1"/>
      <c r="E2023" s="153"/>
      <c r="F2023" s="153"/>
      <c r="G2023" s="153"/>
      <c r="H2023" s="153"/>
      <c r="I2023" s="169"/>
    </row>
    <row r="2024" spans="2:11" ht="14" x14ac:dyDescent="0.15">
      <c r="B2024" s="83"/>
      <c r="C2024" s="11"/>
      <c r="D2024" s="1"/>
      <c r="E2024" s="153"/>
      <c r="F2024" s="153"/>
      <c r="G2024" s="153"/>
      <c r="H2024" s="153"/>
      <c r="I2024" s="169"/>
    </row>
    <row r="2025" spans="2:11" ht="14" x14ac:dyDescent="0.15">
      <c r="B2025" s="83"/>
      <c r="C2025" s="11"/>
      <c r="D2025" s="1"/>
      <c r="E2025" s="153"/>
      <c r="F2025" s="153"/>
      <c r="G2025" s="153"/>
      <c r="H2025" s="153"/>
      <c r="I2025" s="169"/>
    </row>
    <row r="2026" spans="2:11" ht="14" x14ac:dyDescent="0.15">
      <c r="B2026" s="83"/>
      <c r="C2026" s="11"/>
      <c r="D2026" s="1"/>
      <c r="E2026" s="153"/>
      <c r="F2026" s="153"/>
      <c r="G2026" s="153"/>
      <c r="H2026" s="153"/>
      <c r="I2026" s="169"/>
    </row>
    <row r="2027" spans="2:11" ht="14" x14ac:dyDescent="0.15">
      <c r="B2027" s="101"/>
      <c r="C2027" s="11"/>
      <c r="D2027" s="1"/>
      <c r="E2027" s="153"/>
      <c r="F2027" s="153"/>
      <c r="G2027" s="153"/>
      <c r="H2027" s="153"/>
      <c r="I2027" s="169"/>
    </row>
    <row r="2028" spans="2:11" ht="14" x14ac:dyDescent="0.15">
      <c r="B2028" s="83"/>
      <c r="C2028" s="11"/>
      <c r="D2028" s="1"/>
      <c r="E2028" s="153"/>
      <c r="F2028" s="153"/>
      <c r="G2028" s="153"/>
      <c r="H2028" s="153"/>
      <c r="I2028" s="169"/>
    </row>
    <row r="2029" spans="2:11" x14ac:dyDescent="0.15">
      <c r="B2029" s="11"/>
      <c r="C2029" s="11"/>
      <c r="D2029" s="1"/>
      <c r="E2029" s="153"/>
      <c r="F2029" s="153"/>
      <c r="G2029" s="153"/>
      <c r="H2029" s="153"/>
      <c r="I2029" s="169"/>
    </row>
    <row r="2030" spans="2:11" x14ac:dyDescent="0.15">
      <c r="B2030" s="11"/>
      <c r="C2030" s="11"/>
      <c r="D2030" s="1"/>
      <c r="E2030" s="153"/>
      <c r="F2030" s="153"/>
      <c r="G2030" s="153"/>
      <c r="H2030" s="153"/>
      <c r="I2030" s="169"/>
    </row>
    <row r="2031" spans="2:11" x14ac:dyDescent="0.15">
      <c r="B2031" s="11"/>
      <c r="C2031" s="11"/>
      <c r="D2031" s="1"/>
      <c r="E2031" s="153"/>
      <c r="F2031" s="153"/>
      <c r="G2031" s="153"/>
      <c r="H2031" s="153"/>
      <c r="I2031" s="169"/>
    </row>
    <row r="2032" spans="2:11" x14ac:dyDescent="0.15">
      <c r="B2032" s="11"/>
      <c r="C2032" s="11"/>
      <c r="D2032" s="1"/>
      <c r="E2032" s="153"/>
      <c r="F2032" s="153"/>
      <c r="G2032" s="153"/>
      <c r="H2032" s="153"/>
      <c r="I2032" s="169"/>
    </row>
    <row r="2033" spans="2:9" x14ac:dyDescent="0.15">
      <c r="B2033" s="11"/>
      <c r="C2033" s="11"/>
      <c r="D2033" s="11"/>
      <c r="E2033" s="11"/>
      <c r="F2033" s="11"/>
      <c r="G2033" s="11"/>
      <c r="H2033" s="11"/>
      <c r="I2033" s="11"/>
    </row>
    <row r="2034" spans="2:9" ht="14" thickBot="1" x14ac:dyDescent="0.2">
      <c r="B2034" s="11"/>
      <c r="C2034" s="11"/>
      <c r="D2034" s="11"/>
      <c r="E2034" s="11"/>
      <c r="F2034" s="11"/>
      <c r="G2034" s="11"/>
      <c r="H2034" s="11"/>
      <c r="I2034" s="11"/>
    </row>
    <row r="2035" spans="2:9" ht="21" customHeight="1" x14ac:dyDescent="0.15">
      <c r="B2035" s="607" t="s">
        <v>1065</v>
      </c>
      <c r="C2035" s="608"/>
      <c r="D2035" s="608"/>
      <c r="E2035" s="608"/>
      <c r="F2035" s="609"/>
      <c r="G2035" s="1"/>
      <c r="H2035" s="712" t="s">
        <v>20</v>
      </c>
      <c r="I2035" s="713"/>
    </row>
    <row r="2036" spans="2:9" ht="16.5" customHeight="1" thickBot="1" x14ac:dyDescent="0.2">
      <c r="B2036" s="604" t="s">
        <v>446</v>
      </c>
      <c r="C2036" s="605"/>
      <c r="D2036" s="605"/>
      <c r="E2036" s="605"/>
      <c r="F2036" s="606"/>
      <c r="G2036" s="63"/>
      <c r="H2036" s="714"/>
      <c r="I2036" s="715"/>
    </row>
    <row r="2037" spans="2:9" ht="12.75" customHeight="1" x14ac:dyDescent="0.15">
      <c r="B2037" s="610" t="s">
        <v>447</v>
      </c>
      <c r="C2037" s="611"/>
      <c r="D2037" s="611"/>
      <c r="E2037" s="611"/>
      <c r="F2037" s="612"/>
      <c r="G2037" s="63"/>
      <c r="H2037" s="721" t="s">
        <v>671</v>
      </c>
      <c r="I2037" s="722"/>
    </row>
    <row r="2038" spans="2:9" ht="16.5" customHeight="1" thickBot="1" x14ac:dyDescent="0.2">
      <c r="B2038" s="613"/>
      <c r="C2038" s="614"/>
      <c r="D2038" s="614"/>
      <c r="E2038" s="614"/>
      <c r="F2038" s="615"/>
      <c r="G2038" s="1"/>
      <c r="H2038" s="717"/>
      <c r="I2038" s="718"/>
    </row>
    <row r="2039" spans="2:9" ht="13.5" customHeight="1" thickBot="1" x14ac:dyDescent="0.2">
      <c r="B2039" s="15"/>
      <c r="C2039" s="16"/>
      <c r="D2039" s="1"/>
      <c r="E2039" s="1"/>
      <c r="F2039" s="1"/>
      <c r="G2039" s="1"/>
      <c r="H2039" s="717"/>
      <c r="I2039" s="718"/>
    </row>
    <row r="2040" spans="2:9" ht="12.75" customHeight="1" x14ac:dyDescent="0.15">
      <c r="B2040" s="650" t="s">
        <v>890</v>
      </c>
      <c r="C2040" s="651"/>
      <c r="D2040" s="651"/>
      <c r="E2040" s="651"/>
      <c r="F2040" s="652"/>
      <c r="G2040" s="1"/>
      <c r="H2040" s="717"/>
      <c r="I2040" s="718"/>
    </row>
    <row r="2041" spans="2:9" ht="12.75" customHeight="1" x14ac:dyDescent="0.15">
      <c r="B2041" s="653"/>
      <c r="C2041" s="654"/>
      <c r="D2041" s="654"/>
      <c r="E2041" s="654"/>
      <c r="F2041" s="655"/>
      <c r="H2041" s="717"/>
      <c r="I2041" s="718"/>
    </row>
    <row r="2042" spans="2:9" ht="13.5" customHeight="1" thickBot="1" x14ac:dyDescent="0.2">
      <c r="B2042" s="653"/>
      <c r="C2042" s="654"/>
      <c r="D2042" s="654"/>
      <c r="E2042" s="654"/>
      <c r="F2042" s="655"/>
      <c r="G2042" s="11"/>
      <c r="H2042" s="723"/>
      <c r="I2042" s="724"/>
    </row>
    <row r="2043" spans="2:9" ht="21.75" customHeight="1" thickBot="1" x14ac:dyDescent="0.2">
      <c r="B2043" s="656"/>
      <c r="C2043" s="657"/>
      <c r="D2043" s="657"/>
      <c r="E2043" s="657"/>
      <c r="F2043" s="658"/>
      <c r="H2043" s="144" t="s">
        <v>45</v>
      </c>
      <c r="I2043" s="145" t="s">
        <v>193</v>
      </c>
    </row>
    <row r="2044" spans="2:9" ht="13.5" customHeight="1" x14ac:dyDescent="0.15">
      <c r="B2044" s="18"/>
      <c r="C2044" s="18"/>
      <c r="D2044" s="1"/>
      <c r="E2044" s="18"/>
      <c r="F2044" s="18"/>
      <c r="G2044" s="18"/>
      <c r="H2044" s="18"/>
      <c r="I2044" s="1"/>
    </row>
    <row r="2045" spans="2:9" ht="14" thickBot="1" x14ac:dyDescent="0.2">
      <c r="B2045" s="12" t="s">
        <v>21</v>
      </c>
      <c r="C2045" s="12"/>
      <c r="D2045" s="1"/>
      <c r="E2045" s="1"/>
      <c r="F2045" s="1"/>
      <c r="G2045" s="1"/>
      <c r="H2045" s="1"/>
      <c r="I2045" s="1"/>
    </row>
    <row r="2046" spans="2:9" x14ac:dyDescent="0.15">
      <c r="B2046" s="628" t="s">
        <v>22</v>
      </c>
      <c r="C2046" s="629"/>
      <c r="D2046" s="630"/>
      <c r="E2046" s="205" t="s">
        <v>23</v>
      </c>
      <c r="F2046" s="19" t="s">
        <v>47</v>
      </c>
      <c r="G2046" s="205" t="s">
        <v>24</v>
      </c>
      <c r="H2046" s="204" t="s">
        <v>25</v>
      </c>
      <c r="I2046" s="43"/>
    </row>
    <row r="2047" spans="2:9" x14ac:dyDescent="0.15">
      <c r="B2047" s="631" t="s">
        <v>56</v>
      </c>
      <c r="C2047" s="632"/>
      <c r="D2047" s="633"/>
      <c r="E2047" s="5"/>
      <c r="F2047" s="160"/>
      <c r="G2047" s="58"/>
      <c r="H2047" s="163">
        <f>+I2067*0.05</f>
        <v>314.16624999999999</v>
      </c>
      <c r="I2047" s="44"/>
    </row>
    <row r="2048" spans="2:9" x14ac:dyDescent="0.15">
      <c r="B2048" s="631"/>
      <c r="C2048" s="632"/>
      <c r="D2048" s="633"/>
      <c r="E2048" s="5"/>
      <c r="F2048" s="46"/>
      <c r="G2048" s="20"/>
      <c r="H2048" s="56"/>
      <c r="I2048" s="44"/>
    </row>
    <row r="2049" spans="2:9" ht="14" thickBot="1" x14ac:dyDescent="0.2">
      <c r="B2049" s="634"/>
      <c r="C2049" s="635"/>
      <c r="D2049" s="636"/>
      <c r="E2049" s="21"/>
      <c r="F2049" s="22"/>
      <c r="G2049" s="23"/>
      <c r="H2049" s="47"/>
      <c r="I2049" s="48"/>
    </row>
    <row r="2050" spans="2:9" ht="14" thickBot="1" x14ac:dyDescent="0.2">
      <c r="B2050" s="1"/>
      <c r="C2050" s="1"/>
      <c r="D2050" s="1"/>
      <c r="E2050" s="1"/>
      <c r="F2050" s="1"/>
      <c r="G2050" s="1"/>
      <c r="H2050" s="37" t="s">
        <v>26</v>
      </c>
      <c r="I2050" s="161">
        <f>SUM(H2047:H2049)</f>
        <v>314.16624999999999</v>
      </c>
    </row>
    <row r="2051" spans="2:9" ht="14" thickBot="1" x14ac:dyDescent="0.2">
      <c r="B2051" s="12" t="s">
        <v>27</v>
      </c>
      <c r="C2051" s="12"/>
      <c r="D2051" s="1"/>
      <c r="E2051" s="1"/>
      <c r="F2051" s="1"/>
      <c r="G2051" s="1"/>
      <c r="H2051" s="1"/>
      <c r="I2051" s="1"/>
    </row>
    <row r="2052" spans="2:9" x14ac:dyDescent="0.15">
      <c r="B2052" s="628" t="s">
        <v>22</v>
      </c>
      <c r="C2052" s="629"/>
      <c r="D2052" s="630"/>
      <c r="E2052" s="205" t="s">
        <v>28</v>
      </c>
      <c r="F2052" s="205" t="s">
        <v>29</v>
      </c>
      <c r="G2052" s="205" t="s">
        <v>30</v>
      </c>
      <c r="H2052" s="204" t="s">
        <v>25</v>
      </c>
      <c r="I2052" s="43"/>
    </row>
    <row r="2053" spans="2:9" x14ac:dyDescent="0.15">
      <c r="B2053" s="4" t="s">
        <v>271</v>
      </c>
      <c r="C2053" s="24"/>
      <c r="D2053" s="6"/>
      <c r="E2053" s="3" t="s">
        <v>103</v>
      </c>
      <c r="F2053" s="164">
        <f>MATERIALES!F44</f>
        <v>103000</v>
      </c>
      <c r="G2053" s="73">
        <v>5.0000000000000001E-3</v>
      </c>
      <c r="H2053" s="221">
        <f>F2053*G2053</f>
        <v>515</v>
      </c>
      <c r="I2053" s="44"/>
    </row>
    <row r="2054" spans="2:9" ht="14" thickBot="1" x14ac:dyDescent="0.2">
      <c r="B2054" s="25"/>
      <c r="C2054" s="26"/>
      <c r="D2054" s="27"/>
      <c r="E2054" s="21"/>
      <c r="F2054" s="22"/>
      <c r="G2054" s="165"/>
      <c r="H2054" s="47"/>
      <c r="I2054" s="48"/>
    </row>
    <row r="2055" spans="2:9" ht="14" thickBot="1" x14ac:dyDescent="0.2">
      <c r="B2055" s="1"/>
      <c r="C2055" s="1"/>
      <c r="D2055" s="1"/>
      <c r="E2055" s="1"/>
      <c r="F2055" s="1"/>
      <c r="G2055" s="1"/>
      <c r="H2055" s="37" t="s">
        <v>26</v>
      </c>
      <c r="I2055" s="161">
        <f>SUM(H2053:H2054)</f>
        <v>515</v>
      </c>
    </row>
    <row r="2056" spans="2:9" ht="14" thickBot="1" x14ac:dyDescent="0.2">
      <c r="B2056" s="28" t="s">
        <v>31</v>
      </c>
      <c r="C2056" s="28"/>
      <c r="D2056" s="26"/>
      <c r="E2056" s="1"/>
      <c r="F2056" s="1"/>
      <c r="G2056" s="1"/>
      <c r="H2056" s="1"/>
      <c r="I2056" s="1"/>
    </row>
    <row r="2057" spans="2:9" x14ac:dyDescent="0.15">
      <c r="B2057" s="51" t="s">
        <v>32</v>
      </c>
      <c r="C2057" s="52"/>
      <c r="D2057" s="96" t="s">
        <v>33</v>
      </c>
      <c r="E2057" s="205" t="s">
        <v>34</v>
      </c>
      <c r="F2057" s="205" t="s">
        <v>35</v>
      </c>
      <c r="G2057" s="205" t="s">
        <v>36</v>
      </c>
      <c r="H2057" s="59" t="s">
        <v>25</v>
      </c>
      <c r="I2057" s="43"/>
    </row>
    <row r="2058" spans="2:9" x14ac:dyDescent="0.15">
      <c r="B2058" s="4" t="s">
        <v>79</v>
      </c>
      <c r="C2058" s="6"/>
      <c r="D2058" s="53">
        <v>0.05</v>
      </c>
      <c r="E2058" s="2">
        <v>15</v>
      </c>
      <c r="F2058" s="2">
        <f>E2058*D2058</f>
        <v>0.75</v>
      </c>
      <c r="G2058" s="160">
        <v>1100</v>
      </c>
      <c r="H2058" s="20">
        <f>G2058*F2058</f>
        <v>825</v>
      </c>
      <c r="I2058" s="44"/>
    </row>
    <row r="2059" spans="2:9" x14ac:dyDescent="0.15">
      <c r="B2059" s="106"/>
      <c r="C2059" s="66"/>
      <c r="D2059" s="67"/>
      <c r="E2059" s="68"/>
      <c r="F2059" s="68"/>
      <c r="G2059" s="69"/>
      <c r="H2059" s="65"/>
      <c r="I2059" s="44"/>
    </row>
    <row r="2060" spans="2:9" ht="14" thickBot="1" x14ac:dyDescent="0.2">
      <c r="B2060" s="33"/>
      <c r="C2060" s="54"/>
      <c r="D2060" s="21"/>
      <c r="E2060" s="22"/>
      <c r="F2060" s="23"/>
      <c r="G2060" s="47"/>
      <c r="H2060" s="21"/>
      <c r="I2060" s="48"/>
    </row>
    <row r="2061" spans="2:9" ht="14" thickBot="1" x14ac:dyDescent="0.2">
      <c r="B2061" s="1"/>
      <c r="C2061" s="1"/>
      <c r="D2061" s="1"/>
      <c r="E2061" s="1"/>
      <c r="F2061" s="1"/>
      <c r="G2061" s="1"/>
      <c r="H2061" s="37" t="s">
        <v>26</v>
      </c>
      <c r="I2061" s="161">
        <f>SUM(H2058:H2060)</f>
        <v>825</v>
      </c>
    </row>
    <row r="2062" spans="2:9" ht="14" thickBot="1" x14ac:dyDescent="0.2">
      <c r="B2062" s="28" t="s">
        <v>37</v>
      </c>
      <c r="C2062" s="28"/>
      <c r="D2062" s="1"/>
      <c r="E2062" s="1"/>
      <c r="F2062" s="1"/>
      <c r="G2062" s="1"/>
      <c r="H2062" s="1"/>
      <c r="I2062" s="1"/>
    </row>
    <row r="2063" spans="2:9" x14ac:dyDescent="0.15">
      <c r="B2063" s="51" t="s">
        <v>38</v>
      </c>
      <c r="C2063" s="86"/>
      <c r="D2063" s="31" t="s">
        <v>39</v>
      </c>
      <c r="E2063" s="205" t="s">
        <v>40</v>
      </c>
      <c r="F2063" s="19" t="s">
        <v>41</v>
      </c>
      <c r="G2063" s="31" t="s">
        <v>24</v>
      </c>
      <c r="H2063" s="204" t="s">
        <v>25</v>
      </c>
      <c r="I2063" s="43"/>
    </row>
    <row r="2064" spans="2:9" x14ac:dyDescent="0.15">
      <c r="B2064" s="4" t="s">
        <v>104</v>
      </c>
      <c r="C2064" s="24"/>
      <c r="D2064" s="32">
        <f>'MANO DE OBRA'!E15</f>
        <v>95333</v>
      </c>
      <c r="E2064" s="88">
        <v>1.75</v>
      </c>
      <c r="F2064" s="162">
        <f>+E2064*D2064</f>
        <v>166832.75</v>
      </c>
      <c r="G2064" s="20">
        <v>70</v>
      </c>
      <c r="H2064" s="167">
        <f>+F2064/G2064</f>
        <v>2383.3249999999998</v>
      </c>
      <c r="I2064" s="44"/>
    </row>
    <row r="2065" spans="2:11" x14ac:dyDescent="0.15">
      <c r="B2065" s="4" t="s">
        <v>64</v>
      </c>
      <c r="C2065" s="24"/>
      <c r="D2065" s="32">
        <f>'MANO DE OBRA'!E14*3</f>
        <v>156000</v>
      </c>
      <c r="E2065" s="88">
        <v>1.75</v>
      </c>
      <c r="F2065" s="162">
        <f>+E2065*D2065</f>
        <v>273000</v>
      </c>
      <c r="G2065" s="20">
        <v>70</v>
      </c>
      <c r="H2065" s="167">
        <f>+F2065/G2065</f>
        <v>3900</v>
      </c>
      <c r="I2065" s="44"/>
    </row>
    <row r="2066" spans="2:11" ht="14" thickBot="1" x14ac:dyDescent="0.2">
      <c r="B2066" s="33"/>
      <c r="C2066" s="34"/>
      <c r="D2066" s="22"/>
      <c r="E2066" s="21"/>
      <c r="F2066" s="22"/>
      <c r="G2066" s="23"/>
      <c r="H2066" s="47"/>
      <c r="I2066" s="48"/>
    </row>
    <row r="2067" spans="2:11" ht="14" thickBot="1" x14ac:dyDescent="0.2">
      <c r="B2067" s="1"/>
      <c r="C2067" s="1"/>
      <c r="D2067" s="1"/>
      <c r="E2067" s="1"/>
      <c r="F2067" s="1"/>
      <c r="G2067" s="1"/>
      <c r="H2067" s="37" t="s">
        <v>26</v>
      </c>
      <c r="I2067" s="175">
        <f>SUM(H2064:H2066)</f>
        <v>6283.3249999999998</v>
      </c>
    </row>
    <row r="2068" spans="2:11" ht="14" thickBot="1" x14ac:dyDescent="0.2">
      <c r="B2068" s="1"/>
      <c r="C2068" s="1"/>
      <c r="D2068" s="1"/>
      <c r="E2068" s="1"/>
      <c r="F2068" s="1"/>
      <c r="G2068" s="1"/>
      <c r="H2068" s="61"/>
      <c r="I2068" s="1"/>
    </row>
    <row r="2069" spans="2:11" ht="15" thickBot="1" x14ac:dyDescent="0.2">
      <c r="B2069" s="1"/>
      <c r="C2069" s="1"/>
      <c r="D2069" s="1"/>
      <c r="E2069" s="1"/>
      <c r="F2069" s="35" t="s">
        <v>43</v>
      </c>
      <c r="G2069" s="16"/>
      <c r="H2069" s="16"/>
      <c r="I2069" s="222">
        <f>ROUND((I2050+I2055+I2061+I2067),0)</f>
        <v>7937</v>
      </c>
    </row>
    <row r="2070" spans="2:11" x14ac:dyDescent="0.15">
      <c r="B2070" s="12"/>
      <c r="C2070" s="12"/>
      <c r="D2070" s="1"/>
      <c r="E2070" s="1"/>
      <c r="F2070" s="1"/>
      <c r="G2070" s="1"/>
      <c r="H2070" s="170"/>
      <c r="I2070" s="170"/>
    </row>
    <row r="2071" spans="2:11" x14ac:dyDescent="0.15">
      <c r="B2071" s="16"/>
      <c r="C2071" s="16"/>
      <c r="D2071" s="16"/>
      <c r="E2071" s="16"/>
      <c r="F2071" s="16"/>
      <c r="G2071" s="61"/>
      <c r="H2071" s="171"/>
      <c r="I2071" s="170"/>
    </row>
    <row r="2072" spans="2:11" x14ac:dyDescent="0.15">
      <c r="B2072" s="1"/>
      <c r="C2072" s="1"/>
      <c r="D2072" s="1"/>
      <c r="E2072" s="1"/>
      <c r="F2072" s="1"/>
      <c r="G2072" s="159"/>
      <c r="H2072" s="170"/>
      <c r="I2072" s="170"/>
      <c r="K2072" s="105"/>
    </row>
    <row r="2073" spans="2:11" x14ac:dyDescent="0.15">
      <c r="B2073" s="1"/>
      <c r="C2073" s="1"/>
      <c r="D2073" s="1"/>
      <c r="E2073" s="1"/>
      <c r="F2073" s="1"/>
      <c r="G2073" s="159"/>
      <c r="H2073" s="170"/>
      <c r="I2073" s="170"/>
    </row>
    <row r="2074" spans="2:11" x14ac:dyDescent="0.15">
      <c r="B2074" s="1"/>
      <c r="C2074" s="1"/>
      <c r="D2074" s="1"/>
      <c r="E2074" s="1"/>
      <c r="F2074" s="1"/>
      <c r="G2074" s="159"/>
      <c r="H2074" s="170"/>
      <c r="I2074" s="170"/>
    </row>
    <row r="2075" spans="2:11" x14ac:dyDescent="0.15">
      <c r="B2075" s="1"/>
      <c r="C2075" s="1"/>
      <c r="D2075" s="1"/>
      <c r="E2075" s="1"/>
      <c r="F2075" s="1"/>
      <c r="G2075" s="1"/>
      <c r="H2075" s="37"/>
      <c r="I2075" s="170"/>
    </row>
    <row r="2076" spans="2:11" ht="14" x14ac:dyDescent="0.15">
      <c r="B2076" s="101"/>
      <c r="C2076" s="1"/>
      <c r="D2076" s="1"/>
      <c r="E2076" s="1"/>
      <c r="F2076" s="1"/>
      <c r="G2076" s="1"/>
      <c r="H2076" s="1"/>
      <c r="I2076" s="170"/>
    </row>
    <row r="2077" spans="2:11" ht="14" x14ac:dyDescent="0.15">
      <c r="B2077" s="83"/>
      <c r="C2077" s="11"/>
      <c r="D2077" s="1"/>
      <c r="E2077" s="637"/>
      <c r="F2077" s="637"/>
      <c r="G2077" s="637"/>
      <c r="H2077" s="637"/>
      <c r="I2077" s="169"/>
    </row>
    <row r="2078" spans="2:11" ht="14" x14ac:dyDescent="0.15">
      <c r="B2078" s="101"/>
      <c r="C2078" s="11"/>
      <c r="D2078" s="1"/>
      <c r="E2078" s="153"/>
      <c r="F2078" s="153"/>
      <c r="G2078" s="153"/>
      <c r="H2078" s="153"/>
      <c r="I2078" s="169"/>
    </row>
    <row r="2079" spans="2:11" ht="14" x14ac:dyDescent="0.15">
      <c r="B2079" s="83"/>
      <c r="C2079" s="11"/>
      <c r="D2079" s="1"/>
      <c r="E2079" s="153"/>
      <c r="F2079" s="153"/>
      <c r="G2079" s="153"/>
      <c r="H2079" s="153"/>
      <c r="I2079" s="169"/>
    </row>
    <row r="2080" spans="2:11" x14ac:dyDescent="0.15">
      <c r="B2080" s="11"/>
      <c r="C2080" s="11"/>
      <c r="D2080" s="1"/>
      <c r="E2080" s="153"/>
      <c r="F2080" s="153"/>
      <c r="G2080" s="153"/>
      <c r="H2080" s="153"/>
      <c r="I2080" s="169"/>
    </row>
    <row r="2081" spans="2:10" x14ac:dyDescent="0.15">
      <c r="B2081" s="11"/>
      <c r="C2081" s="11"/>
      <c r="D2081" s="1"/>
      <c r="E2081" s="153"/>
      <c r="F2081" s="153"/>
      <c r="G2081" s="153"/>
      <c r="H2081" s="153"/>
      <c r="I2081" s="169"/>
    </row>
    <row r="2082" spans="2:10" x14ac:dyDescent="0.15">
      <c r="B2082" s="11"/>
      <c r="C2082" s="11"/>
      <c r="D2082" s="1"/>
      <c r="E2082" s="153"/>
      <c r="F2082" s="153"/>
      <c r="G2082" s="153"/>
      <c r="H2082" s="153"/>
      <c r="I2082" s="169"/>
    </row>
    <row r="2083" spans="2:10" x14ac:dyDescent="0.15">
      <c r="B2083" s="11"/>
      <c r="C2083" s="11"/>
      <c r="D2083" s="1"/>
      <c r="E2083" s="153"/>
      <c r="F2083" s="153"/>
      <c r="G2083" s="153"/>
      <c r="H2083" s="153"/>
      <c r="I2083" s="169"/>
    </row>
    <row r="2084" spans="2:10" x14ac:dyDescent="0.15">
      <c r="B2084" s="11"/>
      <c r="C2084" s="11"/>
      <c r="D2084" s="1"/>
      <c r="E2084" s="153"/>
      <c r="F2084" s="153"/>
      <c r="G2084" s="153"/>
      <c r="H2084" s="153"/>
      <c r="I2084" s="169"/>
    </row>
    <row r="2085" spans="2:10" x14ac:dyDescent="0.15">
      <c r="B2085" s="11"/>
      <c r="C2085" s="11"/>
      <c r="D2085" s="1"/>
      <c r="E2085" s="153"/>
      <c r="F2085" s="153"/>
      <c r="G2085" s="153"/>
      <c r="H2085" s="153"/>
      <c r="I2085" s="169"/>
    </row>
    <row r="2086" spans="2:10" x14ac:dyDescent="0.15">
      <c r="B2086" s="11"/>
      <c r="C2086" s="11"/>
      <c r="D2086" s="1"/>
      <c r="E2086" s="153"/>
      <c r="F2086" s="153"/>
      <c r="G2086" s="153"/>
      <c r="H2086" s="153"/>
      <c r="I2086" s="169"/>
    </row>
    <row r="2087" spans="2:10" x14ac:dyDescent="0.15">
      <c r="B2087" s="11"/>
      <c r="C2087" s="11"/>
      <c r="D2087" s="1"/>
      <c r="E2087" s="153"/>
      <c r="F2087" s="153"/>
      <c r="G2087" s="153"/>
      <c r="H2087" s="153"/>
      <c r="I2087" s="169"/>
    </row>
    <row r="2088" spans="2:10" x14ac:dyDescent="0.15">
      <c r="B2088" s="11"/>
      <c r="C2088" s="11"/>
      <c r="D2088" s="1"/>
      <c r="E2088" s="153"/>
      <c r="F2088" s="153"/>
      <c r="G2088" s="153"/>
      <c r="H2088" s="153"/>
      <c r="I2088" s="169"/>
    </row>
    <row r="2089" spans="2:10" x14ac:dyDescent="0.15">
      <c r="B2089" s="11"/>
      <c r="C2089" s="11"/>
      <c r="D2089" s="1"/>
      <c r="E2089" s="153"/>
      <c r="F2089" s="153"/>
      <c r="G2089" s="153"/>
      <c r="H2089" s="153"/>
      <c r="I2089" s="169"/>
    </row>
    <row r="2090" spans="2:10" x14ac:dyDescent="0.15">
      <c r="B2090" s="11"/>
      <c r="C2090" s="11"/>
      <c r="D2090" s="11"/>
      <c r="E2090" s="11"/>
      <c r="F2090" s="11"/>
      <c r="G2090" s="11"/>
      <c r="H2090" s="11"/>
      <c r="I2090" s="11"/>
    </row>
    <row r="2091" spans="2:10" ht="14" x14ac:dyDescent="0.15">
      <c r="B2091" s="101"/>
      <c r="C2091" s="83"/>
      <c r="D2091" s="84"/>
      <c r="E2091" s="83"/>
      <c r="F2091" s="83"/>
      <c r="G2091" s="102"/>
      <c r="H2091" s="83"/>
      <c r="I2091" s="85"/>
      <c r="J2091" s="85"/>
    </row>
    <row r="2092" spans="2:10" ht="14" x14ac:dyDescent="0.15">
      <c r="B2092" s="83"/>
      <c r="C2092" s="83"/>
      <c r="D2092" s="84"/>
      <c r="E2092" s="83"/>
      <c r="F2092" s="83"/>
      <c r="G2092" s="103"/>
      <c r="H2092" s="83"/>
      <c r="I2092" s="85"/>
      <c r="J2092" s="85"/>
    </row>
    <row r="2093" spans="2:10" x14ac:dyDescent="0.15">
      <c r="B2093" s="11"/>
      <c r="C2093" s="11"/>
      <c r="D2093" s="1"/>
      <c r="E2093" s="153"/>
      <c r="F2093" s="153"/>
      <c r="G2093" s="153"/>
      <c r="H2093" s="153"/>
      <c r="I2093" s="169"/>
    </row>
    <row r="2094" spans="2:10" x14ac:dyDescent="0.15">
      <c r="B2094" s="11"/>
      <c r="C2094" s="11"/>
      <c r="D2094" s="1"/>
      <c r="E2094" s="153"/>
      <c r="F2094" s="153"/>
      <c r="G2094" s="153"/>
      <c r="H2094" s="153"/>
      <c r="I2094" s="169"/>
    </row>
    <row r="2095" spans="2:10" ht="14" thickBot="1" x14ac:dyDescent="0.2"/>
    <row r="2096" spans="2:10" ht="21" customHeight="1" x14ac:dyDescent="0.15">
      <c r="B2096" s="607" t="s">
        <v>1065</v>
      </c>
      <c r="C2096" s="608"/>
      <c r="D2096" s="608"/>
      <c r="E2096" s="608"/>
      <c r="F2096" s="609"/>
      <c r="G2096" s="1"/>
      <c r="H2096" s="638" t="s">
        <v>20</v>
      </c>
      <c r="I2096" s="639"/>
    </row>
    <row r="2097" spans="2:9" ht="16.5" customHeight="1" x14ac:dyDescent="0.15">
      <c r="B2097" s="604" t="s">
        <v>446</v>
      </c>
      <c r="C2097" s="605"/>
      <c r="D2097" s="605"/>
      <c r="E2097" s="605"/>
      <c r="F2097" s="606"/>
      <c r="G2097" s="63"/>
      <c r="H2097" s="640"/>
      <c r="I2097" s="641"/>
    </row>
    <row r="2098" spans="2:9" ht="12.75" customHeight="1" x14ac:dyDescent="0.15">
      <c r="B2098" s="610" t="s">
        <v>447</v>
      </c>
      <c r="C2098" s="611"/>
      <c r="D2098" s="611"/>
      <c r="E2098" s="611"/>
      <c r="F2098" s="612"/>
      <c r="G2098" s="63"/>
      <c r="H2098" s="642"/>
      <c r="I2098" s="643"/>
    </row>
    <row r="2099" spans="2:9" ht="16.5" customHeight="1" thickBot="1" x14ac:dyDescent="0.2">
      <c r="B2099" s="613"/>
      <c r="C2099" s="614"/>
      <c r="D2099" s="614"/>
      <c r="E2099" s="614"/>
      <c r="F2099" s="615"/>
      <c r="G2099" s="1"/>
      <c r="H2099" s="676" t="s">
        <v>672</v>
      </c>
      <c r="I2099" s="677"/>
    </row>
    <row r="2100" spans="2:9" ht="14" thickBot="1" x14ac:dyDescent="0.2">
      <c r="B2100" s="15"/>
      <c r="C2100" s="16"/>
      <c r="D2100" s="1"/>
      <c r="E2100" s="1"/>
      <c r="F2100" s="1"/>
      <c r="G2100" s="1"/>
      <c r="H2100" s="678"/>
      <c r="I2100" s="679"/>
    </row>
    <row r="2101" spans="2:9" ht="12.75" customHeight="1" x14ac:dyDescent="0.15">
      <c r="B2101" s="650" t="s">
        <v>890</v>
      </c>
      <c r="C2101" s="651"/>
      <c r="D2101" s="651"/>
      <c r="E2101" s="651"/>
      <c r="F2101" s="652"/>
      <c r="G2101" s="1"/>
      <c r="H2101" s="678"/>
      <c r="I2101" s="679"/>
    </row>
    <row r="2102" spans="2:9" ht="12.75" customHeight="1" x14ac:dyDescent="0.15">
      <c r="B2102" s="653"/>
      <c r="C2102" s="654"/>
      <c r="D2102" s="654"/>
      <c r="E2102" s="654"/>
      <c r="F2102" s="655"/>
      <c r="H2102" s="678"/>
      <c r="I2102" s="679"/>
    </row>
    <row r="2103" spans="2:9" ht="13.5" customHeight="1" x14ac:dyDescent="0.15">
      <c r="B2103" s="653"/>
      <c r="C2103" s="654"/>
      <c r="D2103" s="654"/>
      <c r="E2103" s="654"/>
      <c r="F2103" s="655"/>
      <c r="G2103" s="11"/>
      <c r="H2103" s="680"/>
      <c r="I2103" s="681"/>
    </row>
    <row r="2104" spans="2:9" ht="21.75" customHeight="1" thickBot="1" x14ac:dyDescent="0.2">
      <c r="B2104" s="656"/>
      <c r="C2104" s="657"/>
      <c r="D2104" s="657"/>
      <c r="E2104" s="657"/>
      <c r="F2104" s="658"/>
      <c r="H2104" s="64" t="s">
        <v>45</v>
      </c>
      <c r="I2104" s="17" t="s">
        <v>5</v>
      </c>
    </row>
    <row r="2105" spans="2:9" x14ac:dyDescent="0.15">
      <c r="B2105" s="18"/>
      <c r="C2105" s="18"/>
      <c r="D2105" s="1"/>
      <c r="E2105" s="18"/>
      <c r="F2105" s="18"/>
      <c r="G2105" s="18"/>
      <c r="H2105" s="18"/>
      <c r="I2105" s="1"/>
    </row>
    <row r="2106" spans="2:9" ht="14" thickBot="1" x14ac:dyDescent="0.2">
      <c r="B2106" s="12" t="s">
        <v>21</v>
      </c>
      <c r="C2106" s="12"/>
      <c r="D2106" s="1"/>
      <c r="E2106" s="1"/>
      <c r="F2106" s="1"/>
      <c r="G2106" s="1"/>
      <c r="H2106" s="1"/>
      <c r="I2106" s="1"/>
    </row>
    <row r="2107" spans="2:9" x14ac:dyDescent="0.15">
      <c r="B2107" s="628" t="s">
        <v>22</v>
      </c>
      <c r="C2107" s="629"/>
      <c r="D2107" s="630"/>
      <c r="E2107" s="205" t="s">
        <v>23</v>
      </c>
      <c r="F2107" s="19" t="s">
        <v>47</v>
      </c>
      <c r="G2107" s="205" t="s">
        <v>24</v>
      </c>
      <c r="H2107" s="204" t="s">
        <v>25</v>
      </c>
      <c r="I2107" s="43"/>
    </row>
    <row r="2108" spans="2:9" x14ac:dyDescent="0.15">
      <c r="B2108" s="631" t="s">
        <v>56</v>
      </c>
      <c r="C2108" s="632"/>
      <c r="D2108" s="633"/>
      <c r="E2108" s="5"/>
      <c r="F2108" s="323"/>
      <c r="G2108" s="58"/>
      <c r="H2108" s="323">
        <f>I2133*0.05</f>
        <v>2654.1637500000002</v>
      </c>
      <c r="I2108" s="44"/>
    </row>
    <row r="2109" spans="2:9" x14ac:dyDescent="0.15">
      <c r="B2109" s="631"/>
      <c r="C2109" s="632"/>
      <c r="D2109" s="633"/>
      <c r="E2109" s="5"/>
      <c r="F2109" s="46"/>
      <c r="G2109" s="20"/>
      <c r="H2109" s="56"/>
      <c r="I2109" s="44"/>
    </row>
    <row r="2110" spans="2:9" ht="14" thickBot="1" x14ac:dyDescent="0.2">
      <c r="B2110" s="634"/>
      <c r="C2110" s="635"/>
      <c r="D2110" s="636"/>
      <c r="E2110" s="21"/>
      <c r="F2110" s="22"/>
      <c r="G2110" s="23"/>
      <c r="H2110" s="47"/>
      <c r="I2110" s="48"/>
    </row>
    <row r="2111" spans="2:9" ht="14" thickBot="1" x14ac:dyDescent="0.2">
      <c r="B2111" s="1"/>
      <c r="C2111" s="1"/>
      <c r="D2111" s="1"/>
      <c r="E2111" s="1"/>
      <c r="F2111" s="1"/>
      <c r="G2111" s="1"/>
      <c r="H2111" s="37" t="s">
        <v>26</v>
      </c>
      <c r="I2111" s="321">
        <f>SUM(H2108:H2110)</f>
        <v>2654.1637500000002</v>
      </c>
    </row>
    <row r="2112" spans="2:9" ht="14" thickBot="1" x14ac:dyDescent="0.2">
      <c r="B2112" s="12" t="s">
        <v>27</v>
      </c>
      <c r="C2112" s="12"/>
      <c r="D2112" s="1"/>
      <c r="E2112" s="1"/>
      <c r="F2112" s="1"/>
      <c r="G2112" s="1"/>
      <c r="H2112" s="1"/>
      <c r="I2112" s="1"/>
    </row>
    <row r="2113" spans="2:9" x14ac:dyDescent="0.15">
      <c r="B2113" s="731" t="s">
        <v>22</v>
      </c>
      <c r="C2113" s="732"/>
      <c r="D2113" s="732"/>
      <c r="E2113" s="31" t="s">
        <v>28</v>
      </c>
      <c r="F2113" s="31" t="s">
        <v>29</v>
      </c>
      <c r="G2113" s="31" t="s">
        <v>30</v>
      </c>
      <c r="H2113" s="385" t="s">
        <v>25</v>
      </c>
      <c r="I2113" s="43"/>
    </row>
    <row r="2114" spans="2:9" x14ac:dyDescent="0.15">
      <c r="B2114" s="4" t="s">
        <v>673</v>
      </c>
      <c r="C2114" s="24"/>
      <c r="D2114" s="6"/>
      <c r="E2114" s="386" t="s">
        <v>426</v>
      </c>
      <c r="F2114" s="314">
        <f>MATERIALES!F159</f>
        <v>85590</v>
      </c>
      <c r="G2114" s="20">
        <v>0.75</v>
      </c>
      <c r="H2114" s="319">
        <f>G2114*F2114</f>
        <v>64192.5</v>
      </c>
      <c r="I2114" s="44"/>
    </row>
    <row r="2115" spans="2:9" x14ac:dyDescent="0.15">
      <c r="B2115" s="4" t="s">
        <v>674</v>
      </c>
      <c r="C2115" s="24"/>
      <c r="D2115" s="6"/>
      <c r="E2115" s="386" t="s">
        <v>426</v>
      </c>
      <c r="F2115" s="314">
        <f>MATERIALES!F160</f>
        <v>17550</v>
      </c>
      <c r="G2115" s="20">
        <v>1</v>
      </c>
      <c r="H2115" s="319">
        <f>G2115*F2115</f>
        <v>17550</v>
      </c>
      <c r="I2115" s="44"/>
    </row>
    <row r="2116" spans="2:9" x14ac:dyDescent="0.15">
      <c r="B2116" s="4" t="s">
        <v>675</v>
      </c>
      <c r="C2116" s="24"/>
      <c r="D2116" s="6"/>
      <c r="E2116" s="386" t="s">
        <v>426</v>
      </c>
      <c r="F2116" s="314">
        <f>MATERIALES!F161</f>
        <v>10800</v>
      </c>
      <c r="G2116" s="20">
        <v>0.25</v>
      </c>
      <c r="H2116" s="319">
        <f>G2116*F2116</f>
        <v>2700</v>
      </c>
      <c r="I2116" s="44"/>
    </row>
    <row r="2117" spans="2:9" x14ac:dyDescent="0.15">
      <c r="B2117" s="4" t="s">
        <v>676</v>
      </c>
      <c r="C2117" s="24"/>
      <c r="D2117" s="6"/>
      <c r="E2117" s="386" t="s">
        <v>426</v>
      </c>
      <c r="F2117" s="314">
        <f>MATERIALES!F162</f>
        <v>337.5</v>
      </c>
      <c r="G2117" s="20">
        <v>10</v>
      </c>
      <c r="H2117" s="319">
        <f>G2117*F2117</f>
        <v>3375</v>
      </c>
      <c r="I2117" s="44"/>
    </row>
    <row r="2118" spans="2:9" x14ac:dyDescent="0.15">
      <c r="B2118" s="4" t="s">
        <v>677</v>
      </c>
      <c r="C2118" s="24"/>
      <c r="D2118" s="6"/>
      <c r="E2118" s="3" t="s">
        <v>125</v>
      </c>
      <c r="F2118" s="314">
        <f>MATERIALES!C8</f>
        <v>7500</v>
      </c>
      <c r="G2118" s="20">
        <v>0.09</v>
      </c>
      <c r="H2118" s="319">
        <f>G2118*F2118</f>
        <v>675</v>
      </c>
      <c r="I2118" s="44"/>
    </row>
    <row r="2119" spans="2:9" ht="14" thickBot="1" x14ac:dyDescent="0.2">
      <c r="B2119" s="33" t="s">
        <v>99</v>
      </c>
      <c r="C2119" s="34"/>
      <c r="D2119" s="54"/>
      <c r="E2119" s="21" t="s">
        <v>62</v>
      </c>
      <c r="F2119" s="318">
        <f>SUM(H2114:H2118)</f>
        <v>88492.5</v>
      </c>
      <c r="G2119" s="23">
        <v>0.03</v>
      </c>
      <c r="H2119" s="320">
        <f t="shared" ref="H2119" si="5">G2119*F2119</f>
        <v>2654.7750000000001</v>
      </c>
      <c r="I2119" s="48"/>
    </row>
    <row r="2120" spans="2:9" ht="14" thickBot="1" x14ac:dyDescent="0.2">
      <c r="B2120" s="1"/>
      <c r="C2120" s="1"/>
      <c r="D2120" s="1"/>
      <c r="E2120" s="1"/>
      <c r="F2120" s="1"/>
      <c r="G2120" s="1"/>
      <c r="H2120" s="37" t="s">
        <v>26</v>
      </c>
      <c r="I2120" s="317">
        <f>SUM(H2114:H2119)</f>
        <v>91147.274999999994</v>
      </c>
    </row>
    <row r="2121" spans="2:9" ht="14" thickBot="1" x14ac:dyDescent="0.2">
      <c r="B2121" s="28" t="s">
        <v>31</v>
      </c>
      <c r="C2121" s="28"/>
      <c r="D2121" s="26"/>
      <c r="E2121" s="1"/>
      <c r="F2121" s="1"/>
      <c r="G2121" s="1"/>
      <c r="H2121" s="1"/>
      <c r="I2121" s="1"/>
    </row>
    <row r="2122" spans="2:9" x14ac:dyDescent="0.15">
      <c r="B2122" s="51" t="s">
        <v>32</v>
      </c>
      <c r="C2122" s="52"/>
      <c r="D2122" s="291" t="s">
        <v>33</v>
      </c>
      <c r="E2122" s="205" t="s">
        <v>34</v>
      </c>
      <c r="F2122" s="205" t="s">
        <v>35</v>
      </c>
      <c r="G2122" s="205" t="s">
        <v>36</v>
      </c>
      <c r="H2122" s="59" t="s">
        <v>25</v>
      </c>
      <c r="I2122" s="43"/>
    </row>
    <row r="2123" spans="2:9" x14ac:dyDescent="0.15">
      <c r="B2123" s="4" t="s">
        <v>79</v>
      </c>
      <c r="C2123" s="6"/>
      <c r="D2123" s="53">
        <v>0.1</v>
      </c>
      <c r="E2123" s="2">
        <v>15</v>
      </c>
      <c r="F2123" s="2">
        <f>E2123*D2123</f>
        <v>1.5</v>
      </c>
      <c r="G2123" s="160">
        <v>1100</v>
      </c>
      <c r="H2123" s="20">
        <f>G2123*F2123</f>
        <v>1650</v>
      </c>
      <c r="I2123" s="44"/>
    </row>
    <row r="2124" spans="2:9" x14ac:dyDescent="0.15">
      <c r="B2124" s="310"/>
      <c r="C2124" s="66"/>
      <c r="D2124" s="67"/>
      <c r="E2124" s="68"/>
      <c r="F2124" s="68"/>
      <c r="G2124" s="69"/>
      <c r="H2124" s="65"/>
      <c r="I2124" s="44"/>
    </row>
    <row r="2125" spans="2:9" ht="14" thickBot="1" x14ac:dyDescent="0.2">
      <c r="B2125" s="33"/>
      <c r="C2125" s="54"/>
      <c r="D2125" s="21"/>
      <c r="E2125" s="22"/>
      <c r="F2125" s="23"/>
      <c r="G2125" s="47"/>
      <c r="H2125" s="21"/>
      <c r="I2125" s="44"/>
    </row>
    <row r="2126" spans="2:9" ht="14" thickBot="1" x14ac:dyDescent="0.2">
      <c r="B2126" s="1"/>
      <c r="C2126" s="1"/>
      <c r="D2126" s="1"/>
      <c r="E2126" s="1"/>
      <c r="F2126" s="1"/>
      <c r="G2126" s="1"/>
      <c r="H2126" s="37" t="s">
        <v>26</v>
      </c>
      <c r="I2126" s="321">
        <f>SUM(H2123:H2125)</f>
        <v>1650</v>
      </c>
    </row>
    <row r="2127" spans="2:9" ht="14" thickBot="1" x14ac:dyDescent="0.2">
      <c r="B2127" s="28" t="s">
        <v>37</v>
      </c>
      <c r="C2127" s="28"/>
      <c r="D2127" s="1"/>
      <c r="E2127" s="1"/>
      <c r="F2127" s="1"/>
      <c r="G2127" s="1"/>
      <c r="H2127" s="1"/>
      <c r="I2127" s="1"/>
    </row>
    <row r="2128" spans="2:9" x14ac:dyDescent="0.15">
      <c r="B2128" s="51" t="s">
        <v>38</v>
      </c>
      <c r="C2128" s="86"/>
      <c r="D2128" s="31" t="s">
        <v>39</v>
      </c>
      <c r="E2128" s="205" t="s">
        <v>40</v>
      </c>
      <c r="F2128" s="19" t="s">
        <v>41</v>
      </c>
      <c r="G2128" s="31" t="s">
        <v>24</v>
      </c>
      <c r="H2128" s="204" t="s">
        <v>25</v>
      </c>
      <c r="I2128" s="43"/>
    </row>
    <row r="2129" spans="2:9" x14ac:dyDescent="0.15">
      <c r="B2129" s="4" t="s">
        <v>65</v>
      </c>
      <c r="C2129" s="24"/>
      <c r="D2129" s="32">
        <f>'MANO DE OBRA'!E15</f>
        <v>95333</v>
      </c>
      <c r="E2129" s="166">
        <v>1.75</v>
      </c>
      <c r="F2129" s="314">
        <f>+E2129*D2129</f>
        <v>166832.75</v>
      </c>
      <c r="G2129" s="20">
        <v>10</v>
      </c>
      <c r="H2129" s="315">
        <f>+F2129/G2129</f>
        <v>16683.275000000001</v>
      </c>
      <c r="I2129" s="44"/>
    </row>
    <row r="2130" spans="2:9" x14ac:dyDescent="0.15">
      <c r="B2130" s="4" t="s">
        <v>442</v>
      </c>
      <c r="C2130" s="24"/>
      <c r="D2130" s="32">
        <f>'MANO DE OBRA'!E14*4</f>
        <v>208000</v>
      </c>
      <c r="E2130" s="166">
        <v>1.75</v>
      </c>
      <c r="F2130" s="314">
        <f>+E2130*D2130</f>
        <v>364000</v>
      </c>
      <c r="G2130" s="20">
        <v>10</v>
      </c>
      <c r="H2130" s="315">
        <f>+F2130/G2130</f>
        <v>36400</v>
      </c>
      <c r="I2130" s="44"/>
    </row>
    <row r="2131" spans="2:9" x14ac:dyDescent="0.15">
      <c r="B2131" s="4"/>
      <c r="C2131" s="24"/>
      <c r="D2131" s="32"/>
      <c r="E2131" s="166"/>
      <c r="F2131" s="20"/>
      <c r="G2131" s="20"/>
      <c r="H2131" s="55"/>
      <c r="I2131" s="44"/>
    </row>
    <row r="2132" spans="2:9" ht="14" thickBot="1" x14ac:dyDescent="0.2">
      <c r="B2132" s="33"/>
      <c r="C2132" s="34"/>
      <c r="D2132" s="22"/>
      <c r="E2132" s="21"/>
      <c r="F2132" s="22"/>
      <c r="G2132" s="23"/>
      <c r="H2132" s="47"/>
      <c r="I2132" s="48"/>
    </row>
    <row r="2133" spans="2:9" ht="14" thickBot="1" x14ac:dyDescent="0.2">
      <c r="B2133" s="1"/>
      <c r="C2133" s="1"/>
      <c r="D2133" s="1"/>
      <c r="E2133" s="1"/>
      <c r="F2133" s="1"/>
      <c r="G2133" s="1"/>
      <c r="H2133" s="37" t="s">
        <v>26</v>
      </c>
      <c r="I2133" s="317">
        <f>SUM(H2129:H2132)</f>
        <v>53083.275000000001</v>
      </c>
    </row>
    <row r="2134" spans="2:9" ht="14" thickBot="1" x14ac:dyDescent="0.2">
      <c r="B2134" s="1"/>
      <c r="C2134" s="1"/>
      <c r="D2134" s="1"/>
      <c r="E2134" s="1"/>
      <c r="F2134" s="1"/>
      <c r="G2134" s="1"/>
      <c r="H2134" s="61"/>
      <c r="I2134" s="1"/>
    </row>
    <row r="2135" spans="2:9" ht="15" thickBot="1" x14ac:dyDescent="0.2">
      <c r="B2135" s="1"/>
      <c r="C2135" s="1"/>
      <c r="D2135" s="1"/>
      <c r="E2135" s="1"/>
      <c r="F2135" s="35" t="s">
        <v>43</v>
      </c>
      <c r="G2135" s="16"/>
      <c r="H2135" s="16"/>
      <c r="I2135" s="325">
        <f>ROUND((I2111+I2120+I2126+I2133),0)</f>
        <v>148535</v>
      </c>
    </row>
    <row r="2136" spans="2:9" ht="14" x14ac:dyDescent="0.15">
      <c r="B2136" s="1"/>
      <c r="C2136" s="1"/>
      <c r="D2136" s="1"/>
      <c r="E2136" s="1"/>
      <c r="F2136" s="15"/>
      <c r="G2136" s="16"/>
      <c r="H2136" s="16"/>
      <c r="I2136" s="326"/>
    </row>
    <row r="2137" spans="2:9" ht="14" x14ac:dyDescent="0.15">
      <c r="B2137" s="1"/>
      <c r="C2137" s="1"/>
      <c r="D2137" s="1"/>
      <c r="E2137" s="1"/>
      <c r="F2137" s="15"/>
      <c r="G2137" s="16"/>
      <c r="H2137" s="16"/>
      <c r="I2137" s="326"/>
    </row>
    <row r="2138" spans="2:9" ht="14" x14ac:dyDescent="0.15">
      <c r="B2138" s="1"/>
      <c r="C2138" s="1"/>
      <c r="D2138" s="1"/>
      <c r="E2138" s="1"/>
      <c r="F2138" s="15"/>
      <c r="G2138" s="16"/>
      <c r="H2138" s="16"/>
      <c r="I2138" s="326"/>
    </row>
    <row r="2139" spans="2:9" ht="14" x14ac:dyDescent="0.15">
      <c r="B2139" s="1"/>
      <c r="C2139" s="1"/>
      <c r="D2139" s="1"/>
      <c r="E2139" s="1"/>
      <c r="F2139" s="15"/>
      <c r="G2139" s="16"/>
      <c r="H2139" s="16"/>
      <c r="I2139" s="326"/>
    </row>
    <row r="2140" spans="2:9" ht="14" x14ac:dyDescent="0.15">
      <c r="B2140" s="1"/>
      <c r="C2140" s="1"/>
      <c r="D2140" s="1"/>
      <c r="E2140" s="1"/>
      <c r="F2140" s="15"/>
      <c r="G2140" s="16"/>
      <c r="H2140" s="16"/>
      <c r="I2140" s="326"/>
    </row>
    <row r="2141" spans="2:9" ht="14" x14ac:dyDescent="0.15">
      <c r="B2141" s="1"/>
      <c r="C2141" s="1"/>
      <c r="D2141" s="1"/>
      <c r="E2141" s="1"/>
      <c r="F2141" s="15"/>
      <c r="G2141" s="16"/>
      <c r="H2141" s="16"/>
      <c r="I2141" s="326"/>
    </row>
    <row r="2142" spans="2:9" ht="14" x14ac:dyDescent="0.15">
      <c r="B2142" s="1"/>
      <c r="C2142" s="1"/>
      <c r="D2142" s="1"/>
      <c r="E2142" s="1"/>
      <c r="F2142" s="15"/>
      <c r="G2142" s="16"/>
      <c r="H2142" s="16"/>
      <c r="I2142" s="326"/>
    </row>
    <row r="2143" spans="2:9" ht="14" x14ac:dyDescent="0.15">
      <c r="B2143" s="1"/>
      <c r="C2143" s="1"/>
      <c r="D2143" s="1"/>
      <c r="E2143" s="1"/>
      <c r="F2143" s="15"/>
      <c r="G2143" s="16"/>
      <c r="H2143" s="16"/>
      <c r="I2143" s="326"/>
    </row>
    <row r="2144" spans="2:9" ht="14" x14ac:dyDescent="0.15">
      <c r="B2144" s="1"/>
      <c r="C2144" s="1"/>
      <c r="D2144" s="1"/>
      <c r="E2144" s="1"/>
      <c r="F2144" s="15"/>
      <c r="G2144" s="16"/>
      <c r="H2144" s="16"/>
      <c r="I2144" s="326"/>
    </row>
    <row r="2145" spans="2:9" ht="14" x14ac:dyDescent="0.15">
      <c r="B2145" s="1"/>
      <c r="C2145" s="1"/>
      <c r="D2145" s="1"/>
      <c r="E2145" s="1"/>
      <c r="F2145" s="15"/>
      <c r="G2145" s="16"/>
      <c r="H2145" s="16"/>
      <c r="I2145" s="326"/>
    </row>
    <row r="2146" spans="2:9" ht="14" x14ac:dyDescent="0.15">
      <c r="B2146" s="1"/>
      <c r="C2146" s="1"/>
      <c r="D2146" s="1"/>
      <c r="E2146" s="1"/>
      <c r="F2146" s="15"/>
      <c r="G2146" s="16"/>
      <c r="H2146" s="16"/>
      <c r="I2146" s="326"/>
    </row>
    <row r="2147" spans="2:9" ht="14" x14ac:dyDescent="0.15">
      <c r="B2147" s="1"/>
      <c r="C2147" s="1"/>
      <c r="D2147" s="1"/>
      <c r="E2147" s="1"/>
      <c r="F2147" s="15"/>
      <c r="G2147" s="16"/>
      <c r="H2147" s="16"/>
      <c r="I2147" s="326"/>
    </row>
    <row r="2148" spans="2:9" x14ac:dyDescent="0.15">
      <c r="B2148" s="11"/>
      <c r="C2148" s="11"/>
      <c r="D2148" s="1"/>
      <c r="E2148" s="153"/>
      <c r="F2148" s="153"/>
      <c r="G2148" s="153"/>
      <c r="H2148" s="153"/>
      <c r="I2148" s="327"/>
    </row>
    <row r="2149" spans="2:9" x14ac:dyDescent="0.15">
      <c r="B2149" s="11"/>
      <c r="C2149" s="11"/>
      <c r="D2149" s="1"/>
      <c r="E2149" s="153"/>
      <c r="F2149" s="153"/>
      <c r="G2149" s="153"/>
      <c r="H2149" s="153"/>
      <c r="I2149" s="327"/>
    </row>
    <row r="2150" spans="2:9" x14ac:dyDescent="0.15">
      <c r="B2150" s="11"/>
      <c r="C2150" s="11"/>
      <c r="D2150" s="1"/>
      <c r="E2150" s="153"/>
      <c r="F2150" s="153"/>
      <c r="G2150" s="153"/>
      <c r="H2150" s="153"/>
      <c r="I2150" s="327"/>
    </row>
    <row r="2151" spans="2:9" x14ac:dyDescent="0.15">
      <c r="B2151" s="11"/>
      <c r="C2151" s="11"/>
      <c r="D2151" s="1"/>
      <c r="E2151" s="153"/>
      <c r="F2151" s="153"/>
      <c r="G2151" s="153"/>
      <c r="H2151" s="153"/>
      <c r="I2151" s="327"/>
    </row>
    <row r="2152" spans="2:9" x14ac:dyDescent="0.15">
      <c r="B2152" s="11"/>
      <c r="C2152" s="11"/>
      <c r="D2152" s="1"/>
      <c r="E2152" s="153"/>
      <c r="F2152" s="153"/>
      <c r="G2152" s="153"/>
      <c r="H2152" s="153"/>
      <c r="I2152" s="327"/>
    </row>
    <row r="2153" spans="2:9" x14ac:dyDescent="0.15">
      <c r="B2153" s="11"/>
      <c r="C2153" s="11"/>
      <c r="D2153" s="1"/>
      <c r="E2153" s="153"/>
      <c r="F2153" s="153"/>
      <c r="G2153" s="153"/>
      <c r="H2153" s="153"/>
      <c r="I2153" s="327"/>
    </row>
    <row r="2154" spans="2:9" x14ac:dyDescent="0.15">
      <c r="B2154" s="11"/>
      <c r="C2154" s="11"/>
      <c r="D2154" s="1"/>
      <c r="E2154" s="153"/>
      <c r="F2154" s="153"/>
      <c r="G2154" s="153"/>
      <c r="H2154" s="153"/>
      <c r="I2154" s="327"/>
    </row>
    <row r="2155" spans="2:9" ht="14" thickBot="1" x14ac:dyDescent="0.2"/>
    <row r="2156" spans="2:9" ht="21" customHeight="1" x14ac:dyDescent="0.15">
      <c r="B2156" s="607" t="s">
        <v>1065</v>
      </c>
      <c r="C2156" s="608"/>
      <c r="D2156" s="608"/>
      <c r="E2156" s="608"/>
      <c r="F2156" s="609"/>
      <c r="G2156" s="1"/>
      <c r="H2156" s="638" t="s">
        <v>20</v>
      </c>
      <c r="I2156" s="639"/>
    </row>
    <row r="2157" spans="2:9" ht="16.5" customHeight="1" x14ac:dyDescent="0.15">
      <c r="B2157" s="604" t="s">
        <v>446</v>
      </c>
      <c r="C2157" s="605"/>
      <c r="D2157" s="605"/>
      <c r="E2157" s="605"/>
      <c r="F2157" s="606"/>
      <c r="G2157" s="63"/>
      <c r="H2157" s="640"/>
      <c r="I2157" s="641"/>
    </row>
    <row r="2158" spans="2:9" ht="12.75" customHeight="1" x14ac:dyDescent="0.15">
      <c r="B2158" s="610" t="s">
        <v>447</v>
      </c>
      <c r="C2158" s="611"/>
      <c r="D2158" s="611"/>
      <c r="E2158" s="611"/>
      <c r="F2158" s="612"/>
      <c r="G2158" s="63"/>
      <c r="H2158" s="642"/>
      <c r="I2158" s="643"/>
    </row>
    <row r="2159" spans="2:9" ht="16.5" customHeight="1" thickBot="1" x14ac:dyDescent="0.2">
      <c r="B2159" s="613"/>
      <c r="C2159" s="614"/>
      <c r="D2159" s="614"/>
      <c r="E2159" s="614"/>
      <c r="F2159" s="615"/>
      <c r="G2159" s="1"/>
      <c r="H2159" s="676" t="s">
        <v>681</v>
      </c>
      <c r="I2159" s="677"/>
    </row>
    <row r="2160" spans="2:9" ht="14" thickBot="1" x14ac:dyDescent="0.2">
      <c r="B2160" s="15"/>
      <c r="C2160" s="16"/>
      <c r="D2160" s="1"/>
      <c r="E2160" s="1"/>
      <c r="F2160" s="1"/>
      <c r="G2160" s="1"/>
      <c r="H2160" s="678"/>
      <c r="I2160" s="679"/>
    </row>
    <row r="2161" spans="2:9" ht="12.75" customHeight="1" x14ac:dyDescent="0.15">
      <c r="B2161" s="650" t="s">
        <v>890</v>
      </c>
      <c r="C2161" s="651"/>
      <c r="D2161" s="651"/>
      <c r="E2161" s="651"/>
      <c r="F2161" s="652"/>
      <c r="G2161" s="1"/>
      <c r="H2161" s="678"/>
      <c r="I2161" s="679"/>
    </row>
    <row r="2162" spans="2:9" ht="12.75" customHeight="1" x14ac:dyDescent="0.15">
      <c r="B2162" s="653"/>
      <c r="C2162" s="654"/>
      <c r="D2162" s="654"/>
      <c r="E2162" s="654"/>
      <c r="F2162" s="655"/>
      <c r="H2162" s="678"/>
      <c r="I2162" s="679"/>
    </row>
    <row r="2163" spans="2:9" ht="13.5" customHeight="1" x14ac:dyDescent="0.15">
      <c r="B2163" s="653"/>
      <c r="C2163" s="654"/>
      <c r="D2163" s="654"/>
      <c r="E2163" s="654"/>
      <c r="F2163" s="655"/>
      <c r="G2163" s="11"/>
      <c r="H2163" s="680"/>
      <c r="I2163" s="681"/>
    </row>
    <row r="2164" spans="2:9" ht="21.75" customHeight="1" thickBot="1" x14ac:dyDescent="0.2">
      <c r="B2164" s="656"/>
      <c r="C2164" s="657"/>
      <c r="D2164" s="657"/>
      <c r="E2164" s="657"/>
      <c r="F2164" s="658"/>
      <c r="H2164" s="64" t="s">
        <v>45</v>
      </c>
      <c r="I2164" s="17" t="s">
        <v>5</v>
      </c>
    </row>
    <row r="2165" spans="2:9" x14ac:dyDescent="0.15">
      <c r="B2165" s="18"/>
      <c r="C2165" s="18"/>
      <c r="D2165" s="1"/>
      <c r="E2165" s="18"/>
      <c r="F2165" s="18"/>
      <c r="G2165" s="18"/>
      <c r="H2165" s="18"/>
      <c r="I2165" s="1"/>
    </row>
    <row r="2166" spans="2:9" ht="14" thickBot="1" x14ac:dyDescent="0.2">
      <c r="B2166" s="12" t="s">
        <v>21</v>
      </c>
      <c r="C2166" s="12"/>
      <c r="D2166" s="1"/>
      <c r="E2166" s="1"/>
      <c r="F2166" s="1"/>
      <c r="G2166" s="1"/>
      <c r="H2166" s="1"/>
      <c r="I2166" s="1"/>
    </row>
    <row r="2167" spans="2:9" x14ac:dyDescent="0.15">
      <c r="B2167" s="628" t="s">
        <v>22</v>
      </c>
      <c r="C2167" s="629"/>
      <c r="D2167" s="630"/>
      <c r="E2167" s="205" t="s">
        <v>23</v>
      </c>
      <c r="F2167" s="19" t="s">
        <v>47</v>
      </c>
      <c r="G2167" s="205" t="s">
        <v>24</v>
      </c>
      <c r="H2167" s="204" t="s">
        <v>25</v>
      </c>
      <c r="I2167" s="43"/>
    </row>
    <row r="2168" spans="2:9" x14ac:dyDescent="0.15">
      <c r="B2168" s="631" t="s">
        <v>56</v>
      </c>
      <c r="C2168" s="632"/>
      <c r="D2168" s="633"/>
      <c r="E2168" s="5"/>
      <c r="F2168" s="323"/>
      <c r="G2168" s="58"/>
      <c r="H2168" s="319">
        <f>+I2193*0.05</f>
        <v>1453.4697916666667</v>
      </c>
      <c r="I2168" s="44"/>
    </row>
    <row r="2169" spans="2:9" x14ac:dyDescent="0.15">
      <c r="B2169" s="631"/>
      <c r="C2169" s="632"/>
      <c r="D2169" s="633"/>
      <c r="E2169" s="5"/>
      <c r="F2169" s="46"/>
      <c r="G2169" s="20"/>
      <c r="H2169" s="56"/>
      <c r="I2169" s="44"/>
    </row>
    <row r="2170" spans="2:9" ht="14" thickBot="1" x14ac:dyDescent="0.2">
      <c r="B2170" s="634"/>
      <c r="C2170" s="635"/>
      <c r="D2170" s="636"/>
      <c r="E2170" s="21"/>
      <c r="F2170" s="22"/>
      <c r="G2170" s="23"/>
      <c r="H2170" s="47"/>
      <c r="I2170" s="48"/>
    </row>
    <row r="2171" spans="2:9" ht="14" thickBot="1" x14ac:dyDescent="0.2">
      <c r="B2171" s="1"/>
      <c r="C2171" s="1"/>
      <c r="D2171" s="1"/>
      <c r="E2171" s="1"/>
      <c r="F2171" s="1"/>
      <c r="G2171" s="1"/>
      <c r="H2171" s="37" t="s">
        <v>26</v>
      </c>
      <c r="I2171" s="321">
        <f>SUM(H2168:H2170)</f>
        <v>1453.4697916666667</v>
      </c>
    </row>
    <row r="2172" spans="2:9" ht="14" thickBot="1" x14ac:dyDescent="0.2">
      <c r="B2172" s="12" t="s">
        <v>27</v>
      </c>
      <c r="C2172" s="12"/>
      <c r="D2172" s="1"/>
      <c r="E2172" s="1"/>
      <c r="F2172" s="1"/>
      <c r="G2172" s="1"/>
      <c r="H2172" s="1"/>
      <c r="I2172" s="1"/>
    </row>
    <row r="2173" spans="2:9" x14ac:dyDescent="0.15">
      <c r="B2173" s="628" t="s">
        <v>22</v>
      </c>
      <c r="C2173" s="629"/>
      <c r="D2173" s="630"/>
      <c r="E2173" s="205" t="s">
        <v>28</v>
      </c>
      <c r="F2173" s="205" t="s">
        <v>29</v>
      </c>
      <c r="G2173" s="205" t="s">
        <v>30</v>
      </c>
      <c r="H2173" s="59" t="s">
        <v>25</v>
      </c>
      <c r="I2173" s="43"/>
    </row>
    <row r="2174" spans="2:9" x14ac:dyDescent="0.15">
      <c r="B2174" s="4" t="s">
        <v>679</v>
      </c>
      <c r="C2174" s="24"/>
      <c r="D2174" s="6"/>
      <c r="E2174" s="3" t="s">
        <v>5</v>
      </c>
      <c r="F2174" s="387">
        <f>MATERIALES!C45</f>
        <v>48000</v>
      </c>
      <c r="G2174" s="65">
        <v>1</v>
      </c>
      <c r="H2174" s="315">
        <f>G2174*F2174</f>
        <v>48000</v>
      </c>
      <c r="I2174" s="44"/>
    </row>
    <row r="2175" spans="2:9" x14ac:dyDescent="0.15">
      <c r="B2175" s="4" t="s">
        <v>680</v>
      </c>
      <c r="C2175" s="24"/>
      <c r="D2175" s="6"/>
      <c r="E2175" s="3" t="s">
        <v>6</v>
      </c>
      <c r="F2175" s="314">
        <f>'APU -BASICOS'!H153</f>
        <v>669587</v>
      </c>
      <c r="G2175" s="180">
        <f>1*1*0.01</f>
        <v>0.01</v>
      </c>
      <c r="H2175" s="315">
        <f>G2175*F2175</f>
        <v>6695.87</v>
      </c>
      <c r="I2175" s="44"/>
    </row>
    <row r="2176" spans="2:9" x14ac:dyDescent="0.15">
      <c r="B2176" s="106" t="s">
        <v>560</v>
      </c>
      <c r="C2176" s="310"/>
      <c r="D2176" s="66"/>
      <c r="E2176" s="5" t="s">
        <v>58</v>
      </c>
      <c r="F2176" s="160">
        <f>MATERIALES!C50</f>
        <v>4500</v>
      </c>
      <c r="G2176" s="65">
        <v>2</v>
      </c>
      <c r="H2176" s="315">
        <f>G2176*F2176</f>
        <v>9000</v>
      </c>
      <c r="I2176" s="44"/>
    </row>
    <row r="2177" spans="2:9" x14ac:dyDescent="0.15">
      <c r="B2177" s="106" t="s">
        <v>561</v>
      </c>
      <c r="C2177" s="310"/>
      <c r="D2177" s="66"/>
      <c r="E2177" s="5" t="s">
        <v>58</v>
      </c>
      <c r="F2177" s="160">
        <f>MATERIALES!C51</f>
        <v>2800</v>
      </c>
      <c r="G2177" s="65">
        <v>4</v>
      </c>
      <c r="H2177" s="315">
        <f>G2177*F2177</f>
        <v>11200</v>
      </c>
      <c r="I2177" s="44"/>
    </row>
    <row r="2178" spans="2:9" x14ac:dyDescent="0.15">
      <c r="B2178" s="106" t="s">
        <v>562</v>
      </c>
      <c r="C2178" s="310"/>
      <c r="D2178" s="66"/>
      <c r="E2178" s="5" t="s">
        <v>58</v>
      </c>
      <c r="F2178" s="323">
        <f>MATERIALES!C10</f>
        <v>850</v>
      </c>
      <c r="G2178" s="65">
        <v>2</v>
      </c>
      <c r="H2178" s="315">
        <f>G2178*F2178</f>
        <v>1700</v>
      </c>
      <c r="I2178" s="44"/>
    </row>
    <row r="2179" spans="2:9" ht="14" thickBot="1" x14ac:dyDescent="0.2">
      <c r="B2179" s="33" t="s">
        <v>161</v>
      </c>
      <c r="C2179" s="34"/>
      <c r="D2179" s="54"/>
      <c r="E2179" s="21" t="s">
        <v>62</v>
      </c>
      <c r="F2179" s="318">
        <f>SUM(H2173:H2178)</f>
        <v>76595.87</v>
      </c>
      <c r="G2179" s="23">
        <v>0.05</v>
      </c>
      <c r="H2179" s="324">
        <f t="shared" ref="H2179" si="6">G2179*F2179</f>
        <v>3829.7934999999998</v>
      </c>
      <c r="I2179" s="48"/>
    </row>
    <row r="2180" spans="2:9" ht="14" thickBot="1" x14ac:dyDescent="0.2">
      <c r="B2180" s="1"/>
      <c r="C2180" s="1"/>
      <c r="D2180" s="1"/>
      <c r="E2180" s="1"/>
      <c r="F2180" s="1"/>
      <c r="G2180" s="1"/>
      <c r="H2180" s="37" t="s">
        <v>26</v>
      </c>
      <c r="I2180" s="321">
        <f>SUM(H2174:H2179)</f>
        <v>80425.663499999995</v>
      </c>
    </row>
    <row r="2181" spans="2:9" ht="14" thickBot="1" x14ac:dyDescent="0.2">
      <c r="B2181" s="28" t="s">
        <v>31</v>
      </c>
      <c r="C2181" s="28"/>
      <c r="D2181" s="26"/>
      <c r="E2181" s="1"/>
      <c r="F2181" s="1"/>
      <c r="G2181" s="1"/>
      <c r="H2181" s="1"/>
      <c r="I2181" s="1"/>
    </row>
    <row r="2182" spans="2:9" x14ac:dyDescent="0.15">
      <c r="B2182" s="51" t="s">
        <v>32</v>
      </c>
      <c r="C2182" s="52"/>
      <c r="D2182" s="291" t="s">
        <v>33</v>
      </c>
      <c r="E2182" s="205" t="s">
        <v>34</v>
      </c>
      <c r="F2182" s="205" t="s">
        <v>35</v>
      </c>
      <c r="G2182" s="205" t="s">
        <v>36</v>
      </c>
      <c r="H2182" s="59" t="s">
        <v>25</v>
      </c>
      <c r="I2182" s="43"/>
    </row>
    <row r="2183" spans="2:9" x14ac:dyDescent="0.15">
      <c r="B2183" s="4" t="s">
        <v>79</v>
      </c>
      <c r="C2183" s="6"/>
      <c r="D2183" s="53">
        <v>0.05</v>
      </c>
      <c r="E2183" s="2">
        <v>15</v>
      </c>
      <c r="F2183" s="2">
        <f>E2183*D2183</f>
        <v>0.75</v>
      </c>
      <c r="G2183" s="160">
        <v>1100</v>
      </c>
      <c r="H2183" s="20">
        <f>G2183*F2183</f>
        <v>825</v>
      </c>
      <c r="I2183" s="44"/>
    </row>
    <row r="2184" spans="2:9" x14ac:dyDescent="0.15">
      <c r="B2184" s="310"/>
      <c r="C2184" s="66"/>
      <c r="D2184" s="67"/>
      <c r="E2184" s="68"/>
      <c r="F2184" s="68"/>
      <c r="G2184" s="69"/>
      <c r="H2184" s="65"/>
      <c r="I2184" s="44"/>
    </row>
    <row r="2185" spans="2:9" ht="14" thickBot="1" x14ac:dyDescent="0.2">
      <c r="B2185" s="33"/>
      <c r="C2185" s="54"/>
      <c r="D2185" s="21"/>
      <c r="E2185" s="22"/>
      <c r="F2185" s="23"/>
      <c r="G2185" s="47"/>
      <c r="H2185" s="21"/>
      <c r="I2185" s="44"/>
    </row>
    <row r="2186" spans="2:9" ht="14" thickBot="1" x14ac:dyDescent="0.2">
      <c r="B2186" s="1"/>
      <c r="C2186" s="1"/>
      <c r="D2186" s="1"/>
      <c r="E2186" s="1"/>
      <c r="F2186" s="1"/>
      <c r="G2186" s="1"/>
      <c r="H2186" s="37" t="s">
        <v>26</v>
      </c>
      <c r="I2186" s="321">
        <f>SUM(H2183:H2185)</f>
        <v>825</v>
      </c>
    </row>
    <row r="2187" spans="2:9" ht="14" thickBot="1" x14ac:dyDescent="0.2">
      <c r="B2187" s="28" t="s">
        <v>37</v>
      </c>
      <c r="C2187" s="28"/>
      <c r="D2187" s="1"/>
      <c r="E2187" s="1"/>
      <c r="F2187" s="1"/>
      <c r="G2187" s="1"/>
      <c r="H2187" s="1"/>
      <c r="I2187" s="1"/>
    </row>
    <row r="2188" spans="2:9" x14ac:dyDescent="0.15">
      <c r="B2188" s="51" t="s">
        <v>38</v>
      </c>
      <c r="C2188" s="86"/>
      <c r="D2188" s="31" t="s">
        <v>39</v>
      </c>
      <c r="E2188" s="205" t="s">
        <v>40</v>
      </c>
      <c r="F2188" s="19" t="s">
        <v>41</v>
      </c>
      <c r="G2188" s="31" t="s">
        <v>24</v>
      </c>
      <c r="H2188" s="204" t="s">
        <v>25</v>
      </c>
      <c r="I2188" s="43"/>
    </row>
    <row r="2189" spans="2:9" x14ac:dyDescent="0.15">
      <c r="B2189" s="4" t="s">
        <v>65</v>
      </c>
      <c r="C2189" s="24"/>
      <c r="D2189" s="32">
        <f>'MANO DE OBRA'!E15</f>
        <v>95333</v>
      </c>
      <c r="E2189" s="166">
        <v>1.75</v>
      </c>
      <c r="F2189" s="314">
        <f>+E2189*D2189</f>
        <v>166832.75</v>
      </c>
      <c r="G2189" s="20">
        <v>12</v>
      </c>
      <c r="H2189" s="315">
        <f>+F2189/G2189</f>
        <v>13902.729166666666</v>
      </c>
      <c r="I2189" s="44"/>
    </row>
    <row r="2190" spans="2:9" x14ac:dyDescent="0.15">
      <c r="B2190" s="4" t="s">
        <v>55</v>
      </c>
      <c r="C2190" s="24"/>
      <c r="D2190" s="32">
        <f>'MANO DE OBRA'!E14*2</f>
        <v>104000</v>
      </c>
      <c r="E2190" s="166">
        <v>1.75</v>
      </c>
      <c r="F2190" s="314">
        <f>+E2190*D2190</f>
        <v>182000</v>
      </c>
      <c r="G2190" s="20">
        <v>12</v>
      </c>
      <c r="H2190" s="315">
        <f>+F2190/G2190</f>
        <v>15166.666666666666</v>
      </c>
      <c r="I2190" s="44"/>
    </row>
    <row r="2191" spans="2:9" x14ac:dyDescent="0.15">
      <c r="B2191" s="4"/>
      <c r="C2191" s="24"/>
      <c r="D2191" s="32"/>
      <c r="E2191" s="166"/>
      <c r="F2191" s="20"/>
      <c r="G2191" s="20"/>
      <c r="H2191" s="55"/>
      <c r="I2191" s="44"/>
    </row>
    <row r="2192" spans="2:9" ht="14" thickBot="1" x14ac:dyDescent="0.2">
      <c r="B2192" s="33"/>
      <c r="C2192" s="34"/>
      <c r="D2192" s="22"/>
      <c r="E2192" s="21"/>
      <c r="F2192" s="22"/>
      <c r="G2192" s="23"/>
      <c r="H2192" s="47"/>
      <c r="I2192" s="48"/>
    </row>
    <row r="2193" spans="2:9" ht="14" thickBot="1" x14ac:dyDescent="0.2">
      <c r="B2193" s="1"/>
      <c r="C2193" s="1"/>
      <c r="D2193" s="1"/>
      <c r="E2193" s="1"/>
      <c r="F2193" s="1"/>
      <c r="G2193" s="1"/>
      <c r="H2193" s="37" t="s">
        <v>26</v>
      </c>
      <c r="I2193" s="317">
        <f>SUM(H2189:H2192)</f>
        <v>29069.395833333332</v>
      </c>
    </row>
    <row r="2194" spans="2:9" ht="14" thickBot="1" x14ac:dyDescent="0.2">
      <c r="B2194" s="1"/>
      <c r="C2194" s="1"/>
      <c r="D2194" s="1"/>
      <c r="E2194" s="1"/>
      <c r="F2194" s="1"/>
      <c r="G2194" s="1"/>
      <c r="H2194" s="61"/>
      <c r="I2194" s="1"/>
    </row>
    <row r="2195" spans="2:9" ht="15" thickBot="1" x14ac:dyDescent="0.2">
      <c r="B2195" s="1"/>
      <c r="C2195" s="1"/>
      <c r="D2195" s="1"/>
      <c r="E2195" s="1"/>
      <c r="F2195" s="35" t="s">
        <v>43</v>
      </c>
      <c r="G2195" s="16"/>
      <c r="H2195" s="16"/>
      <c r="I2195" s="325">
        <f>ROUND((I2171+I2180+I2186+I2193),0)</f>
        <v>111774</v>
      </c>
    </row>
    <row r="2196" spans="2:9" x14ac:dyDescent="0.15">
      <c r="B2196" s="11"/>
      <c r="C2196" s="11"/>
      <c r="D2196" s="1"/>
      <c r="E2196" s="153"/>
      <c r="F2196" s="153"/>
      <c r="G2196" s="153"/>
      <c r="H2196" s="153"/>
      <c r="I2196" s="327"/>
    </row>
    <row r="2197" spans="2:9" x14ac:dyDescent="0.15">
      <c r="B2197" s="11"/>
      <c r="C2197" s="11"/>
      <c r="D2197" s="1"/>
      <c r="E2197" s="153"/>
      <c r="F2197" s="153"/>
      <c r="G2197" s="153"/>
      <c r="H2197" s="153"/>
      <c r="I2197" s="327"/>
    </row>
    <row r="2198" spans="2:9" x14ac:dyDescent="0.15">
      <c r="B2198" s="11"/>
      <c r="C2198" s="11"/>
      <c r="D2198" s="1"/>
      <c r="E2198" s="153"/>
      <c r="F2198" s="153"/>
      <c r="G2198" s="153"/>
      <c r="H2198" s="153"/>
      <c r="I2198" s="327"/>
    </row>
    <row r="2199" spans="2:9" x14ac:dyDescent="0.15">
      <c r="B2199" s="11"/>
      <c r="C2199" s="11"/>
      <c r="D2199" s="1"/>
      <c r="E2199" s="153"/>
      <c r="F2199" s="153"/>
      <c r="G2199" s="153"/>
      <c r="H2199" s="153"/>
      <c r="I2199" s="327"/>
    </row>
    <row r="2200" spans="2:9" x14ac:dyDescent="0.15">
      <c r="B2200" s="11"/>
      <c r="C2200" s="11"/>
      <c r="D2200" s="1"/>
      <c r="E2200" s="153"/>
      <c r="F2200" s="153"/>
      <c r="G2200" s="153"/>
      <c r="H2200" s="153"/>
      <c r="I2200" s="327"/>
    </row>
    <row r="2201" spans="2:9" x14ac:dyDescent="0.15">
      <c r="B2201" s="11"/>
      <c r="C2201" s="11"/>
      <c r="D2201" s="1"/>
      <c r="E2201" s="153"/>
      <c r="F2201" s="153"/>
      <c r="G2201" s="153"/>
      <c r="H2201" s="153"/>
      <c r="I2201" s="327"/>
    </row>
    <row r="2202" spans="2:9" x14ac:dyDescent="0.15">
      <c r="B2202" s="11"/>
      <c r="C2202" s="11"/>
      <c r="D2202" s="1"/>
      <c r="E2202" s="153"/>
      <c r="F2202" s="153"/>
      <c r="G2202" s="153"/>
      <c r="H2202" s="153"/>
      <c r="I2202" s="327"/>
    </row>
    <row r="2203" spans="2:9" x14ac:dyDescent="0.15">
      <c r="B2203" s="11"/>
      <c r="C2203" s="11"/>
      <c r="D2203" s="1"/>
      <c r="E2203" s="153"/>
      <c r="F2203" s="153"/>
      <c r="G2203" s="153"/>
      <c r="H2203" s="153"/>
      <c r="I2203" s="327"/>
    </row>
    <row r="2204" spans="2:9" x14ac:dyDescent="0.15">
      <c r="B2204" s="11"/>
      <c r="C2204" s="11"/>
      <c r="D2204" s="1"/>
      <c r="E2204" s="153"/>
      <c r="F2204" s="153"/>
      <c r="G2204" s="153"/>
      <c r="H2204" s="153"/>
      <c r="I2204" s="327"/>
    </row>
    <row r="2205" spans="2:9" x14ac:dyDescent="0.15">
      <c r="B2205" s="11"/>
      <c r="C2205" s="11"/>
      <c r="D2205" s="1"/>
      <c r="E2205" s="153"/>
      <c r="F2205" s="153"/>
      <c r="G2205" s="153"/>
      <c r="H2205" s="153"/>
      <c r="I2205" s="327"/>
    </row>
    <row r="2206" spans="2:9" x14ac:dyDescent="0.15">
      <c r="B2206" s="11"/>
      <c r="C2206" s="11"/>
      <c r="D2206" s="1"/>
      <c r="E2206" s="153"/>
      <c r="F2206" s="153"/>
      <c r="G2206" s="153"/>
      <c r="H2206" s="153"/>
      <c r="I2206" s="327"/>
    </row>
    <row r="2207" spans="2:9" x14ac:dyDescent="0.15">
      <c r="B2207" s="11"/>
      <c r="C2207" s="11"/>
      <c r="D2207" s="1"/>
      <c r="E2207" s="153"/>
      <c r="F2207" s="153"/>
      <c r="G2207" s="153"/>
      <c r="H2207" s="153"/>
      <c r="I2207" s="327"/>
    </row>
    <row r="2208" spans="2:9" x14ac:dyDescent="0.15">
      <c r="B2208" s="11"/>
      <c r="C2208" s="11"/>
      <c r="D2208" s="1"/>
      <c r="E2208" s="153"/>
      <c r="F2208" s="153"/>
      <c r="G2208" s="153"/>
      <c r="H2208" s="153"/>
      <c r="I2208" s="327"/>
    </row>
    <row r="2209" spans="2:9" x14ac:dyDescent="0.15">
      <c r="B2209" s="11"/>
      <c r="C2209" s="11"/>
      <c r="D2209" s="1"/>
      <c r="E2209" s="153"/>
      <c r="F2209" s="153"/>
      <c r="G2209" s="153"/>
      <c r="H2209" s="153"/>
      <c r="I2209" s="327"/>
    </row>
    <row r="2210" spans="2:9" x14ac:dyDescent="0.15">
      <c r="B2210" s="11"/>
      <c r="C2210" s="11"/>
      <c r="D2210" s="1"/>
      <c r="E2210" s="153"/>
      <c r="F2210" s="153"/>
      <c r="G2210" s="153"/>
      <c r="H2210" s="153"/>
      <c r="I2210" s="327"/>
    </row>
    <row r="2211" spans="2:9" x14ac:dyDescent="0.15">
      <c r="B2211" s="11"/>
      <c r="C2211" s="11"/>
      <c r="D2211" s="1"/>
      <c r="E2211" s="153"/>
      <c r="F2211" s="153"/>
      <c r="G2211" s="153"/>
      <c r="H2211" s="153"/>
      <c r="I2211" s="327"/>
    </row>
    <row r="2212" spans="2:9" x14ac:dyDescent="0.15">
      <c r="B2212" s="11"/>
      <c r="C2212" s="11"/>
      <c r="D2212" s="1"/>
      <c r="E2212" s="153"/>
      <c r="F2212" s="153"/>
      <c r="G2212" s="153"/>
      <c r="H2212" s="153"/>
      <c r="I2212" s="327"/>
    </row>
    <row r="2213" spans="2:9" x14ac:dyDescent="0.15">
      <c r="B2213" s="11"/>
      <c r="C2213" s="11"/>
      <c r="D2213" s="1"/>
      <c r="E2213" s="153"/>
      <c r="F2213" s="153"/>
      <c r="G2213" s="153"/>
      <c r="H2213" s="153"/>
      <c r="I2213" s="327"/>
    </row>
    <row r="2214" spans="2:9" x14ac:dyDescent="0.15">
      <c r="B2214" s="11"/>
      <c r="C2214" s="11"/>
      <c r="D2214" s="1"/>
      <c r="E2214" s="153"/>
      <c r="F2214" s="153"/>
      <c r="G2214" s="153"/>
      <c r="H2214" s="153"/>
      <c r="I2214" s="327"/>
    </row>
    <row r="2215" spans="2:9" x14ac:dyDescent="0.15">
      <c r="B2215" s="11"/>
      <c r="C2215" s="11"/>
      <c r="D2215" s="1"/>
      <c r="E2215" s="153"/>
      <c r="F2215" s="153"/>
      <c r="G2215" s="153"/>
      <c r="H2215" s="153"/>
      <c r="I2215" s="327"/>
    </row>
    <row r="2216" spans="2:9" x14ac:dyDescent="0.15">
      <c r="B2216" s="11"/>
      <c r="C2216" s="11"/>
      <c r="D2216" s="1"/>
      <c r="E2216" s="153"/>
      <c r="F2216" s="153"/>
      <c r="G2216" s="153"/>
      <c r="H2216" s="153"/>
      <c r="I2216" s="327"/>
    </row>
    <row r="2217" spans="2:9" ht="14" thickBot="1" x14ac:dyDescent="0.2">
      <c r="B2217" s="11"/>
      <c r="C2217" s="11"/>
      <c r="D2217" s="1"/>
      <c r="E2217" s="153"/>
      <c r="F2217" s="153"/>
      <c r="G2217" s="153"/>
      <c r="H2217" s="153"/>
      <c r="I2217" s="327"/>
    </row>
    <row r="2218" spans="2:9" ht="21" customHeight="1" x14ac:dyDescent="0.15">
      <c r="B2218" s="607" t="s">
        <v>1065</v>
      </c>
      <c r="C2218" s="608"/>
      <c r="D2218" s="608"/>
      <c r="E2218" s="608"/>
      <c r="F2218" s="609"/>
      <c r="G2218" s="1"/>
      <c r="H2218" s="638" t="s">
        <v>20</v>
      </c>
      <c r="I2218" s="639"/>
    </row>
    <row r="2219" spans="2:9" ht="16.5" customHeight="1" x14ac:dyDescent="0.15">
      <c r="B2219" s="604" t="s">
        <v>446</v>
      </c>
      <c r="C2219" s="605"/>
      <c r="D2219" s="605"/>
      <c r="E2219" s="605"/>
      <c r="F2219" s="606"/>
      <c r="G2219" s="63"/>
      <c r="H2219" s="640"/>
      <c r="I2219" s="641"/>
    </row>
    <row r="2220" spans="2:9" ht="12.75" customHeight="1" x14ac:dyDescent="0.15">
      <c r="B2220" s="610" t="s">
        <v>447</v>
      </c>
      <c r="C2220" s="611"/>
      <c r="D2220" s="611"/>
      <c r="E2220" s="611"/>
      <c r="F2220" s="612"/>
      <c r="G2220" s="63"/>
      <c r="H2220" s="642"/>
      <c r="I2220" s="643"/>
    </row>
    <row r="2221" spans="2:9" ht="16.5" customHeight="1" thickBot="1" x14ac:dyDescent="0.2">
      <c r="B2221" s="613"/>
      <c r="C2221" s="614"/>
      <c r="D2221" s="614"/>
      <c r="E2221" s="614"/>
      <c r="F2221" s="615"/>
      <c r="G2221" s="1"/>
      <c r="H2221" s="706" t="s">
        <v>682</v>
      </c>
      <c r="I2221" s="707"/>
    </row>
    <row r="2222" spans="2:9" ht="14" thickBot="1" x14ac:dyDescent="0.2">
      <c r="B2222" s="15"/>
      <c r="C2222" s="16"/>
      <c r="D2222" s="1"/>
      <c r="E2222" s="1"/>
      <c r="F2222" s="1"/>
      <c r="G2222" s="1"/>
      <c r="H2222" s="708"/>
      <c r="I2222" s="709"/>
    </row>
    <row r="2223" spans="2:9" ht="12.75" customHeight="1" x14ac:dyDescent="0.15">
      <c r="B2223" s="650" t="s">
        <v>890</v>
      </c>
      <c r="C2223" s="651"/>
      <c r="D2223" s="651"/>
      <c r="E2223" s="651"/>
      <c r="F2223" s="652"/>
      <c r="G2223" s="1"/>
      <c r="H2223" s="708"/>
      <c r="I2223" s="709"/>
    </row>
    <row r="2224" spans="2:9" ht="12.75" customHeight="1" x14ac:dyDescent="0.15">
      <c r="B2224" s="653"/>
      <c r="C2224" s="654"/>
      <c r="D2224" s="654"/>
      <c r="E2224" s="654"/>
      <c r="F2224" s="655"/>
      <c r="H2224" s="708"/>
      <c r="I2224" s="709"/>
    </row>
    <row r="2225" spans="2:9" ht="13.5" customHeight="1" x14ac:dyDescent="0.15">
      <c r="B2225" s="653"/>
      <c r="C2225" s="654"/>
      <c r="D2225" s="654"/>
      <c r="E2225" s="654"/>
      <c r="F2225" s="655"/>
      <c r="G2225" s="11"/>
      <c r="H2225" s="710"/>
      <c r="I2225" s="711"/>
    </row>
    <row r="2226" spans="2:9" ht="21.75" customHeight="1" thickBot="1" x14ac:dyDescent="0.2">
      <c r="B2226" s="656"/>
      <c r="C2226" s="657"/>
      <c r="D2226" s="657"/>
      <c r="E2226" s="657"/>
      <c r="F2226" s="658"/>
      <c r="H2226" s="64" t="s">
        <v>45</v>
      </c>
      <c r="I2226" s="17" t="s">
        <v>7</v>
      </c>
    </row>
    <row r="2227" spans="2:9" x14ac:dyDescent="0.15">
      <c r="B2227" s="18"/>
      <c r="C2227" s="18"/>
      <c r="D2227" s="1"/>
      <c r="E2227" s="18"/>
      <c r="F2227" s="18"/>
      <c r="G2227" s="18"/>
      <c r="H2227" s="18"/>
      <c r="I2227" s="1"/>
    </row>
    <row r="2228" spans="2:9" ht="14" thickBot="1" x14ac:dyDescent="0.2">
      <c r="B2228" s="12" t="s">
        <v>21</v>
      </c>
      <c r="C2228" s="12"/>
      <c r="D2228" s="1"/>
      <c r="E2228" s="1"/>
      <c r="F2228" s="1"/>
      <c r="G2228" s="1"/>
      <c r="H2228" s="1"/>
      <c r="I2228" s="1"/>
    </row>
    <row r="2229" spans="2:9" x14ac:dyDescent="0.15">
      <c r="B2229" s="628" t="s">
        <v>22</v>
      </c>
      <c r="C2229" s="629"/>
      <c r="D2229" s="630"/>
      <c r="E2229" s="205" t="s">
        <v>23</v>
      </c>
      <c r="F2229" s="19" t="s">
        <v>47</v>
      </c>
      <c r="G2229" s="205" t="s">
        <v>24</v>
      </c>
      <c r="H2229" s="204" t="s">
        <v>25</v>
      </c>
      <c r="I2229" s="43"/>
    </row>
    <row r="2230" spans="2:9" x14ac:dyDescent="0.15">
      <c r="B2230" s="631" t="s">
        <v>56</v>
      </c>
      <c r="C2230" s="632"/>
      <c r="D2230" s="633"/>
      <c r="E2230" s="5"/>
      <c r="F2230" s="323"/>
      <c r="G2230" s="58"/>
      <c r="H2230" s="323">
        <f>I2254*0.05</f>
        <v>697.66550000000007</v>
      </c>
      <c r="I2230" s="44"/>
    </row>
    <row r="2231" spans="2:9" x14ac:dyDescent="0.15">
      <c r="B2231" s="631"/>
      <c r="C2231" s="632"/>
      <c r="D2231" s="633"/>
      <c r="E2231" s="5"/>
      <c r="F2231" s="46"/>
      <c r="G2231" s="20"/>
      <c r="H2231" s="56"/>
      <c r="I2231" s="44"/>
    </row>
    <row r="2232" spans="2:9" ht="14" thickBot="1" x14ac:dyDescent="0.2">
      <c r="B2232" s="634"/>
      <c r="C2232" s="635"/>
      <c r="D2232" s="636"/>
      <c r="E2232" s="21"/>
      <c r="F2232" s="22"/>
      <c r="G2232" s="23"/>
      <c r="H2232" s="47"/>
      <c r="I2232" s="48"/>
    </row>
    <row r="2233" spans="2:9" ht="14" thickBot="1" x14ac:dyDescent="0.2">
      <c r="B2233" s="1"/>
      <c r="C2233" s="1"/>
      <c r="D2233" s="1"/>
      <c r="E2233" s="1"/>
      <c r="F2233" s="1"/>
      <c r="G2233" s="1"/>
      <c r="H2233" s="37" t="s">
        <v>26</v>
      </c>
      <c r="I2233" s="321">
        <f>SUM(H2230:H2232)</f>
        <v>697.66550000000007</v>
      </c>
    </row>
    <row r="2234" spans="2:9" ht="14" thickBot="1" x14ac:dyDescent="0.2">
      <c r="B2234" s="12" t="s">
        <v>27</v>
      </c>
      <c r="C2234" s="12"/>
      <c r="D2234" s="1"/>
      <c r="E2234" s="1"/>
      <c r="F2234" s="1"/>
      <c r="G2234" s="1"/>
      <c r="H2234" s="1"/>
      <c r="I2234" s="1"/>
    </row>
    <row r="2235" spans="2:9" x14ac:dyDescent="0.15">
      <c r="B2235" s="628" t="s">
        <v>22</v>
      </c>
      <c r="C2235" s="629"/>
      <c r="D2235" s="630"/>
      <c r="E2235" s="205" t="s">
        <v>28</v>
      </c>
      <c r="F2235" s="205" t="s">
        <v>29</v>
      </c>
      <c r="G2235" s="205" t="s">
        <v>30</v>
      </c>
      <c r="H2235" s="204" t="s">
        <v>25</v>
      </c>
      <c r="I2235" s="43"/>
    </row>
    <row r="2236" spans="2:9" x14ac:dyDescent="0.15">
      <c r="B2236" s="4" t="s">
        <v>678</v>
      </c>
      <c r="C2236" s="24"/>
      <c r="D2236" s="6"/>
      <c r="E2236" s="3" t="s">
        <v>193</v>
      </c>
      <c r="F2236" s="387">
        <f>MATERIALES!C47</f>
        <v>17500</v>
      </c>
      <c r="G2236" s="65">
        <v>1</v>
      </c>
      <c r="H2236" s="315">
        <f>G2236*F2236</f>
        <v>17500</v>
      </c>
      <c r="I2236" s="44"/>
    </row>
    <row r="2237" spans="2:9" x14ac:dyDescent="0.15">
      <c r="B2237" s="106" t="s">
        <v>560</v>
      </c>
      <c r="C2237" s="310"/>
      <c r="D2237" s="66"/>
      <c r="E2237" s="5" t="s">
        <v>58</v>
      </c>
      <c r="F2237" s="160">
        <f>MATERIALES!C50</f>
        <v>4500</v>
      </c>
      <c r="G2237" s="65">
        <v>0.4</v>
      </c>
      <c r="H2237" s="315">
        <f>G2237*F2237</f>
        <v>1800</v>
      </c>
      <c r="I2237" s="44"/>
    </row>
    <row r="2238" spans="2:9" x14ac:dyDescent="0.15">
      <c r="B2238" s="106" t="s">
        <v>561</v>
      </c>
      <c r="C2238" s="310"/>
      <c r="D2238" s="66"/>
      <c r="E2238" s="5" t="s">
        <v>58</v>
      </c>
      <c r="F2238" s="160">
        <f>MATERIALES!C51</f>
        <v>2800</v>
      </c>
      <c r="G2238" s="65">
        <v>0.1</v>
      </c>
      <c r="H2238" s="315">
        <f>G2238*F2238</f>
        <v>280</v>
      </c>
      <c r="I2238" s="44"/>
    </row>
    <row r="2239" spans="2:9" x14ac:dyDescent="0.15">
      <c r="B2239" s="106" t="s">
        <v>562</v>
      </c>
      <c r="C2239" s="310"/>
      <c r="D2239" s="66"/>
      <c r="E2239" s="5" t="s">
        <v>58</v>
      </c>
      <c r="F2239" s="323">
        <f>MATERIALES!C10</f>
        <v>850</v>
      </c>
      <c r="G2239" s="65">
        <v>0.2</v>
      </c>
      <c r="H2239" s="315">
        <f>G2239*F2239</f>
        <v>170</v>
      </c>
      <c r="I2239" s="44"/>
    </row>
    <row r="2240" spans="2:9" ht="14" thickBot="1" x14ac:dyDescent="0.2">
      <c r="B2240" s="33" t="s">
        <v>161</v>
      </c>
      <c r="C2240" s="34"/>
      <c r="D2240" s="54"/>
      <c r="E2240" s="21" t="s">
        <v>62</v>
      </c>
      <c r="F2240" s="318">
        <f>SUM(H2236:H2239)</f>
        <v>19750</v>
      </c>
      <c r="G2240" s="23">
        <v>0.05</v>
      </c>
      <c r="H2240" s="324">
        <f t="shared" ref="H2240" si="7">G2240*F2240</f>
        <v>987.5</v>
      </c>
      <c r="I2240" s="48"/>
    </row>
    <row r="2241" spans="2:9" ht="14" thickBot="1" x14ac:dyDescent="0.2">
      <c r="B2241" s="1"/>
      <c r="C2241" s="1"/>
      <c r="D2241" s="1"/>
      <c r="E2241" s="1"/>
      <c r="F2241" s="1"/>
      <c r="G2241" s="1"/>
      <c r="H2241" s="37" t="s">
        <v>26</v>
      </c>
      <c r="I2241" s="321">
        <f>SUM(H2236:H2240)</f>
        <v>20737.5</v>
      </c>
    </row>
    <row r="2242" spans="2:9" ht="14" thickBot="1" x14ac:dyDescent="0.2">
      <c r="B2242" s="28" t="s">
        <v>31</v>
      </c>
      <c r="C2242" s="28"/>
      <c r="D2242" s="26"/>
      <c r="E2242" s="1"/>
      <c r="F2242" s="1"/>
      <c r="G2242" s="1"/>
      <c r="H2242" s="1"/>
      <c r="I2242" s="1"/>
    </row>
    <row r="2243" spans="2:9" x14ac:dyDescent="0.15">
      <c r="B2243" s="51" t="s">
        <v>32</v>
      </c>
      <c r="C2243" s="52"/>
      <c r="D2243" s="291" t="s">
        <v>33</v>
      </c>
      <c r="E2243" s="205" t="s">
        <v>34</v>
      </c>
      <c r="F2243" s="205" t="s">
        <v>35</v>
      </c>
      <c r="G2243" s="205" t="s">
        <v>36</v>
      </c>
      <c r="H2243" s="59" t="s">
        <v>25</v>
      </c>
      <c r="I2243" s="43"/>
    </row>
    <row r="2244" spans="2:9" x14ac:dyDescent="0.15">
      <c r="B2244" s="4" t="s">
        <v>79</v>
      </c>
      <c r="C2244" s="6"/>
      <c r="D2244" s="53">
        <v>0.01</v>
      </c>
      <c r="E2244" s="2">
        <v>15</v>
      </c>
      <c r="F2244" s="2">
        <f>E2244*D2244</f>
        <v>0.15</v>
      </c>
      <c r="G2244" s="160">
        <v>1100</v>
      </c>
      <c r="H2244" s="20">
        <f>G2244*F2244</f>
        <v>165</v>
      </c>
      <c r="I2244" s="44"/>
    </row>
    <row r="2245" spans="2:9" x14ac:dyDescent="0.15">
      <c r="B2245" s="310"/>
      <c r="C2245" s="66"/>
      <c r="D2245" s="67"/>
      <c r="E2245" s="68"/>
      <c r="F2245" s="68"/>
      <c r="G2245" s="69"/>
      <c r="H2245" s="65"/>
      <c r="I2245" s="44"/>
    </row>
    <row r="2246" spans="2:9" ht="14" thickBot="1" x14ac:dyDescent="0.2">
      <c r="B2246" s="33"/>
      <c r="C2246" s="54"/>
      <c r="D2246" s="21"/>
      <c r="E2246" s="22"/>
      <c r="F2246" s="23"/>
      <c r="G2246" s="47"/>
      <c r="H2246" s="21"/>
      <c r="I2246" s="44"/>
    </row>
    <row r="2247" spans="2:9" ht="14" thickBot="1" x14ac:dyDescent="0.2">
      <c r="B2247" s="1"/>
      <c r="C2247" s="1"/>
      <c r="D2247" s="1"/>
      <c r="E2247" s="1"/>
      <c r="F2247" s="1"/>
      <c r="G2247" s="1"/>
      <c r="H2247" s="37" t="s">
        <v>26</v>
      </c>
      <c r="I2247" s="321">
        <f>SUM(H2244:H2246)</f>
        <v>165</v>
      </c>
    </row>
    <row r="2248" spans="2:9" ht="14" thickBot="1" x14ac:dyDescent="0.2">
      <c r="B2248" s="28" t="s">
        <v>37</v>
      </c>
      <c r="C2248" s="28"/>
      <c r="D2248" s="1"/>
      <c r="E2248" s="1"/>
      <c r="F2248" s="1"/>
      <c r="G2248" s="1"/>
      <c r="H2248" s="1"/>
      <c r="I2248" s="1"/>
    </row>
    <row r="2249" spans="2:9" x14ac:dyDescent="0.15">
      <c r="B2249" s="51" t="s">
        <v>38</v>
      </c>
      <c r="C2249" s="86"/>
      <c r="D2249" s="31" t="s">
        <v>39</v>
      </c>
      <c r="E2249" s="205" t="s">
        <v>40</v>
      </c>
      <c r="F2249" s="19" t="s">
        <v>41</v>
      </c>
      <c r="G2249" s="31" t="s">
        <v>24</v>
      </c>
      <c r="H2249" s="204" t="s">
        <v>25</v>
      </c>
      <c r="I2249" s="43"/>
    </row>
    <row r="2250" spans="2:9" x14ac:dyDescent="0.15">
      <c r="B2250" s="4" t="s">
        <v>65</v>
      </c>
      <c r="C2250" s="24"/>
      <c r="D2250" s="32">
        <f>'MANO DE OBRA'!E15</f>
        <v>95333</v>
      </c>
      <c r="E2250" s="166">
        <v>1.75</v>
      </c>
      <c r="F2250" s="314">
        <f>+E2250*D2250</f>
        <v>166832.75</v>
      </c>
      <c r="G2250" s="79">
        <v>25</v>
      </c>
      <c r="H2250" s="315">
        <f>+F2250/G2250</f>
        <v>6673.31</v>
      </c>
      <c r="I2250" s="44"/>
    </row>
    <row r="2251" spans="2:9" x14ac:dyDescent="0.15">
      <c r="B2251" s="4" t="s">
        <v>55</v>
      </c>
      <c r="C2251" s="24"/>
      <c r="D2251" s="32">
        <f>'MANO DE OBRA'!E14*2</f>
        <v>104000</v>
      </c>
      <c r="E2251" s="166">
        <v>1.75</v>
      </c>
      <c r="F2251" s="314">
        <f>+E2251*D2251</f>
        <v>182000</v>
      </c>
      <c r="G2251" s="79">
        <v>25</v>
      </c>
      <c r="H2251" s="315">
        <f>+F2251/G2251</f>
        <v>7280</v>
      </c>
      <c r="I2251" s="44"/>
    </row>
    <row r="2252" spans="2:9" x14ac:dyDescent="0.15">
      <c r="B2252" s="4"/>
      <c r="C2252" s="24"/>
      <c r="D2252" s="32"/>
      <c r="E2252" s="166"/>
      <c r="F2252" s="20"/>
      <c r="G2252" s="20"/>
      <c r="H2252" s="55"/>
      <c r="I2252" s="44"/>
    </row>
    <row r="2253" spans="2:9" ht="14" thickBot="1" x14ac:dyDescent="0.2">
      <c r="B2253" s="33"/>
      <c r="C2253" s="34"/>
      <c r="D2253" s="22"/>
      <c r="E2253" s="21"/>
      <c r="F2253" s="22"/>
      <c r="G2253" s="23"/>
      <c r="H2253" s="47"/>
      <c r="I2253" s="48"/>
    </row>
    <row r="2254" spans="2:9" ht="14" thickBot="1" x14ac:dyDescent="0.2">
      <c r="B2254" s="1"/>
      <c r="C2254" s="1"/>
      <c r="D2254" s="1"/>
      <c r="E2254" s="1"/>
      <c r="F2254" s="1"/>
      <c r="G2254" s="1"/>
      <c r="H2254" s="37" t="s">
        <v>26</v>
      </c>
      <c r="I2254" s="317">
        <f>SUM(H2250:H2253)</f>
        <v>13953.310000000001</v>
      </c>
    </row>
    <row r="2255" spans="2:9" ht="14" thickBot="1" x14ac:dyDescent="0.2">
      <c r="B2255" s="1"/>
      <c r="C2255" s="1"/>
      <c r="D2255" s="1"/>
      <c r="E2255" s="1"/>
      <c r="F2255" s="1"/>
      <c r="G2255" s="1"/>
      <c r="H2255" s="61"/>
      <c r="I2255" s="1"/>
    </row>
    <row r="2256" spans="2:9" ht="15" thickBot="1" x14ac:dyDescent="0.2">
      <c r="B2256" s="1"/>
      <c r="C2256" s="1"/>
      <c r="D2256" s="1"/>
      <c r="E2256" s="1"/>
      <c r="F2256" s="35" t="s">
        <v>43</v>
      </c>
      <c r="G2256" s="16"/>
      <c r="H2256" s="16"/>
      <c r="I2256" s="325">
        <f>ROUND((I2233+I2241+I2247+I2254),0)</f>
        <v>35553</v>
      </c>
    </row>
    <row r="2257" spans="2:9" x14ac:dyDescent="0.15">
      <c r="B2257" s="11"/>
      <c r="C2257" s="11"/>
      <c r="D2257" s="1"/>
      <c r="E2257" s="153"/>
      <c r="F2257" s="153"/>
      <c r="G2257" s="153"/>
      <c r="H2257" s="153"/>
      <c r="I2257" s="327"/>
    </row>
    <row r="2258" spans="2:9" x14ac:dyDescent="0.15">
      <c r="B2258" s="11"/>
      <c r="C2258" s="11"/>
      <c r="D2258" s="1"/>
      <c r="E2258" s="153"/>
      <c r="F2258" s="153"/>
      <c r="G2258" s="153"/>
      <c r="H2258" s="153"/>
      <c r="I2258" s="327"/>
    </row>
    <row r="2259" spans="2:9" x14ac:dyDescent="0.15">
      <c r="B2259" s="11"/>
      <c r="C2259" s="11"/>
      <c r="D2259" s="1"/>
      <c r="E2259" s="153"/>
      <c r="F2259" s="153"/>
      <c r="G2259" s="153"/>
      <c r="H2259" s="153"/>
      <c r="I2259" s="327"/>
    </row>
    <row r="2260" spans="2:9" x14ac:dyDescent="0.15">
      <c r="B2260" s="11"/>
      <c r="C2260" s="11"/>
      <c r="D2260" s="1"/>
      <c r="E2260" s="153"/>
      <c r="F2260" s="153"/>
      <c r="G2260" s="153"/>
      <c r="H2260" s="153"/>
      <c r="I2260" s="327"/>
    </row>
    <row r="2261" spans="2:9" x14ac:dyDescent="0.15">
      <c r="B2261" s="11"/>
      <c r="C2261" s="11"/>
      <c r="D2261" s="1"/>
      <c r="E2261" s="153"/>
      <c r="F2261" s="153"/>
      <c r="G2261" s="153"/>
      <c r="H2261" s="153"/>
      <c r="I2261" s="327"/>
    </row>
    <row r="2262" spans="2:9" x14ac:dyDescent="0.15">
      <c r="B2262" s="11"/>
      <c r="C2262" s="11"/>
      <c r="D2262" s="1"/>
      <c r="E2262" s="153"/>
      <c r="F2262" s="153"/>
      <c r="G2262" s="153"/>
      <c r="H2262" s="153"/>
      <c r="I2262" s="327"/>
    </row>
    <row r="2263" spans="2:9" x14ac:dyDescent="0.15">
      <c r="B2263" s="11"/>
      <c r="C2263" s="11"/>
      <c r="D2263" s="1"/>
      <c r="E2263" s="153"/>
      <c r="F2263" s="153"/>
      <c r="G2263" s="153"/>
      <c r="H2263" s="153"/>
      <c r="I2263" s="327"/>
    </row>
    <row r="2264" spans="2:9" x14ac:dyDescent="0.15">
      <c r="B2264" s="11"/>
      <c r="C2264" s="11"/>
      <c r="D2264" s="1"/>
      <c r="E2264" s="153"/>
      <c r="F2264" s="153"/>
      <c r="G2264" s="153"/>
      <c r="H2264" s="153"/>
      <c r="I2264" s="327"/>
    </row>
    <row r="2265" spans="2:9" x14ac:dyDescent="0.15">
      <c r="B2265" s="11"/>
      <c r="C2265" s="11"/>
      <c r="D2265" s="1"/>
      <c r="E2265" s="153"/>
      <c r="F2265" s="153"/>
      <c r="G2265" s="153"/>
      <c r="H2265" s="153"/>
      <c r="I2265" s="327"/>
    </row>
    <row r="2266" spans="2:9" x14ac:dyDescent="0.15">
      <c r="B2266" s="11"/>
      <c r="C2266" s="11"/>
      <c r="D2266" s="1"/>
      <c r="E2266" s="153"/>
      <c r="F2266" s="153"/>
      <c r="G2266" s="153"/>
      <c r="H2266" s="153"/>
      <c r="I2266" s="327"/>
    </row>
    <row r="2267" spans="2:9" x14ac:dyDescent="0.15">
      <c r="B2267" s="11"/>
      <c r="C2267" s="11"/>
      <c r="D2267" s="1"/>
      <c r="E2267" s="153"/>
      <c r="F2267" s="153"/>
      <c r="G2267" s="153"/>
      <c r="H2267" s="153"/>
      <c r="I2267" s="327"/>
    </row>
    <row r="2268" spans="2:9" x14ac:dyDescent="0.15">
      <c r="B2268" s="11"/>
      <c r="C2268" s="11"/>
      <c r="D2268" s="1"/>
      <c r="E2268" s="153"/>
      <c r="F2268" s="153"/>
      <c r="G2268" s="153"/>
      <c r="H2268" s="153"/>
      <c r="I2268" s="327"/>
    </row>
    <row r="2269" spans="2:9" x14ac:dyDescent="0.15">
      <c r="B2269" s="11"/>
      <c r="C2269" s="11"/>
      <c r="D2269" s="1"/>
      <c r="E2269" s="153"/>
      <c r="F2269" s="153"/>
      <c r="G2269" s="153"/>
      <c r="H2269" s="153"/>
      <c r="I2269" s="327"/>
    </row>
    <row r="2270" spans="2:9" x14ac:dyDescent="0.15">
      <c r="B2270" s="11"/>
      <c r="C2270" s="11"/>
      <c r="D2270" s="1"/>
      <c r="E2270" s="153"/>
      <c r="F2270" s="153"/>
      <c r="G2270" s="153"/>
      <c r="H2270" s="153"/>
      <c r="I2270" s="327"/>
    </row>
    <row r="2271" spans="2:9" x14ac:dyDescent="0.15">
      <c r="B2271" s="11"/>
      <c r="C2271" s="11"/>
      <c r="D2271" s="1"/>
      <c r="E2271" s="153"/>
      <c r="F2271" s="153"/>
      <c r="G2271" s="153"/>
      <c r="H2271" s="153"/>
      <c r="I2271" s="327"/>
    </row>
    <row r="2272" spans="2:9" x14ac:dyDescent="0.15">
      <c r="B2272" s="11"/>
      <c r="C2272" s="11"/>
      <c r="D2272" s="1"/>
      <c r="E2272" s="153"/>
      <c r="F2272" s="153"/>
      <c r="G2272" s="153"/>
      <c r="H2272" s="153"/>
      <c r="I2272" s="327"/>
    </row>
    <row r="2273" spans="2:9" x14ac:dyDescent="0.15">
      <c r="B2273" s="11"/>
      <c r="C2273" s="11"/>
      <c r="D2273" s="1"/>
      <c r="E2273" s="153"/>
      <c r="F2273" s="153"/>
      <c r="G2273" s="153"/>
      <c r="H2273" s="153"/>
      <c r="I2273" s="327"/>
    </row>
    <row r="2274" spans="2:9" x14ac:dyDescent="0.15">
      <c r="B2274" s="11"/>
      <c r="C2274" s="11"/>
      <c r="D2274" s="1"/>
      <c r="E2274" s="153"/>
      <c r="F2274" s="153"/>
      <c r="G2274" s="153"/>
      <c r="H2274" s="153"/>
      <c r="I2274" s="327"/>
    </row>
    <row r="2275" spans="2:9" x14ac:dyDescent="0.15">
      <c r="B2275" s="11"/>
      <c r="C2275" s="11"/>
      <c r="D2275" s="1"/>
      <c r="E2275" s="153"/>
      <c r="F2275" s="153"/>
      <c r="G2275" s="153"/>
      <c r="H2275" s="153"/>
      <c r="I2275" s="327"/>
    </row>
    <row r="2276" spans="2:9" x14ac:dyDescent="0.15">
      <c r="B2276" s="11"/>
      <c r="C2276" s="11"/>
      <c r="D2276" s="1"/>
      <c r="E2276" s="153"/>
      <c r="F2276" s="153"/>
      <c r="G2276" s="153"/>
      <c r="H2276" s="153"/>
      <c r="I2276" s="327"/>
    </row>
    <row r="2277" spans="2:9" x14ac:dyDescent="0.15">
      <c r="B2277" s="11"/>
      <c r="C2277" s="11"/>
      <c r="D2277" s="1"/>
      <c r="E2277" s="153"/>
      <c r="F2277" s="153"/>
      <c r="G2277" s="153"/>
      <c r="H2277" s="153"/>
      <c r="I2277" s="327"/>
    </row>
    <row r="2279" spans="2:9" ht="14" thickBot="1" x14ac:dyDescent="0.2"/>
    <row r="2280" spans="2:9" ht="21" customHeight="1" x14ac:dyDescent="0.15">
      <c r="B2280" s="607" t="s">
        <v>1065</v>
      </c>
      <c r="C2280" s="608"/>
      <c r="D2280" s="608"/>
      <c r="E2280" s="608"/>
      <c r="F2280" s="609"/>
      <c r="G2280" s="1"/>
      <c r="H2280" s="712" t="s">
        <v>20</v>
      </c>
      <c r="I2280" s="713"/>
    </row>
    <row r="2281" spans="2:9" ht="16.5" customHeight="1" thickBot="1" x14ac:dyDescent="0.2">
      <c r="B2281" s="604" t="s">
        <v>446</v>
      </c>
      <c r="C2281" s="605"/>
      <c r="D2281" s="605"/>
      <c r="E2281" s="605"/>
      <c r="F2281" s="606"/>
      <c r="G2281" s="63"/>
      <c r="H2281" s="714"/>
      <c r="I2281" s="715"/>
    </row>
    <row r="2282" spans="2:9" ht="12.75" customHeight="1" x14ac:dyDescent="0.15">
      <c r="B2282" s="610" t="s">
        <v>447</v>
      </c>
      <c r="C2282" s="611"/>
      <c r="D2282" s="611"/>
      <c r="E2282" s="611"/>
      <c r="F2282" s="612"/>
      <c r="G2282" s="63"/>
      <c r="H2282" s="721" t="s">
        <v>754</v>
      </c>
      <c r="I2282" s="722"/>
    </row>
    <row r="2283" spans="2:9" ht="16.5" customHeight="1" thickBot="1" x14ac:dyDescent="0.2">
      <c r="B2283" s="613"/>
      <c r="C2283" s="614"/>
      <c r="D2283" s="614"/>
      <c r="E2283" s="614"/>
      <c r="F2283" s="615"/>
      <c r="G2283" s="1"/>
      <c r="H2283" s="717"/>
      <c r="I2283" s="718"/>
    </row>
    <row r="2284" spans="2:9" ht="13.5" customHeight="1" thickBot="1" x14ac:dyDescent="0.2">
      <c r="B2284" s="15"/>
      <c r="C2284" s="16"/>
      <c r="D2284" s="1"/>
      <c r="E2284" s="1"/>
      <c r="F2284" s="1"/>
      <c r="G2284" s="1"/>
      <c r="H2284" s="717"/>
      <c r="I2284" s="718"/>
    </row>
    <row r="2285" spans="2:9" ht="12.75" customHeight="1" x14ac:dyDescent="0.15">
      <c r="B2285" s="650" t="s">
        <v>890</v>
      </c>
      <c r="C2285" s="651"/>
      <c r="D2285" s="651"/>
      <c r="E2285" s="651"/>
      <c r="F2285" s="652"/>
      <c r="G2285" s="1"/>
      <c r="H2285" s="717"/>
      <c r="I2285" s="718"/>
    </row>
    <row r="2286" spans="2:9" ht="12.75" customHeight="1" x14ac:dyDescent="0.15">
      <c r="B2286" s="653"/>
      <c r="C2286" s="654"/>
      <c r="D2286" s="654"/>
      <c r="E2286" s="654"/>
      <c r="F2286" s="655"/>
      <c r="H2286" s="717"/>
      <c r="I2286" s="718"/>
    </row>
    <row r="2287" spans="2:9" ht="13.5" customHeight="1" thickBot="1" x14ac:dyDescent="0.2">
      <c r="B2287" s="653"/>
      <c r="C2287" s="654"/>
      <c r="D2287" s="654"/>
      <c r="E2287" s="654"/>
      <c r="F2287" s="655"/>
      <c r="G2287" s="11"/>
      <c r="H2287" s="723"/>
      <c r="I2287" s="724"/>
    </row>
    <row r="2288" spans="2:9" ht="21.75" customHeight="1" thickBot="1" x14ac:dyDescent="0.2">
      <c r="B2288" s="656"/>
      <c r="C2288" s="657"/>
      <c r="D2288" s="657"/>
      <c r="E2288" s="657"/>
      <c r="F2288" s="658"/>
      <c r="H2288" s="144" t="s">
        <v>45</v>
      </c>
      <c r="I2288" s="145" t="s">
        <v>5</v>
      </c>
    </row>
    <row r="2289" spans="2:9" ht="13.5" customHeight="1" x14ac:dyDescent="0.15">
      <c r="B2289" s="18"/>
      <c r="C2289" s="18"/>
      <c r="D2289" s="1"/>
      <c r="E2289" s="18"/>
      <c r="F2289" s="18"/>
      <c r="G2289" s="18"/>
      <c r="H2289" s="18"/>
      <c r="I2289" s="1"/>
    </row>
    <row r="2290" spans="2:9" ht="14" thickBot="1" x14ac:dyDescent="0.2">
      <c r="B2290" s="12" t="s">
        <v>21</v>
      </c>
      <c r="C2290" s="12"/>
      <c r="D2290" s="1"/>
      <c r="E2290" s="1"/>
      <c r="F2290" s="1"/>
      <c r="G2290" s="1"/>
      <c r="H2290" s="1"/>
      <c r="I2290" s="1"/>
    </row>
    <row r="2291" spans="2:9" x14ac:dyDescent="0.15">
      <c r="B2291" s="628" t="s">
        <v>22</v>
      </c>
      <c r="C2291" s="629"/>
      <c r="D2291" s="630"/>
      <c r="E2291" s="205" t="s">
        <v>23</v>
      </c>
      <c r="F2291" s="19" t="s">
        <v>47</v>
      </c>
      <c r="G2291" s="205" t="s">
        <v>24</v>
      </c>
      <c r="H2291" s="204" t="s">
        <v>25</v>
      </c>
      <c r="I2291" s="43"/>
    </row>
    <row r="2292" spans="2:9" x14ac:dyDescent="0.15">
      <c r="B2292" s="631" t="s">
        <v>56</v>
      </c>
      <c r="C2292" s="632"/>
      <c r="D2292" s="633"/>
      <c r="E2292" s="5"/>
      <c r="F2292" s="160"/>
      <c r="G2292" s="58"/>
      <c r="H2292" s="163">
        <f>+I2313*0.05</f>
        <v>439.83275000000003</v>
      </c>
      <c r="I2292" s="44"/>
    </row>
    <row r="2293" spans="2:9" x14ac:dyDescent="0.15">
      <c r="B2293" s="631"/>
      <c r="C2293" s="632"/>
      <c r="D2293" s="633"/>
      <c r="E2293" s="5"/>
      <c r="F2293" s="46"/>
      <c r="G2293" s="20"/>
      <c r="H2293" s="56"/>
      <c r="I2293" s="44"/>
    </row>
    <row r="2294" spans="2:9" ht="14" thickBot="1" x14ac:dyDescent="0.2">
      <c r="B2294" s="634"/>
      <c r="C2294" s="635"/>
      <c r="D2294" s="636"/>
      <c r="E2294" s="21"/>
      <c r="F2294" s="22"/>
      <c r="G2294" s="23"/>
      <c r="H2294" s="47"/>
      <c r="I2294" s="48"/>
    </row>
    <row r="2295" spans="2:9" ht="14" thickBot="1" x14ac:dyDescent="0.2">
      <c r="B2295" s="1"/>
      <c r="C2295" s="1"/>
      <c r="D2295" s="1"/>
      <c r="E2295" s="1"/>
      <c r="F2295" s="1"/>
      <c r="G2295" s="1"/>
      <c r="H2295" s="37" t="s">
        <v>26</v>
      </c>
      <c r="I2295" s="161">
        <f>SUM(H2292:H2294)</f>
        <v>439.83275000000003</v>
      </c>
    </row>
    <row r="2296" spans="2:9" ht="14" thickBot="1" x14ac:dyDescent="0.2">
      <c r="B2296" s="12" t="s">
        <v>27</v>
      </c>
      <c r="C2296" s="12"/>
      <c r="D2296" s="1"/>
      <c r="E2296" s="1"/>
      <c r="F2296" s="1"/>
      <c r="G2296" s="1"/>
      <c r="H2296" s="1"/>
      <c r="I2296" s="1"/>
    </row>
    <row r="2297" spans="2:9" x14ac:dyDescent="0.15">
      <c r="B2297" s="628" t="s">
        <v>22</v>
      </c>
      <c r="C2297" s="629"/>
      <c r="D2297" s="630"/>
      <c r="E2297" s="205" t="s">
        <v>28</v>
      </c>
      <c r="F2297" s="205" t="s">
        <v>29</v>
      </c>
      <c r="G2297" s="205" t="s">
        <v>30</v>
      </c>
      <c r="H2297" s="204" t="s">
        <v>25</v>
      </c>
      <c r="I2297" s="43"/>
    </row>
    <row r="2298" spans="2:9" x14ac:dyDescent="0.15">
      <c r="B2298" s="4" t="s">
        <v>126</v>
      </c>
      <c r="C2298" s="24"/>
      <c r="D2298" s="6"/>
      <c r="E2298" s="3" t="s">
        <v>58</v>
      </c>
      <c r="F2298" s="164">
        <f>MATERIALES!F20</f>
        <v>2100</v>
      </c>
      <c r="G2298" s="73">
        <v>0.2</v>
      </c>
      <c r="H2298" s="221">
        <f>F2298*G2298</f>
        <v>420</v>
      </c>
      <c r="I2298" s="44"/>
    </row>
    <row r="2299" spans="2:9" x14ac:dyDescent="0.15">
      <c r="B2299" s="4" t="s">
        <v>755</v>
      </c>
      <c r="C2299" s="24"/>
      <c r="D2299" s="6"/>
      <c r="E2299" s="3" t="s">
        <v>58</v>
      </c>
      <c r="F2299" s="164">
        <f>MATERIALES!F21</f>
        <v>29160.000000000004</v>
      </c>
      <c r="G2299" s="73">
        <v>0.05</v>
      </c>
      <c r="H2299" s="221">
        <f>F2299*G2299</f>
        <v>1458.0000000000002</v>
      </c>
      <c r="I2299" s="44"/>
    </row>
    <row r="2300" spans="2:9" ht="14" thickBot="1" x14ac:dyDescent="0.2">
      <c r="B2300" s="25"/>
      <c r="C2300" s="26"/>
      <c r="D2300" s="27"/>
      <c r="E2300" s="21"/>
      <c r="F2300" s="22"/>
      <c r="G2300" s="165"/>
      <c r="H2300" s="47"/>
      <c r="I2300" s="48"/>
    </row>
    <row r="2301" spans="2:9" ht="14" thickBot="1" x14ac:dyDescent="0.2">
      <c r="B2301" s="1"/>
      <c r="C2301" s="1"/>
      <c r="D2301" s="1"/>
      <c r="E2301" s="1"/>
      <c r="F2301" s="1"/>
      <c r="G2301" s="1"/>
      <c r="H2301" s="37" t="s">
        <v>26</v>
      </c>
      <c r="I2301" s="161">
        <f>SUM(H2298:H2300)</f>
        <v>1878.0000000000002</v>
      </c>
    </row>
    <row r="2302" spans="2:9" ht="14" thickBot="1" x14ac:dyDescent="0.2">
      <c r="B2302" s="28" t="s">
        <v>31</v>
      </c>
      <c r="C2302" s="28"/>
      <c r="D2302" s="26"/>
      <c r="E2302" s="1"/>
      <c r="F2302" s="1"/>
      <c r="G2302" s="1"/>
      <c r="H2302" s="1"/>
      <c r="I2302" s="1"/>
    </row>
    <row r="2303" spans="2:9" x14ac:dyDescent="0.15">
      <c r="B2303" s="51" t="s">
        <v>32</v>
      </c>
      <c r="C2303" s="52"/>
      <c r="D2303" s="96" t="s">
        <v>33</v>
      </c>
      <c r="E2303" s="205" t="s">
        <v>34</v>
      </c>
      <c r="F2303" s="205" t="s">
        <v>35</v>
      </c>
      <c r="G2303" s="205" t="s">
        <v>36</v>
      </c>
      <c r="H2303" s="59" t="s">
        <v>25</v>
      </c>
      <c r="I2303" s="43"/>
    </row>
    <row r="2304" spans="2:9" x14ac:dyDescent="0.15">
      <c r="B2304" s="4" t="s">
        <v>79</v>
      </c>
      <c r="C2304" s="6"/>
      <c r="D2304" s="53">
        <v>0.05</v>
      </c>
      <c r="E2304" s="2">
        <v>15</v>
      </c>
      <c r="F2304" s="2">
        <f>E2304*D2304</f>
        <v>0.75</v>
      </c>
      <c r="G2304" s="160">
        <v>1100</v>
      </c>
      <c r="H2304" s="20">
        <f>G2304*F2304</f>
        <v>825</v>
      </c>
      <c r="I2304" s="44"/>
    </row>
    <row r="2305" spans="2:11" x14ac:dyDescent="0.15">
      <c r="B2305" s="106"/>
      <c r="C2305" s="66"/>
      <c r="D2305" s="67"/>
      <c r="E2305" s="68"/>
      <c r="F2305" s="68"/>
      <c r="G2305" s="69"/>
      <c r="H2305" s="65"/>
      <c r="I2305" s="44"/>
    </row>
    <row r="2306" spans="2:11" ht="14" thickBot="1" x14ac:dyDescent="0.2">
      <c r="B2306" s="33"/>
      <c r="C2306" s="54"/>
      <c r="D2306" s="21"/>
      <c r="E2306" s="22"/>
      <c r="F2306" s="23"/>
      <c r="G2306" s="47"/>
      <c r="H2306" s="21"/>
      <c r="I2306" s="48"/>
    </row>
    <row r="2307" spans="2:11" ht="14" thickBot="1" x14ac:dyDescent="0.2">
      <c r="B2307" s="1"/>
      <c r="C2307" s="1"/>
      <c r="D2307" s="1"/>
      <c r="E2307" s="1"/>
      <c r="F2307" s="1"/>
      <c r="G2307" s="1"/>
      <c r="H2307" s="37" t="s">
        <v>26</v>
      </c>
      <c r="I2307" s="161">
        <f>SUM(H2304:H2306)</f>
        <v>825</v>
      </c>
    </row>
    <row r="2308" spans="2:11" ht="14" thickBot="1" x14ac:dyDescent="0.2">
      <c r="B2308" s="28" t="s">
        <v>37</v>
      </c>
      <c r="C2308" s="28"/>
      <c r="D2308" s="1"/>
      <c r="E2308" s="1"/>
      <c r="F2308" s="1"/>
      <c r="G2308" s="1"/>
      <c r="H2308" s="1"/>
      <c r="I2308" s="1"/>
    </row>
    <row r="2309" spans="2:11" x14ac:dyDescent="0.15">
      <c r="B2309" s="51" t="s">
        <v>38</v>
      </c>
      <c r="C2309" s="86"/>
      <c r="D2309" s="31" t="s">
        <v>39</v>
      </c>
      <c r="E2309" s="205" t="s">
        <v>40</v>
      </c>
      <c r="F2309" s="19" t="s">
        <v>41</v>
      </c>
      <c r="G2309" s="31" t="s">
        <v>24</v>
      </c>
      <c r="H2309" s="204" t="s">
        <v>25</v>
      </c>
      <c r="I2309" s="43"/>
    </row>
    <row r="2310" spans="2:11" x14ac:dyDescent="0.15">
      <c r="B2310" s="4" t="s">
        <v>104</v>
      </c>
      <c r="C2310" s="24"/>
      <c r="D2310" s="32">
        <f>'MANO DE OBRA'!E15</f>
        <v>95333</v>
      </c>
      <c r="E2310" s="88">
        <v>1.75</v>
      </c>
      <c r="F2310" s="162">
        <f>+E2310*D2310</f>
        <v>166832.75</v>
      </c>
      <c r="G2310" s="20">
        <v>50</v>
      </c>
      <c r="H2310" s="167">
        <f>+F2310/G2310</f>
        <v>3336.6550000000002</v>
      </c>
      <c r="I2310" s="44"/>
    </row>
    <row r="2311" spans="2:11" x14ac:dyDescent="0.15">
      <c r="B2311" s="4" t="s">
        <v>64</v>
      </c>
      <c r="C2311" s="24"/>
      <c r="D2311" s="32">
        <f>'MANO DE OBRA'!E14*3</f>
        <v>156000</v>
      </c>
      <c r="E2311" s="88">
        <v>1.75</v>
      </c>
      <c r="F2311" s="162">
        <f>+E2311*D2311</f>
        <v>273000</v>
      </c>
      <c r="G2311" s="20">
        <v>50</v>
      </c>
      <c r="H2311" s="167">
        <f>+F2311/G2311</f>
        <v>5460</v>
      </c>
      <c r="I2311" s="44"/>
    </row>
    <row r="2312" spans="2:11" ht="14" thickBot="1" x14ac:dyDescent="0.2">
      <c r="B2312" s="33"/>
      <c r="C2312" s="34"/>
      <c r="D2312" s="22"/>
      <c r="E2312" s="21"/>
      <c r="F2312" s="22"/>
      <c r="G2312" s="23"/>
      <c r="H2312" s="47"/>
      <c r="I2312" s="48"/>
    </row>
    <row r="2313" spans="2:11" ht="14" thickBot="1" x14ac:dyDescent="0.2">
      <c r="B2313" s="1"/>
      <c r="C2313" s="1"/>
      <c r="D2313" s="1"/>
      <c r="E2313" s="1"/>
      <c r="F2313" s="1"/>
      <c r="G2313" s="1"/>
      <c r="H2313" s="37" t="s">
        <v>26</v>
      </c>
      <c r="I2313" s="175">
        <f>SUM(H2310:H2312)</f>
        <v>8796.6550000000007</v>
      </c>
    </row>
    <row r="2314" spans="2:11" ht="14" thickBot="1" x14ac:dyDescent="0.2">
      <c r="B2314" s="1"/>
      <c r="C2314" s="1"/>
      <c r="D2314" s="1"/>
      <c r="E2314" s="1"/>
      <c r="F2314" s="1"/>
      <c r="G2314" s="1"/>
      <c r="H2314" s="61"/>
      <c r="I2314" s="1"/>
    </row>
    <row r="2315" spans="2:11" ht="15" thickBot="1" x14ac:dyDescent="0.2">
      <c r="B2315" s="1"/>
      <c r="C2315" s="1"/>
      <c r="D2315" s="1"/>
      <c r="E2315" s="1"/>
      <c r="F2315" s="35" t="s">
        <v>43</v>
      </c>
      <c r="G2315" s="16"/>
      <c r="H2315" s="16"/>
      <c r="I2315" s="222">
        <f>ROUND((I2295+I2301+I2307+I2313),0)</f>
        <v>11939</v>
      </c>
    </row>
    <row r="2316" spans="2:11" x14ac:dyDescent="0.15">
      <c r="B2316" s="12"/>
      <c r="C2316" s="12"/>
      <c r="D2316" s="1"/>
      <c r="E2316" s="1"/>
      <c r="F2316" s="1"/>
      <c r="G2316" s="1"/>
      <c r="H2316" s="170"/>
      <c r="I2316" s="170"/>
    </row>
    <row r="2317" spans="2:11" x14ac:dyDescent="0.15">
      <c r="B2317" s="16"/>
      <c r="C2317" s="16"/>
      <c r="D2317" s="16"/>
      <c r="E2317" s="16"/>
      <c r="F2317" s="16"/>
      <c r="G2317" s="61"/>
      <c r="H2317" s="171"/>
      <c r="I2317" s="170"/>
    </row>
    <row r="2318" spans="2:11" x14ac:dyDescent="0.15">
      <c r="B2318" s="1"/>
      <c r="C2318" s="1"/>
      <c r="D2318" s="1"/>
      <c r="E2318" s="1"/>
      <c r="F2318" s="1"/>
      <c r="G2318" s="159"/>
      <c r="H2318" s="170"/>
      <c r="I2318" s="170"/>
      <c r="K2318" s="105"/>
    </row>
    <row r="2319" spans="2:11" x14ac:dyDescent="0.15">
      <c r="B2319" s="1"/>
      <c r="C2319" s="1"/>
      <c r="D2319" s="1"/>
      <c r="E2319" s="1"/>
      <c r="F2319" s="1"/>
      <c r="G2319" s="159"/>
      <c r="H2319" s="170"/>
      <c r="I2319" s="170"/>
    </row>
    <row r="2320" spans="2:11" x14ac:dyDescent="0.15">
      <c r="B2320" s="1"/>
      <c r="C2320" s="1"/>
      <c r="D2320" s="1"/>
      <c r="E2320" s="1"/>
      <c r="F2320" s="1"/>
      <c r="G2320" s="159"/>
      <c r="H2320" s="170"/>
      <c r="I2320" s="170"/>
    </row>
    <row r="2321" spans="2:10" x14ac:dyDescent="0.15">
      <c r="B2321" s="1"/>
      <c r="C2321" s="1"/>
      <c r="D2321" s="1"/>
      <c r="E2321" s="1"/>
      <c r="F2321" s="1"/>
      <c r="G2321" s="1"/>
      <c r="H2321" s="37"/>
      <c r="I2321" s="170"/>
    </row>
    <row r="2322" spans="2:10" ht="14" x14ac:dyDescent="0.15">
      <c r="B2322" s="101"/>
      <c r="C2322" s="1"/>
      <c r="D2322" s="1"/>
      <c r="E2322" s="1"/>
      <c r="F2322" s="1"/>
      <c r="G2322" s="1"/>
      <c r="H2322" s="1"/>
      <c r="I2322" s="170"/>
    </row>
    <row r="2323" spans="2:10" ht="14" x14ac:dyDescent="0.15">
      <c r="B2323" s="83"/>
      <c r="C2323" s="11"/>
      <c r="D2323" s="1"/>
      <c r="E2323" s="637"/>
      <c r="F2323" s="637"/>
      <c r="G2323" s="637"/>
      <c r="H2323" s="637"/>
      <c r="I2323" s="169"/>
    </row>
    <row r="2324" spans="2:10" ht="14" x14ac:dyDescent="0.15">
      <c r="B2324" s="101"/>
      <c r="C2324" s="11"/>
      <c r="D2324" s="1"/>
      <c r="E2324" s="153"/>
      <c r="F2324" s="153"/>
      <c r="G2324" s="153"/>
      <c r="H2324" s="153"/>
      <c r="I2324" s="169"/>
    </row>
    <row r="2325" spans="2:10" ht="14" x14ac:dyDescent="0.15">
      <c r="B2325" s="83"/>
      <c r="C2325" s="11"/>
      <c r="D2325" s="1"/>
      <c r="E2325" s="153"/>
      <c r="F2325" s="153"/>
      <c r="G2325" s="153"/>
      <c r="H2325" s="153"/>
      <c r="I2325" s="169"/>
    </row>
    <row r="2326" spans="2:10" x14ac:dyDescent="0.15">
      <c r="B2326" s="11"/>
      <c r="C2326" s="11"/>
      <c r="D2326" s="1"/>
      <c r="E2326" s="153"/>
      <c r="F2326" s="153"/>
      <c r="G2326" s="153"/>
      <c r="H2326" s="153"/>
      <c r="I2326" s="169"/>
    </row>
    <row r="2327" spans="2:10" x14ac:dyDescent="0.15">
      <c r="B2327" s="11"/>
      <c r="C2327" s="11"/>
      <c r="D2327" s="1"/>
      <c r="E2327" s="153"/>
      <c r="F2327" s="153"/>
      <c r="G2327" s="153"/>
      <c r="H2327" s="153"/>
      <c r="I2327" s="169"/>
    </row>
    <row r="2328" spans="2:10" x14ac:dyDescent="0.15">
      <c r="B2328" s="11"/>
      <c r="C2328" s="11"/>
      <c r="D2328" s="1"/>
      <c r="E2328" s="153"/>
      <c r="F2328" s="153"/>
      <c r="G2328" s="153"/>
      <c r="H2328" s="153"/>
      <c r="I2328" s="169"/>
    </row>
    <row r="2329" spans="2:10" x14ac:dyDescent="0.15">
      <c r="B2329" s="11"/>
      <c r="C2329" s="11"/>
      <c r="D2329" s="1"/>
      <c r="E2329" s="153"/>
      <c r="F2329" s="153"/>
      <c r="G2329" s="153"/>
      <c r="H2329" s="153"/>
      <c r="I2329" s="169"/>
    </row>
    <row r="2330" spans="2:10" x14ac:dyDescent="0.15">
      <c r="B2330" s="11"/>
      <c r="C2330" s="11"/>
      <c r="D2330" s="1"/>
      <c r="E2330" s="153"/>
      <c r="F2330" s="153"/>
      <c r="G2330" s="153"/>
      <c r="H2330" s="153"/>
      <c r="I2330" s="169"/>
    </row>
    <row r="2331" spans="2:10" x14ac:dyDescent="0.15">
      <c r="B2331" s="11"/>
      <c r="C2331" s="11"/>
      <c r="D2331" s="1"/>
      <c r="E2331" s="153"/>
      <c r="F2331" s="153"/>
      <c r="G2331" s="153"/>
      <c r="H2331" s="153"/>
      <c r="I2331" s="169"/>
    </row>
    <row r="2332" spans="2:10" x14ac:dyDescent="0.15">
      <c r="B2332" s="11"/>
      <c r="C2332" s="11"/>
      <c r="D2332" s="1"/>
      <c r="E2332" s="153"/>
      <c r="F2332" s="153"/>
      <c r="G2332" s="153"/>
      <c r="H2332" s="153"/>
      <c r="I2332" s="169"/>
    </row>
    <row r="2333" spans="2:10" x14ac:dyDescent="0.15">
      <c r="B2333" s="11"/>
      <c r="C2333" s="11"/>
      <c r="D2333" s="1"/>
      <c r="E2333" s="153"/>
      <c r="F2333" s="153"/>
      <c r="G2333" s="153"/>
      <c r="H2333" s="153"/>
      <c r="I2333" s="169"/>
    </row>
    <row r="2334" spans="2:10" x14ac:dyDescent="0.15">
      <c r="B2334" s="11"/>
      <c r="C2334" s="11"/>
      <c r="D2334" s="1"/>
      <c r="E2334" s="153"/>
      <c r="F2334" s="153"/>
      <c r="G2334" s="153"/>
      <c r="H2334" s="153"/>
      <c r="I2334" s="169"/>
    </row>
    <row r="2335" spans="2:10" x14ac:dyDescent="0.15">
      <c r="B2335" s="11"/>
      <c r="C2335" s="11"/>
      <c r="D2335" s="11"/>
      <c r="E2335" s="11"/>
      <c r="F2335" s="11"/>
      <c r="G2335" s="11"/>
      <c r="H2335" s="11"/>
      <c r="I2335" s="11"/>
    </row>
    <row r="2336" spans="2:10" ht="14" x14ac:dyDescent="0.15">
      <c r="B2336" s="101"/>
      <c r="C2336" s="83"/>
      <c r="D2336" s="84"/>
      <c r="E2336" s="83"/>
      <c r="F2336" s="83"/>
      <c r="G2336" s="102"/>
      <c r="H2336" s="83"/>
      <c r="I2336" s="85"/>
      <c r="J2336" s="85"/>
    </row>
    <row r="2337" spans="2:10" ht="14" x14ac:dyDescent="0.15">
      <c r="B2337" s="83"/>
      <c r="C2337" s="83"/>
      <c r="D2337" s="84"/>
      <c r="E2337" s="83"/>
      <c r="F2337" s="83"/>
      <c r="G2337" s="103"/>
      <c r="H2337" s="83"/>
      <c r="I2337" s="85"/>
      <c r="J2337" s="85"/>
    </row>
    <row r="2338" spans="2:10" x14ac:dyDescent="0.15">
      <c r="B2338" s="11"/>
      <c r="C2338" s="11"/>
      <c r="D2338" s="1"/>
      <c r="E2338" s="153"/>
      <c r="F2338" s="153"/>
      <c r="G2338" s="153"/>
      <c r="H2338" s="153"/>
      <c r="I2338" s="169"/>
    </row>
    <row r="2339" spans="2:10" x14ac:dyDescent="0.15">
      <c r="B2339" s="11"/>
      <c r="C2339" s="11"/>
      <c r="D2339" s="1"/>
      <c r="E2339" s="153"/>
      <c r="F2339" s="153"/>
      <c r="G2339" s="153"/>
      <c r="H2339" s="153"/>
      <c r="I2339" s="169"/>
    </row>
    <row r="2340" spans="2:10" ht="14" thickBot="1" x14ac:dyDescent="0.2"/>
    <row r="2341" spans="2:10" ht="21" customHeight="1" x14ac:dyDescent="0.15">
      <c r="B2341" s="607" t="s">
        <v>1065</v>
      </c>
      <c r="C2341" s="608"/>
      <c r="D2341" s="608"/>
      <c r="E2341" s="608"/>
      <c r="F2341" s="609"/>
      <c r="G2341" s="1"/>
      <c r="H2341" s="638" t="s">
        <v>20</v>
      </c>
      <c r="I2341" s="639"/>
    </row>
    <row r="2342" spans="2:10" ht="16.5" customHeight="1" x14ac:dyDescent="0.15">
      <c r="B2342" s="604" t="s">
        <v>446</v>
      </c>
      <c r="C2342" s="605"/>
      <c r="D2342" s="605"/>
      <c r="E2342" s="605"/>
      <c r="F2342" s="606"/>
      <c r="G2342" s="63"/>
      <c r="H2342" s="640"/>
      <c r="I2342" s="641"/>
    </row>
    <row r="2343" spans="2:10" ht="12.75" customHeight="1" x14ac:dyDescent="0.15">
      <c r="B2343" s="610" t="s">
        <v>447</v>
      </c>
      <c r="C2343" s="611"/>
      <c r="D2343" s="611"/>
      <c r="E2343" s="611"/>
      <c r="F2343" s="612"/>
      <c r="G2343" s="63"/>
      <c r="H2343" s="642"/>
      <c r="I2343" s="643"/>
    </row>
    <row r="2344" spans="2:10" ht="16.5" customHeight="1" thickBot="1" x14ac:dyDescent="0.2">
      <c r="B2344" s="613"/>
      <c r="C2344" s="614"/>
      <c r="D2344" s="614"/>
      <c r="E2344" s="614"/>
      <c r="F2344" s="615"/>
      <c r="G2344" s="1"/>
      <c r="H2344" s="676" t="s">
        <v>796</v>
      </c>
      <c r="I2344" s="677"/>
    </row>
    <row r="2345" spans="2:10" ht="14" thickBot="1" x14ac:dyDescent="0.2">
      <c r="B2345" s="15"/>
      <c r="C2345" s="16"/>
      <c r="D2345" s="1"/>
      <c r="E2345" s="1"/>
      <c r="F2345" s="1"/>
      <c r="G2345" s="1"/>
      <c r="H2345" s="678"/>
      <c r="I2345" s="679"/>
    </row>
    <row r="2346" spans="2:10" ht="12.75" customHeight="1" x14ac:dyDescent="0.15">
      <c r="B2346" s="650" t="s">
        <v>890</v>
      </c>
      <c r="C2346" s="651"/>
      <c r="D2346" s="651"/>
      <c r="E2346" s="651"/>
      <c r="F2346" s="652"/>
      <c r="G2346" s="1"/>
      <c r="H2346" s="678"/>
      <c r="I2346" s="679"/>
    </row>
    <row r="2347" spans="2:10" ht="12.75" customHeight="1" x14ac:dyDescent="0.15">
      <c r="B2347" s="653"/>
      <c r="C2347" s="654"/>
      <c r="D2347" s="654"/>
      <c r="E2347" s="654"/>
      <c r="F2347" s="655"/>
      <c r="H2347" s="678"/>
      <c r="I2347" s="679"/>
    </row>
    <row r="2348" spans="2:10" ht="13.5" customHeight="1" x14ac:dyDescent="0.15">
      <c r="B2348" s="653"/>
      <c r="C2348" s="654"/>
      <c r="D2348" s="654"/>
      <c r="E2348" s="654"/>
      <c r="F2348" s="655"/>
      <c r="G2348" s="11"/>
      <c r="H2348" s="680"/>
      <c r="I2348" s="681"/>
    </row>
    <row r="2349" spans="2:10" ht="21.75" customHeight="1" thickBot="1" x14ac:dyDescent="0.2">
      <c r="B2349" s="656"/>
      <c r="C2349" s="657"/>
      <c r="D2349" s="657"/>
      <c r="E2349" s="657"/>
      <c r="F2349" s="658"/>
      <c r="H2349" s="64" t="s">
        <v>45</v>
      </c>
      <c r="I2349" s="17" t="s">
        <v>5</v>
      </c>
    </row>
    <row r="2350" spans="2:10" x14ac:dyDescent="0.15">
      <c r="B2350" s="18"/>
      <c r="C2350" s="18"/>
      <c r="D2350" s="1"/>
      <c r="E2350" s="18"/>
      <c r="F2350" s="18"/>
      <c r="G2350" s="18"/>
      <c r="H2350" s="18"/>
      <c r="I2350" s="1"/>
    </row>
    <row r="2351" spans="2:10" ht="14" thickBot="1" x14ac:dyDescent="0.2">
      <c r="B2351" s="12" t="s">
        <v>21</v>
      </c>
      <c r="C2351" s="12"/>
      <c r="D2351" s="1"/>
      <c r="E2351" s="1"/>
      <c r="F2351" s="1"/>
      <c r="G2351" s="1"/>
      <c r="H2351" s="1"/>
      <c r="I2351" s="1"/>
    </row>
    <row r="2352" spans="2:10" x14ac:dyDescent="0.15">
      <c r="B2352" s="628" t="s">
        <v>22</v>
      </c>
      <c r="C2352" s="629"/>
      <c r="D2352" s="630"/>
      <c r="E2352" s="205" t="s">
        <v>23</v>
      </c>
      <c r="F2352" s="19" t="s">
        <v>47</v>
      </c>
      <c r="G2352" s="205" t="s">
        <v>24</v>
      </c>
      <c r="H2352" s="204" t="s">
        <v>25</v>
      </c>
      <c r="I2352" s="43"/>
    </row>
    <row r="2353" spans="2:9" x14ac:dyDescent="0.15">
      <c r="B2353" s="631" t="s">
        <v>56</v>
      </c>
      <c r="C2353" s="632"/>
      <c r="D2353" s="633"/>
      <c r="E2353" s="5"/>
      <c r="F2353" s="323"/>
      <c r="G2353" s="58"/>
      <c r="H2353" s="319">
        <f>+I2378*0.05</f>
        <v>1453.4697916666667</v>
      </c>
      <c r="I2353" s="44"/>
    </row>
    <row r="2354" spans="2:9" x14ac:dyDescent="0.15">
      <c r="B2354" s="631"/>
      <c r="C2354" s="632"/>
      <c r="D2354" s="633"/>
      <c r="E2354" s="5"/>
      <c r="F2354" s="46"/>
      <c r="G2354" s="20"/>
      <c r="H2354" s="56"/>
      <c r="I2354" s="44"/>
    </row>
    <row r="2355" spans="2:9" ht="14" thickBot="1" x14ac:dyDescent="0.2">
      <c r="B2355" s="634"/>
      <c r="C2355" s="635"/>
      <c r="D2355" s="636"/>
      <c r="E2355" s="21"/>
      <c r="F2355" s="22"/>
      <c r="G2355" s="23"/>
      <c r="H2355" s="47"/>
      <c r="I2355" s="48"/>
    </row>
    <row r="2356" spans="2:9" ht="14" thickBot="1" x14ac:dyDescent="0.2">
      <c r="B2356" s="1"/>
      <c r="C2356" s="1"/>
      <c r="D2356" s="1"/>
      <c r="E2356" s="1"/>
      <c r="F2356" s="1"/>
      <c r="G2356" s="1"/>
      <c r="H2356" s="37" t="s">
        <v>26</v>
      </c>
      <c r="I2356" s="321">
        <f>SUM(H2353:H2355)</f>
        <v>1453.4697916666667</v>
      </c>
    </row>
    <row r="2357" spans="2:9" ht="14" thickBot="1" x14ac:dyDescent="0.2">
      <c r="B2357" s="12" t="s">
        <v>27</v>
      </c>
      <c r="C2357" s="12"/>
      <c r="D2357" s="1"/>
      <c r="E2357" s="1"/>
      <c r="F2357" s="1"/>
      <c r="G2357" s="1"/>
      <c r="H2357" s="1"/>
      <c r="I2357" s="1"/>
    </row>
    <row r="2358" spans="2:9" x14ac:dyDescent="0.15">
      <c r="B2358" s="628" t="s">
        <v>22</v>
      </c>
      <c r="C2358" s="629"/>
      <c r="D2358" s="630"/>
      <c r="E2358" s="205" t="s">
        <v>28</v>
      </c>
      <c r="F2358" s="205" t="s">
        <v>29</v>
      </c>
      <c r="G2358" s="205" t="s">
        <v>30</v>
      </c>
      <c r="H2358" s="59" t="s">
        <v>25</v>
      </c>
      <c r="I2358" s="43"/>
    </row>
    <row r="2359" spans="2:9" x14ac:dyDescent="0.15">
      <c r="B2359" s="4" t="s">
        <v>787</v>
      </c>
      <c r="C2359" s="24"/>
      <c r="D2359" s="6"/>
      <c r="E2359" s="3" t="s">
        <v>5</v>
      </c>
      <c r="F2359" s="387">
        <f>MATERIALES!C48</f>
        <v>35000</v>
      </c>
      <c r="G2359" s="65">
        <v>1</v>
      </c>
      <c r="H2359" s="315">
        <f>G2359*F2359</f>
        <v>35000</v>
      </c>
      <c r="I2359" s="44"/>
    </row>
    <row r="2360" spans="2:9" x14ac:dyDescent="0.15">
      <c r="B2360" s="4" t="s">
        <v>680</v>
      </c>
      <c r="C2360" s="24"/>
      <c r="D2360" s="6"/>
      <c r="E2360" s="3" t="s">
        <v>6</v>
      </c>
      <c r="F2360" s="314">
        <f>'APU -BASICOS'!H153</f>
        <v>669587</v>
      </c>
      <c r="G2360" s="180">
        <f>1*1*0.01</f>
        <v>0.01</v>
      </c>
      <c r="H2360" s="315">
        <f>G2360*F2360</f>
        <v>6695.87</v>
      </c>
      <c r="I2360" s="44"/>
    </row>
    <row r="2361" spans="2:9" x14ac:dyDescent="0.15">
      <c r="B2361" s="106" t="s">
        <v>560</v>
      </c>
      <c r="C2361" s="310"/>
      <c r="D2361" s="66"/>
      <c r="E2361" s="5" t="s">
        <v>58</v>
      </c>
      <c r="F2361" s="160">
        <f>MATERIALES!F50</f>
        <v>4500</v>
      </c>
      <c r="G2361" s="65">
        <v>2</v>
      </c>
      <c r="H2361" s="315">
        <f>G2361*F2361</f>
        <v>9000</v>
      </c>
      <c r="I2361" s="44"/>
    </row>
    <row r="2362" spans="2:9" x14ac:dyDescent="0.15">
      <c r="B2362" s="106" t="s">
        <v>561</v>
      </c>
      <c r="C2362" s="310"/>
      <c r="D2362" s="66"/>
      <c r="E2362" s="5" t="s">
        <v>58</v>
      </c>
      <c r="F2362" s="160">
        <f>MATERIALES!C51</f>
        <v>2800</v>
      </c>
      <c r="G2362" s="65">
        <v>4</v>
      </c>
      <c r="H2362" s="315">
        <f>G2362*F2362</f>
        <v>11200</v>
      </c>
      <c r="I2362" s="44"/>
    </row>
    <row r="2363" spans="2:9" x14ac:dyDescent="0.15">
      <c r="B2363" s="106" t="s">
        <v>562</v>
      </c>
      <c r="C2363" s="310"/>
      <c r="D2363" s="66"/>
      <c r="E2363" s="5" t="s">
        <v>58</v>
      </c>
      <c r="F2363" s="323">
        <f>MATERIALES!F10</f>
        <v>850</v>
      </c>
      <c r="G2363" s="65">
        <v>2</v>
      </c>
      <c r="H2363" s="315">
        <f>G2363*F2363</f>
        <v>1700</v>
      </c>
      <c r="I2363" s="44"/>
    </row>
    <row r="2364" spans="2:9" ht="14" thickBot="1" x14ac:dyDescent="0.2">
      <c r="B2364" s="33" t="s">
        <v>161</v>
      </c>
      <c r="C2364" s="34"/>
      <c r="D2364" s="54"/>
      <c r="E2364" s="21" t="s">
        <v>62</v>
      </c>
      <c r="F2364" s="318">
        <f>SUM(H2358:H2363)</f>
        <v>63595.87</v>
      </c>
      <c r="G2364" s="23">
        <v>0.05</v>
      </c>
      <c r="H2364" s="324">
        <f t="shared" ref="H2364" si="8">G2364*F2364</f>
        <v>3179.7935000000002</v>
      </c>
      <c r="I2364" s="48"/>
    </row>
    <row r="2365" spans="2:9" ht="14" thickBot="1" x14ac:dyDescent="0.2">
      <c r="B2365" s="1"/>
      <c r="C2365" s="1"/>
      <c r="D2365" s="1"/>
      <c r="E2365" s="1"/>
      <c r="F2365" s="1"/>
      <c r="G2365" s="1"/>
      <c r="H2365" s="37" t="s">
        <v>26</v>
      </c>
      <c r="I2365" s="321">
        <f>SUM(H2359:H2364)</f>
        <v>66775.66350000001</v>
      </c>
    </row>
    <row r="2366" spans="2:9" ht="14" thickBot="1" x14ac:dyDescent="0.2">
      <c r="B2366" s="28" t="s">
        <v>31</v>
      </c>
      <c r="C2366" s="28"/>
      <c r="D2366" s="26"/>
      <c r="E2366" s="1"/>
      <c r="F2366" s="1"/>
      <c r="G2366" s="1"/>
      <c r="H2366" s="1"/>
      <c r="I2366" s="1"/>
    </row>
    <row r="2367" spans="2:9" x14ac:dyDescent="0.15">
      <c r="B2367" s="51" t="s">
        <v>32</v>
      </c>
      <c r="C2367" s="52"/>
      <c r="D2367" s="291" t="s">
        <v>33</v>
      </c>
      <c r="E2367" s="205" t="s">
        <v>34</v>
      </c>
      <c r="F2367" s="205" t="s">
        <v>35</v>
      </c>
      <c r="G2367" s="205" t="s">
        <v>36</v>
      </c>
      <c r="H2367" s="59" t="s">
        <v>25</v>
      </c>
      <c r="I2367" s="43"/>
    </row>
    <row r="2368" spans="2:9" x14ac:dyDescent="0.15">
      <c r="B2368" s="4" t="s">
        <v>79</v>
      </c>
      <c r="C2368" s="6"/>
      <c r="D2368" s="53">
        <v>0.05</v>
      </c>
      <c r="E2368" s="2">
        <v>15</v>
      </c>
      <c r="F2368" s="2">
        <f>E2368*D2368</f>
        <v>0.75</v>
      </c>
      <c r="G2368" s="160">
        <v>1100</v>
      </c>
      <c r="H2368" s="20">
        <f>G2368*F2368</f>
        <v>825</v>
      </c>
      <c r="I2368" s="44"/>
    </row>
    <row r="2369" spans="2:9" x14ac:dyDescent="0.15">
      <c r="B2369" s="310"/>
      <c r="C2369" s="66"/>
      <c r="D2369" s="67"/>
      <c r="E2369" s="68"/>
      <c r="F2369" s="68"/>
      <c r="G2369" s="69"/>
      <c r="H2369" s="65"/>
      <c r="I2369" s="44"/>
    </row>
    <row r="2370" spans="2:9" ht="14" thickBot="1" x14ac:dyDescent="0.2">
      <c r="B2370" s="33"/>
      <c r="C2370" s="54"/>
      <c r="D2370" s="21"/>
      <c r="E2370" s="22"/>
      <c r="F2370" s="23"/>
      <c r="G2370" s="47"/>
      <c r="H2370" s="21"/>
      <c r="I2370" s="44"/>
    </row>
    <row r="2371" spans="2:9" ht="14" thickBot="1" x14ac:dyDescent="0.2">
      <c r="B2371" s="1"/>
      <c r="C2371" s="1"/>
      <c r="D2371" s="1"/>
      <c r="E2371" s="1"/>
      <c r="F2371" s="1"/>
      <c r="G2371" s="1"/>
      <c r="H2371" s="37" t="s">
        <v>26</v>
      </c>
      <c r="I2371" s="321">
        <f>SUM(H2368:H2370)</f>
        <v>825</v>
      </c>
    </row>
    <row r="2372" spans="2:9" ht="14" thickBot="1" x14ac:dyDescent="0.2">
      <c r="B2372" s="28" t="s">
        <v>37</v>
      </c>
      <c r="C2372" s="28"/>
      <c r="D2372" s="1"/>
      <c r="E2372" s="1"/>
      <c r="F2372" s="1"/>
      <c r="G2372" s="1"/>
      <c r="H2372" s="1"/>
      <c r="I2372" s="1"/>
    </row>
    <row r="2373" spans="2:9" x14ac:dyDescent="0.15">
      <c r="B2373" s="51" t="s">
        <v>38</v>
      </c>
      <c r="C2373" s="86"/>
      <c r="D2373" s="31" t="s">
        <v>39</v>
      </c>
      <c r="E2373" s="205" t="s">
        <v>40</v>
      </c>
      <c r="F2373" s="19" t="s">
        <v>41</v>
      </c>
      <c r="G2373" s="31" t="s">
        <v>24</v>
      </c>
      <c r="H2373" s="204" t="s">
        <v>25</v>
      </c>
      <c r="I2373" s="43"/>
    </row>
    <row r="2374" spans="2:9" x14ac:dyDescent="0.15">
      <c r="B2374" s="4" t="s">
        <v>65</v>
      </c>
      <c r="C2374" s="24"/>
      <c r="D2374" s="32">
        <f>'MANO DE OBRA'!E15</f>
        <v>95333</v>
      </c>
      <c r="E2374" s="166">
        <v>1.75</v>
      </c>
      <c r="F2374" s="314">
        <f>+E2374*D2374</f>
        <v>166832.75</v>
      </c>
      <c r="G2374" s="20">
        <v>12</v>
      </c>
      <c r="H2374" s="315">
        <f>+F2374/G2374</f>
        <v>13902.729166666666</v>
      </c>
      <c r="I2374" s="44"/>
    </row>
    <row r="2375" spans="2:9" x14ac:dyDescent="0.15">
      <c r="B2375" s="4" t="s">
        <v>55</v>
      </c>
      <c r="C2375" s="24"/>
      <c r="D2375" s="32">
        <f>'MANO DE OBRA'!E14*2</f>
        <v>104000</v>
      </c>
      <c r="E2375" s="166">
        <v>1.75</v>
      </c>
      <c r="F2375" s="314">
        <f>+E2375*D2375</f>
        <v>182000</v>
      </c>
      <c r="G2375" s="20">
        <v>12</v>
      </c>
      <c r="H2375" s="315">
        <f>+F2375/G2375</f>
        <v>15166.666666666666</v>
      </c>
      <c r="I2375" s="44"/>
    </row>
    <row r="2376" spans="2:9" x14ac:dyDescent="0.15">
      <c r="B2376" s="4"/>
      <c r="C2376" s="24"/>
      <c r="D2376" s="32"/>
      <c r="E2376" s="166"/>
      <c r="F2376" s="20"/>
      <c r="G2376" s="20"/>
      <c r="H2376" s="55"/>
      <c r="I2376" s="44"/>
    </row>
    <row r="2377" spans="2:9" ht="14" thickBot="1" x14ac:dyDescent="0.2">
      <c r="B2377" s="33"/>
      <c r="C2377" s="34"/>
      <c r="D2377" s="22"/>
      <c r="E2377" s="21"/>
      <c r="F2377" s="22"/>
      <c r="G2377" s="23"/>
      <c r="H2377" s="47"/>
      <c r="I2377" s="48"/>
    </row>
    <row r="2378" spans="2:9" ht="14" thickBot="1" x14ac:dyDescent="0.2">
      <c r="B2378" s="1"/>
      <c r="C2378" s="1"/>
      <c r="D2378" s="1"/>
      <c r="E2378" s="1"/>
      <c r="F2378" s="1"/>
      <c r="G2378" s="1"/>
      <c r="H2378" s="37" t="s">
        <v>26</v>
      </c>
      <c r="I2378" s="317">
        <f>SUM(H2374:H2377)</f>
        <v>29069.395833333332</v>
      </c>
    </row>
    <row r="2379" spans="2:9" ht="14" thickBot="1" x14ac:dyDescent="0.2">
      <c r="B2379" s="1"/>
      <c r="C2379" s="1"/>
      <c r="D2379" s="1"/>
      <c r="E2379" s="1"/>
      <c r="F2379" s="1"/>
      <c r="G2379" s="1"/>
      <c r="H2379" s="61"/>
      <c r="I2379" s="1"/>
    </row>
    <row r="2380" spans="2:9" ht="15" thickBot="1" x14ac:dyDescent="0.2">
      <c r="B2380" s="1"/>
      <c r="C2380" s="1"/>
      <c r="D2380" s="1"/>
      <c r="E2380" s="1"/>
      <c r="F2380" s="35" t="s">
        <v>43</v>
      </c>
      <c r="G2380" s="16"/>
      <c r="H2380" s="16"/>
      <c r="I2380" s="325">
        <f>ROUND((I2356+I2365+I2371+I2378),0)</f>
        <v>98124</v>
      </c>
    </row>
    <row r="2381" spans="2:9" x14ac:dyDescent="0.15">
      <c r="B2381" s="11"/>
      <c r="C2381" s="11"/>
      <c r="D2381" s="1"/>
      <c r="E2381" s="153"/>
      <c r="F2381" s="153"/>
      <c r="G2381" s="153"/>
      <c r="H2381" s="153"/>
      <c r="I2381" s="327"/>
    </row>
    <row r="2382" spans="2:9" x14ac:dyDescent="0.15">
      <c r="B2382" s="11"/>
      <c r="C2382" s="11"/>
      <c r="D2382" s="1"/>
      <c r="E2382" s="153"/>
      <c r="F2382" s="153"/>
      <c r="G2382" s="153"/>
      <c r="H2382" s="153"/>
      <c r="I2382" s="327"/>
    </row>
    <row r="2383" spans="2:9" x14ac:dyDescent="0.15">
      <c r="B2383" s="11"/>
      <c r="C2383" s="11"/>
      <c r="D2383" s="1"/>
      <c r="E2383" s="153"/>
      <c r="F2383" s="153"/>
      <c r="G2383" s="153"/>
      <c r="H2383" s="153"/>
      <c r="I2383" s="327"/>
    </row>
    <row r="2384" spans="2:9" x14ac:dyDescent="0.15">
      <c r="B2384" s="11"/>
      <c r="C2384" s="11"/>
      <c r="D2384" s="1"/>
      <c r="E2384" s="153"/>
      <c r="F2384" s="153"/>
      <c r="G2384" s="153"/>
      <c r="H2384" s="153"/>
      <c r="I2384" s="327"/>
    </row>
    <row r="2385" spans="2:9" x14ac:dyDescent="0.15">
      <c r="B2385" s="11"/>
      <c r="C2385" s="11"/>
      <c r="D2385" s="1"/>
      <c r="E2385" s="153"/>
      <c r="F2385" s="153"/>
      <c r="G2385" s="153"/>
      <c r="H2385" s="153"/>
      <c r="I2385" s="327"/>
    </row>
    <row r="2386" spans="2:9" x14ac:dyDescent="0.15">
      <c r="B2386" s="11"/>
      <c r="C2386" s="11"/>
      <c r="D2386" s="1"/>
      <c r="E2386" s="153"/>
      <c r="F2386" s="153"/>
      <c r="G2386" s="153"/>
      <c r="H2386" s="153"/>
      <c r="I2386" s="327"/>
    </row>
    <row r="2387" spans="2:9" x14ac:dyDescent="0.15">
      <c r="B2387" s="11"/>
      <c r="C2387" s="11"/>
      <c r="D2387" s="1"/>
      <c r="E2387" s="153"/>
      <c r="F2387" s="153"/>
      <c r="G2387" s="153"/>
      <c r="H2387" s="153"/>
      <c r="I2387" s="327"/>
    </row>
    <row r="2388" spans="2:9" x14ac:dyDescent="0.15">
      <c r="B2388" s="11"/>
      <c r="C2388" s="11"/>
      <c r="D2388" s="1"/>
      <c r="E2388" s="153"/>
      <c r="F2388" s="153"/>
      <c r="G2388" s="153"/>
      <c r="H2388" s="153"/>
      <c r="I2388" s="327"/>
    </row>
    <row r="2389" spans="2:9" x14ac:dyDescent="0.15">
      <c r="B2389" s="11"/>
      <c r="C2389" s="11"/>
      <c r="D2389" s="1"/>
      <c r="E2389" s="153"/>
      <c r="F2389" s="153"/>
      <c r="G2389" s="153"/>
      <c r="H2389" s="153"/>
      <c r="I2389" s="327"/>
    </row>
    <row r="2390" spans="2:9" x14ac:dyDescent="0.15">
      <c r="B2390" s="11"/>
      <c r="C2390" s="11"/>
      <c r="D2390" s="1"/>
      <c r="E2390" s="153"/>
      <c r="F2390" s="153"/>
      <c r="G2390" s="153"/>
      <c r="H2390" s="153"/>
      <c r="I2390" s="327"/>
    </row>
    <row r="2391" spans="2:9" x14ac:dyDescent="0.15">
      <c r="B2391" s="11"/>
      <c r="C2391" s="11"/>
      <c r="D2391" s="1"/>
      <c r="E2391" s="153"/>
      <c r="F2391" s="153"/>
      <c r="G2391" s="153"/>
      <c r="H2391" s="153"/>
      <c r="I2391" s="327"/>
    </row>
    <row r="2392" spans="2:9" x14ac:dyDescent="0.15">
      <c r="B2392" s="11"/>
      <c r="C2392" s="11"/>
      <c r="D2392" s="1"/>
      <c r="E2392" s="153"/>
      <c r="F2392" s="153"/>
      <c r="G2392" s="153"/>
      <c r="H2392" s="153"/>
      <c r="I2392" s="327"/>
    </row>
    <row r="2393" spans="2:9" x14ac:dyDescent="0.15">
      <c r="B2393" s="11"/>
      <c r="C2393" s="11"/>
      <c r="D2393" s="1"/>
      <c r="E2393" s="153"/>
      <c r="F2393" s="153"/>
      <c r="G2393" s="153"/>
      <c r="H2393" s="153"/>
      <c r="I2393" s="327"/>
    </row>
    <row r="2394" spans="2:9" x14ac:dyDescent="0.15">
      <c r="B2394" s="11"/>
      <c r="C2394" s="11"/>
      <c r="D2394" s="1"/>
      <c r="E2394" s="153"/>
      <c r="F2394" s="153"/>
      <c r="G2394" s="153"/>
      <c r="H2394" s="153"/>
      <c r="I2394" s="327"/>
    </row>
    <row r="2395" spans="2:9" x14ac:dyDescent="0.15">
      <c r="B2395" s="11"/>
      <c r="C2395" s="11"/>
      <c r="D2395" s="1"/>
      <c r="E2395" s="153"/>
      <c r="F2395" s="153"/>
      <c r="G2395" s="153"/>
      <c r="H2395" s="153"/>
      <c r="I2395" s="327"/>
    </row>
    <row r="2396" spans="2:9" x14ac:dyDescent="0.15">
      <c r="B2396" s="11"/>
      <c r="C2396" s="11"/>
      <c r="D2396" s="1"/>
      <c r="E2396" s="153"/>
      <c r="F2396" s="153"/>
      <c r="G2396" s="153"/>
      <c r="H2396" s="153"/>
      <c r="I2396" s="327"/>
    </row>
    <row r="2397" spans="2:9" x14ac:dyDescent="0.15">
      <c r="B2397" s="11"/>
      <c r="C2397" s="11"/>
      <c r="D2397" s="1"/>
      <c r="E2397" s="153"/>
      <c r="F2397" s="153"/>
      <c r="G2397" s="153"/>
      <c r="H2397" s="153"/>
      <c r="I2397" s="327"/>
    </row>
    <row r="2398" spans="2:9" x14ac:dyDescent="0.15">
      <c r="B2398" s="11"/>
      <c r="C2398" s="11"/>
      <c r="D2398" s="1"/>
      <c r="E2398" s="153"/>
      <c r="F2398" s="153"/>
      <c r="G2398" s="153"/>
      <c r="H2398" s="153"/>
      <c r="I2398" s="327"/>
    </row>
    <row r="2399" spans="2:9" x14ac:dyDescent="0.15">
      <c r="B2399" s="11"/>
      <c r="C2399" s="11"/>
      <c r="D2399" s="1"/>
      <c r="E2399" s="153"/>
      <c r="F2399" s="153"/>
      <c r="G2399" s="153"/>
      <c r="H2399" s="153"/>
      <c r="I2399" s="327"/>
    </row>
    <row r="2400" spans="2:9" x14ac:dyDescent="0.15">
      <c r="B2400" s="11"/>
      <c r="C2400" s="11"/>
      <c r="D2400" s="1"/>
      <c r="E2400" s="153"/>
      <c r="F2400" s="153"/>
      <c r="G2400" s="153"/>
      <c r="H2400" s="153"/>
      <c r="I2400" s="327"/>
    </row>
    <row r="2401" spans="2:9" x14ac:dyDescent="0.15">
      <c r="B2401" s="11"/>
      <c r="C2401" s="11"/>
      <c r="D2401" s="1"/>
      <c r="E2401" s="153"/>
      <c r="F2401" s="153"/>
      <c r="G2401" s="153"/>
      <c r="H2401" s="153"/>
      <c r="I2401" s="327"/>
    </row>
    <row r="2402" spans="2:9" x14ac:dyDescent="0.15">
      <c r="B2402" s="11"/>
      <c r="C2402" s="11"/>
      <c r="D2402" s="1"/>
      <c r="E2402" s="153"/>
      <c r="F2402" s="153"/>
      <c r="G2402" s="153"/>
      <c r="H2402" s="153"/>
      <c r="I2402" s="327"/>
    </row>
    <row r="2403" spans="2:9" ht="14" thickBot="1" x14ac:dyDescent="0.2">
      <c r="B2403" s="11"/>
      <c r="C2403" s="11"/>
      <c r="D2403" s="1"/>
      <c r="E2403" s="153"/>
      <c r="F2403" s="153"/>
      <c r="G2403" s="153"/>
      <c r="H2403" s="153"/>
      <c r="I2403" s="327"/>
    </row>
    <row r="2404" spans="2:9" ht="21" customHeight="1" x14ac:dyDescent="0.15">
      <c r="B2404" s="607" t="s">
        <v>1065</v>
      </c>
      <c r="C2404" s="608"/>
      <c r="D2404" s="608"/>
      <c r="E2404" s="608"/>
      <c r="F2404" s="609"/>
      <c r="G2404" s="1"/>
      <c r="H2404" s="638" t="s">
        <v>20</v>
      </c>
      <c r="I2404" s="639"/>
    </row>
    <row r="2405" spans="2:9" ht="16.5" customHeight="1" x14ac:dyDescent="0.15">
      <c r="B2405" s="604" t="s">
        <v>446</v>
      </c>
      <c r="C2405" s="605"/>
      <c r="D2405" s="605"/>
      <c r="E2405" s="605"/>
      <c r="F2405" s="606"/>
      <c r="G2405" s="63"/>
      <c r="H2405" s="640"/>
      <c r="I2405" s="641"/>
    </row>
    <row r="2406" spans="2:9" ht="12.75" customHeight="1" x14ac:dyDescent="0.15">
      <c r="B2406" s="610" t="s">
        <v>447</v>
      </c>
      <c r="C2406" s="611"/>
      <c r="D2406" s="611"/>
      <c r="E2406" s="611"/>
      <c r="F2406" s="612"/>
      <c r="G2406" s="63"/>
      <c r="H2406" s="642"/>
      <c r="I2406" s="643"/>
    </row>
    <row r="2407" spans="2:9" ht="16.5" customHeight="1" thickBot="1" x14ac:dyDescent="0.2">
      <c r="B2407" s="613"/>
      <c r="C2407" s="614"/>
      <c r="D2407" s="614"/>
      <c r="E2407" s="614"/>
      <c r="F2407" s="615"/>
      <c r="G2407" s="1"/>
      <c r="H2407" s="676" t="s">
        <v>801</v>
      </c>
      <c r="I2407" s="677"/>
    </row>
    <row r="2408" spans="2:9" ht="14" thickBot="1" x14ac:dyDescent="0.2">
      <c r="B2408" s="15"/>
      <c r="C2408" s="16"/>
      <c r="D2408" s="1"/>
      <c r="E2408" s="1"/>
      <c r="F2408" s="1"/>
      <c r="G2408" s="1"/>
      <c r="H2408" s="678"/>
      <c r="I2408" s="679"/>
    </row>
    <row r="2409" spans="2:9" ht="12.75" customHeight="1" x14ac:dyDescent="0.15">
      <c r="B2409" s="650" t="s">
        <v>890</v>
      </c>
      <c r="C2409" s="651"/>
      <c r="D2409" s="651"/>
      <c r="E2409" s="651"/>
      <c r="F2409" s="652"/>
      <c r="G2409" s="1"/>
      <c r="H2409" s="678"/>
      <c r="I2409" s="679"/>
    </row>
    <row r="2410" spans="2:9" ht="12.75" customHeight="1" x14ac:dyDescent="0.15">
      <c r="B2410" s="653"/>
      <c r="C2410" s="654"/>
      <c r="D2410" s="654"/>
      <c r="E2410" s="654"/>
      <c r="F2410" s="655"/>
      <c r="H2410" s="678"/>
      <c r="I2410" s="679"/>
    </row>
    <row r="2411" spans="2:9" ht="13.5" customHeight="1" x14ac:dyDescent="0.15">
      <c r="B2411" s="653"/>
      <c r="C2411" s="654"/>
      <c r="D2411" s="654"/>
      <c r="E2411" s="654"/>
      <c r="F2411" s="655"/>
      <c r="G2411" s="11"/>
      <c r="H2411" s="680"/>
      <c r="I2411" s="681"/>
    </row>
    <row r="2412" spans="2:9" ht="21.75" customHeight="1" thickBot="1" x14ac:dyDescent="0.2">
      <c r="B2412" s="656"/>
      <c r="C2412" s="657"/>
      <c r="D2412" s="657"/>
      <c r="E2412" s="657"/>
      <c r="F2412" s="658"/>
      <c r="H2412" s="64" t="s">
        <v>45</v>
      </c>
      <c r="I2412" s="17" t="s">
        <v>5</v>
      </c>
    </row>
    <row r="2413" spans="2:9" x14ac:dyDescent="0.15">
      <c r="B2413" s="18"/>
      <c r="C2413" s="18"/>
      <c r="D2413" s="1"/>
      <c r="E2413" s="18"/>
      <c r="F2413" s="18"/>
      <c r="G2413" s="18"/>
      <c r="H2413" s="18"/>
      <c r="I2413" s="1"/>
    </row>
    <row r="2414" spans="2:9" ht="14" thickBot="1" x14ac:dyDescent="0.2">
      <c r="B2414" s="12" t="s">
        <v>21</v>
      </c>
      <c r="C2414" s="12"/>
      <c r="D2414" s="1"/>
      <c r="E2414" s="1"/>
      <c r="F2414" s="1"/>
      <c r="G2414" s="1"/>
      <c r="H2414" s="1"/>
      <c r="I2414" s="1"/>
    </row>
    <row r="2415" spans="2:9" x14ac:dyDescent="0.15">
      <c r="B2415" s="628" t="s">
        <v>22</v>
      </c>
      <c r="C2415" s="629"/>
      <c r="D2415" s="630"/>
      <c r="E2415" s="205" t="s">
        <v>23</v>
      </c>
      <c r="F2415" s="19" t="s">
        <v>47</v>
      </c>
      <c r="G2415" s="205" t="s">
        <v>24</v>
      </c>
      <c r="H2415" s="204" t="s">
        <v>25</v>
      </c>
      <c r="I2415" s="43"/>
    </row>
    <row r="2416" spans="2:9" x14ac:dyDescent="0.15">
      <c r="B2416" s="631" t="s">
        <v>56</v>
      </c>
      <c r="C2416" s="632"/>
      <c r="D2416" s="633"/>
      <c r="E2416" s="5"/>
      <c r="F2416" s="323"/>
      <c r="G2416" s="58"/>
      <c r="H2416" s="319">
        <f>+I2440*0.05</f>
        <v>1453.4697916666667</v>
      </c>
      <c r="I2416" s="44"/>
    </row>
    <row r="2417" spans="2:9" x14ac:dyDescent="0.15">
      <c r="B2417" s="631"/>
      <c r="C2417" s="632"/>
      <c r="D2417" s="633"/>
      <c r="E2417" s="5"/>
      <c r="F2417" s="46"/>
      <c r="G2417" s="20"/>
      <c r="H2417" s="56"/>
      <c r="I2417" s="44"/>
    </row>
    <row r="2418" spans="2:9" ht="14" thickBot="1" x14ac:dyDescent="0.2">
      <c r="B2418" s="634"/>
      <c r="C2418" s="635"/>
      <c r="D2418" s="636"/>
      <c r="E2418" s="21"/>
      <c r="F2418" s="22"/>
      <c r="G2418" s="23"/>
      <c r="H2418" s="47"/>
      <c r="I2418" s="48"/>
    </row>
    <row r="2419" spans="2:9" ht="14" thickBot="1" x14ac:dyDescent="0.2">
      <c r="B2419" s="1"/>
      <c r="C2419" s="1"/>
      <c r="D2419" s="1"/>
      <c r="E2419" s="1"/>
      <c r="F2419" s="1"/>
      <c r="G2419" s="1"/>
      <c r="H2419" s="37" t="s">
        <v>26</v>
      </c>
      <c r="I2419" s="321">
        <f>SUM(H2416:H2418)</f>
        <v>1453.4697916666667</v>
      </c>
    </row>
    <row r="2420" spans="2:9" ht="14" thickBot="1" x14ac:dyDescent="0.2">
      <c r="B2420" s="12" t="s">
        <v>27</v>
      </c>
      <c r="C2420" s="12"/>
      <c r="D2420" s="1"/>
      <c r="E2420" s="1"/>
      <c r="F2420" s="1"/>
      <c r="G2420" s="1"/>
      <c r="H2420" s="1"/>
      <c r="I2420" s="1"/>
    </row>
    <row r="2421" spans="2:9" x14ac:dyDescent="0.15">
      <c r="B2421" s="628" t="s">
        <v>22</v>
      </c>
      <c r="C2421" s="629"/>
      <c r="D2421" s="630"/>
      <c r="E2421" s="205" t="s">
        <v>28</v>
      </c>
      <c r="F2421" s="205" t="s">
        <v>29</v>
      </c>
      <c r="G2421" s="205" t="s">
        <v>30</v>
      </c>
      <c r="H2421" s="59" t="s">
        <v>25</v>
      </c>
      <c r="I2421" s="43"/>
    </row>
    <row r="2422" spans="2:9" x14ac:dyDescent="0.15">
      <c r="B2422" s="4" t="s">
        <v>802</v>
      </c>
      <c r="C2422" s="24"/>
      <c r="D2422" s="6"/>
      <c r="E2422" s="3" t="s">
        <v>5</v>
      </c>
      <c r="F2422" s="387">
        <f>MATERIALES!C49</f>
        <v>35000</v>
      </c>
      <c r="G2422" s="65">
        <v>1</v>
      </c>
      <c r="H2422" s="315">
        <f>G2422*F2422</f>
        <v>35000</v>
      </c>
      <c r="I2422" s="44"/>
    </row>
    <row r="2423" spans="2:9" x14ac:dyDescent="0.15">
      <c r="B2423" s="106" t="s">
        <v>560</v>
      </c>
      <c r="C2423" s="310"/>
      <c r="D2423" s="66"/>
      <c r="E2423" s="5" t="s">
        <v>58</v>
      </c>
      <c r="F2423" s="160">
        <f>MATERIALES!C50</f>
        <v>4500</v>
      </c>
      <c r="G2423" s="65">
        <v>2</v>
      </c>
      <c r="H2423" s="315">
        <f>G2423*F2423</f>
        <v>9000</v>
      </c>
      <c r="I2423" s="44"/>
    </row>
    <row r="2424" spans="2:9" x14ac:dyDescent="0.15">
      <c r="B2424" s="106" t="s">
        <v>561</v>
      </c>
      <c r="C2424" s="310"/>
      <c r="D2424" s="66"/>
      <c r="E2424" s="5" t="s">
        <v>58</v>
      </c>
      <c r="F2424" s="160">
        <f>MATERIALES!C51</f>
        <v>2800</v>
      </c>
      <c r="G2424" s="65">
        <v>4</v>
      </c>
      <c r="H2424" s="315">
        <f>G2424*F2424</f>
        <v>11200</v>
      </c>
      <c r="I2424" s="44"/>
    </row>
    <row r="2425" spans="2:9" x14ac:dyDescent="0.15">
      <c r="B2425" s="106" t="s">
        <v>562</v>
      </c>
      <c r="C2425" s="310"/>
      <c r="D2425" s="66"/>
      <c r="E2425" s="5" t="s">
        <v>58</v>
      </c>
      <c r="F2425" s="323">
        <f>MATERIALES!C10</f>
        <v>850</v>
      </c>
      <c r="G2425" s="65">
        <v>2</v>
      </c>
      <c r="H2425" s="315">
        <f>G2425*F2425</f>
        <v>1700</v>
      </c>
      <c r="I2425" s="44"/>
    </row>
    <row r="2426" spans="2:9" ht="14" thickBot="1" x14ac:dyDescent="0.2">
      <c r="B2426" s="33" t="s">
        <v>161</v>
      </c>
      <c r="C2426" s="34"/>
      <c r="D2426" s="54"/>
      <c r="E2426" s="21" t="s">
        <v>62</v>
      </c>
      <c r="F2426" s="318">
        <f>SUM(H2421:H2425)</f>
        <v>56900</v>
      </c>
      <c r="G2426" s="23">
        <v>0.05</v>
      </c>
      <c r="H2426" s="324">
        <f t="shared" ref="H2426" si="9">G2426*F2426</f>
        <v>2845</v>
      </c>
      <c r="I2426" s="48"/>
    </row>
    <row r="2427" spans="2:9" ht="14" thickBot="1" x14ac:dyDescent="0.2">
      <c r="B2427" s="1"/>
      <c r="C2427" s="1"/>
      <c r="D2427" s="1"/>
      <c r="E2427" s="1"/>
      <c r="F2427" s="1"/>
      <c r="G2427" s="1"/>
      <c r="H2427" s="37" t="s">
        <v>26</v>
      </c>
      <c r="I2427" s="321">
        <f>SUM(H2422:H2426)</f>
        <v>59745</v>
      </c>
    </row>
    <row r="2428" spans="2:9" ht="14" thickBot="1" x14ac:dyDescent="0.2">
      <c r="B2428" s="28" t="s">
        <v>31</v>
      </c>
      <c r="C2428" s="28"/>
      <c r="D2428" s="26"/>
      <c r="E2428" s="1"/>
      <c r="F2428" s="1"/>
      <c r="G2428" s="1"/>
      <c r="H2428" s="1"/>
      <c r="I2428" s="1"/>
    </row>
    <row r="2429" spans="2:9" x14ac:dyDescent="0.15">
      <c r="B2429" s="51" t="s">
        <v>32</v>
      </c>
      <c r="C2429" s="52"/>
      <c r="D2429" s="291" t="s">
        <v>33</v>
      </c>
      <c r="E2429" s="205" t="s">
        <v>34</v>
      </c>
      <c r="F2429" s="205" t="s">
        <v>35</v>
      </c>
      <c r="G2429" s="205" t="s">
        <v>36</v>
      </c>
      <c r="H2429" s="59" t="s">
        <v>25</v>
      </c>
      <c r="I2429" s="43"/>
    </row>
    <row r="2430" spans="2:9" x14ac:dyDescent="0.15">
      <c r="B2430" s="4" t="s">
        <v>79</v>
      </c>
      <c r="C2430" s="6"/>
      <c r="D2430" s="53">
        <v>0.05</v>
      </c>
      <c r="E2430" s="2">
        <v>15</v>
      </c>
      <c r="F2430" s="2">
        <f>E2430*D2430</f>
        <v>0.75</v>
      </c>
      <c r="G2430" s="160">
        <v>1100</v>
      </c>
      <c r="H2430" s="20">
        <f>G2430*F2430</f>
        <v>825</v>
      </c>
      <c r="I2430" s="44"/>
    </row>
    <row r="2431" spans="2:9" x14ac:dyDescent="0.15">
      <c r="B2431" s="310"/>
      <c r="C2431" s="66"/>
      <c r="D2431" s="67"/>
      <c r="E2431" s="68"/>
      <c r="F2431" s="68"/>
      <c r="G2431" s="69"/>
      <c r="H2431" s="65"/>
      <c r="I2431" s="44"/>
    </row>
    <row r="2432" spans="2:9" ht="14" thickBot="1" x14ac:dyDescent="0.2">
      <c r="B2432" s="33"/>
      <c r="C2432" s="54"/>
      <c r="D2432" s="21"/>
      <c r="E2432" s="22"/>
      <c r="F2432" s="23"/>
      <c r="G2432" s="47"/>
      <c r="H2432" s="21"/>
      <c r="I2432" s="44"/>
    </row>
    <row r="2433" spans="2:9" ht="14" thickBot="1" x14ac:dyDescent="0.2">
      <c r="B2433" s="1"/>
      <c r="C2433" s="1"/>
      <c r="D2433" s="1"/>
      <c r="E2433" s="1"/>
      <c r="F2433" s="1"/>
      <c r="G2433" s="1"/>
      <c r="H2433" s="37" t="s">
        <v>26</v>
      </c>
      <c r="I2433" s="321">
        <f>SUM(H2430:H2432)</f>
        <v>825</v>
      </c>
    </row>
    <row r="2434" spans="2:9" ht="14" thickBot="1" x14ac:dyDescent="0.2">
      <c r="B2434" s="28" t="s">
        <v>37</v>
      </c>
      <c r="C2434" s="28"/>
      <c r="D2434" s="1"/>
      <c r="E2434" s="1"/>
      <c r="F2434" s="1"/>
      <c r="G2434" s="1"/>
      <c r="H2434" s="1"/>
      <c r="I2434" s="1"/>
    </row>
    <row r="2435" spans="2:9" x14ac:dyDescent="0.15">
      <c r="B2435" s="51" t="s">
        <v>38</v>
      </c>
      <c r="C2435" s="86"/>
      <c r="D2435" s="31" t="s">
        <v>39</v>
      </c>
      <c r="E2435" s="205" t="s">
        <v>40</v>
      </c>
      <c r="F2435" s="19" t="s">
        <v>41</v>
      </c>
      <c r="G2435" s="31" t="s">
        <v>24</v>
      </c>
      <c r="H2435" s="204" t="s">
        <v>25</v>
      </c>
      <c r="I2435" s="43"/>
    </row>
    <row r="2436" spans="2:9" x14ac:dyDescent="0.15">
      <c r="B2436" s="4" t="s">
        <v>65</v>
      </c>
      <c r="C2436" s="24"/>
      <c r="D2436" s="32">
        <f>'MANO DE OBRA'!E15</f>
        <v>95333</v>
      </c>
      <c r="E2436" s="166">
        <v>1.75</v>
      </c>
      <c r="F2436" s="314">
        <f>+E2436*D2436</f>
        <v>166832.75</v>
      </c>
      <c r="G2436" s="20">
        <v>12</v>
      </c>
      <c r="H2436" s="315">
        <f>+F2436/G2436</f>
        <v>13902.729166666666</v>
      </c>
      <c r="I2436" s="44"/>
    </row>
    <row r="2437" spans="2:9" x14ac:dyDescent="0.15">
      <c r="B2437" s="4" t="s">
        <v>55</v>
      </c>
      <c r="C2437" s="24"/>
      <c r="D2437" s="32">
        <f>'MANO DE OBRA'!E14*2</f>
        <v>104000</v>
      </c>
      <c r="E2437" s="166">
        <v>1.75</v>
      </c>
      <c r="F2437" s="314">
        <f>+E2437*D2437</f>
        <v>182000</v>
      </c>
      <c r="G2437" s="20">
        <v>12</v>
      </c>
      <c r="H2437" s="315">
        <f>+F2437/G2437</f>
        <v>15166.666666666666</v>
      </c>
      <c r="I2437" s="44"/>
    </row>
    <row r="2438" spans="2:9" x14ac:dyDescent="0.15">
      <c r="B2438" s="4"/>
      <c r="C2438" s="24"/>
      <c r="D2438" s="32"/>
      <c r="E2438" s="166"/>
      <c r="F2438" s="20"/>
      <c r="G2438" s="20"/>
      <c r="H2438" s="55"/>
      <c r="I2438" s="44"/>
    </row>
    <row r="2439" spans="2:9" ht="14" thickBot="1" x14ac:dyDescent="0.2">
      <c r="B2439" s="33"/>
      <c r="C2439" s="34"/>
      <c r="D2439" s="22"/>
      <c r="E2439" s="21"/>
      <c r="F2439" s="22"/>
      <c r="G2439" s="23"/>
      <c r="H2439" s="47"/>
      <c r="I2439" s="48"/>
    </row>
    <row r="2440" spans="2:9" ht="14" thickBot="1" x14ac:dyDescent="0.2">
      <c r="B2440" s="1"/>
      <c r="C2440" s="1"/>
      <c r="D2440" s="1"/>
      <c r="E2440" s="1"/>
      <c r="F2440" s="1"/>
      <c r="G2440" s="1"/>
      <c r="H2440" s="37" t="s">
        <v>26</v>
      </c>
      <c r="I2440" s="317">
        <f>SUM(H2436:H2439)</f>
        <v>29069.395833333332</v>
      </c>
    </row>
    <row r="2441" spans="2:9" ht="14" thickBot="1" x14ac:dyDescent="0.2">
      <c r="B2441" s="1"/>
      <c r="C2441" s="1"/>
      <c r="D2441" s="1"/>
      <c r="E2441" s="1"/>
      <c r="F2441" s="1"/>
      <c r="G2441" s="1"/>
      <c r="H2441" s="61"/>
      <c r="I2441" s="1"/>
    </row>
    <row r="2442" spans="2:9" ht="15" thickBot="1" x14ac:dyDescent="0.2">
      <c r="B2442" s="1"/>
      <c r="C2442" s="1"/>
      <c r="D2442" s="1"/>
      <c r="E2442" s="1"/>
      <c r="F2442" s="35" t="s">
        <v>43</v>
      </c>
      <c r="G2442" s="16"/>
      <c r="H2442" s="16"/>
      <c r="I2442" s="325">
        <f>ROUND((I2419+I2427+I2433+I2440),0)</f>
        <v>91093</v>
      </c>
    </row>
    <row r="2443" spans="2:9" x14ac:dyDescent="0.15">
      <c r="B2443" s="11"/>
      <c r="C2443" s="11"/>
      <c r="D2443" s="1"/>
      <c r="E2443" s="153"/>
      <c r="F2443" s="153"/>
      <c r="G2443" s="153"/>
      <c r="H2443" s="153"/>
      <c r="I2443" s="327"/>
    </row>
    <row r="2444" spans="2:9" x14ac:dyDescent="0.15">
      <c r="B2444" s="11"/>
      <c r="C2444" s="11"/>
      <c r="D2444" s="1"/>
      <c r="E2444" s="153"/>
      <c r="F2444" s="153"/>
      <c r="G2444" s="153"/>
      <c r="H2444" s="153"/>
      <c r="I2444" s="327"/>
    </row>
    <row r="2445" spans="2:9" x14ac:dyDescent="0.15">
      <c r="B2445" s="11"/>
      <c r="C2445" s="11"/>
      <c r="D2445" s="1"/>
      <c r="E2445" s="153"/>
      <c r="F2445" s="153"/>
      <c r="G2445" s="153"/>
      <c r="H2445" s="153"/>
      <c r="I2445" s="327"/>
    </row>
    <row r="2446" spans="2:9" x14ac:dyDescent="0.15">
      <c r="B2446" s="11"/>
      <c r="C2446" s="11"/>
      <c r="D2446" s="1"/>
      <c r="E2446" s="153"/>
      <c r="F2446" s="153"/>
      <c r="G2446" s="153"/>
      <c r="H2446" s="153"/>
      <c r="I2446" s="327"/>
    </row>
    <row r="2447" spans="2:9" x14ac:dyDescent="0.15">
      <c r="B2447" s="11"/>
      <c r="C2447" s="11"/>
      <c r="D2447" s="1"/>
      <c r="E2447" s="153"/>
      <c r="F2447" s="153"/>
      <c r="G2447" s="153"/>
      <c r="H2447" s="153"/>
      <c r="I2447" s="327"/>
    </row>
    <row r="2448" spans="2:9" x14ac:dyDescent="0.15">
      <c r="B2448" s="11"/>
      <c r="C2448" s="11"/>
      <c r="D2448" s="1"/>
      <c r="E2448" s="153"/>
      <c r="F2448" s="153"/>
      <c r="G2448" s="153"/>
      <c r="H2448" s="153"/>
      <c r="I2448" s="327"/>
    </row>
    <row r="2449" spans="2:9" x14ac:dyDescent="0.15">
      <c r="B2449" s="11"/>
      <c r="C2449" s="11"/>
      <c r="D2449" s="1"/>
      <c r="E2449" s="153"/>
      <c r="F2449" s="153"/>
      <c r="G2449" s="153"/>
      <c r="H2449" s="153"/>
      <c r="I2449" s="327"/>
    </row>
    <row r="2450" spans="2:9" x14ac:dyDescent="0.15">
      <c r="B2450" s="11"/>
      <c r="C2450" s="11"/>
      <c r="D2450" s="1"/>
      <c r="E2450" s="153"/>
      <c r="F2450" s="153"/>
      <c r="G2450" s="153"/>
      <c r="H2450" s="153"/>
      <c r="I2450" s="327"/>
    </row>
    <row r="2451" spans="2:9" x14ac:dyDescent="0.15">
      <c r="B2451" s="11"/>
      <c r="C2451" s="11"/>
      <c r="D2451" s="1"/>
      <c r="E2451" s="153"/>
      <c r="F2451" s="153"/>
      <c r="G2451" s="153"/>
      <c r="H2451" s="153"/>
      <c r="I2451" s="327"/>
    </row>
    <row r="2452" spans="2:9" x14ac:dyDescent="0.15">
      <c r="B2452" s="11"/>
      <c r="C2452" s="11"/>
      <c r="D2452" s="1"/>
      <c r="E2452" s="153"/>
      <c r="F2452" s="153"/>
      <c r="G2452" s="153"/>
      <c r="H2452" s="153"/>
      <c r="I2452" s="327"/>
    </row>
    <row r="2453" spans="2:9" x14ac:dyDescent="0.15">
      <c r="B2453" s="11"/>
      <c r="C2453" s="11"/>
      <c r="D2453" s="1"/>
      <c r="E2453" s="153"/>
      <c r="F2453" s="153"/>
      <c r="G2453" s="153"/>
      <c r="H2453" s="153"/>
      <c r="I2453" s="327"/>
    </row>
    <row r="2454" spans="2:9" x14ac:dyDescent="0.15">
      <c r="B2454" s="11"/>
      <c r="C2454" s="11"/>
      <c r="D2454" s="1"/>
      <c r="E2454" s="153"/>
      <c r="F2454" s="153"/>
      <c r="G2454" s="153"/>
      <c r="H2454" s="153"/>
      <c r="I2454" s="327"/>
    </row>
    <row r="2455" spans="2:9" x14ac:dyDescent="0.15">
      <c r="B2455" s="11"/>
      <c r="C2455" s="11"/>
      <c r="D2455" s="1"/>
      <c r="E2455" s="153"/>
      <c r="F2455" s="153"/>
      <c r="G2455" s="153"/>
      <c r="H2455" s="153"/>
      <c r="I2455" s="327"/>
    </row>
    <row r="2456" spans="2:9" x14ac:dyDescent="0.15">
      <c r="B2456" s="11"/>
      <c r="C2456" s="11"/>
      <c r="D2456" s="1"/>
      <c r="E2456" s="153"/>
      <c r="F2456" s="153"/>
      <c r="G2456" s="153"/>
      <c r="H2456" s="153"/>
      <c r="I2456" s="327"/>
    </row>
    <row r="2457" spans="2:9" x14ac:dyDescent="0.15">
      <c r="B2457" s="11"/>
      <c r="C2457" s="11"/>
      <c r="D2457" s="1"/>
      <c r="E2457" s="153"/>
      <c r="F2457" s="153"/>
      <c r="G2457" s="153"/>
      <c r="H2457" s="153"/>
      <c r="I2457" s="327"/>
    </row>
    <row r="2458" spans="2:9" x14ac:dyDescent="0.15">
      <c r="B2458" s="11"/>
      <c r="C2458" s="11"/>
      <c r="D2458" s="1"/>
      <c r="E2458" s="153"/>
      <c r="F2458" s="153"/>
      <c r="G2458" s="153"/>
      <c r="H2458" s="153"/>
      <c r="I2458" s="327"/>
    </row>
    <row r="2459" spans="2:9" x14ac:dyDescent="0.15">
      <c r="B2459" s="11"/>
      <c r="C2459" s="11"/>
      <c r="D2459" s="1"/>
      <c r="E2459" s="153"/>
      <c r="F2459" s="153"/>
      <c r="G2459" s="153"/>
      <c r="H2459" s="153"/>
      <c r="I2459" s="327"/>
    </row>
    <row r="2460" spans="2:9" x14ac:dyDescent="0.15">
      <c r="B2460" s="11"/>
      <c r="C2460" s="11"/>
      <c r="D2460" s="1"/>
      <c r="E2460" s="153"/>
      <c r="F2460" s="153"/>
      <c r="G2460" s="153"/>
      <c r="H2460" s="153"/>
      <c r="I2460" s="327"/>
    </row>
    <row r="2461" spans="2:9" x14ac:dyDescent="0.15">
      <c r="B2461" s="11"/>
      <c r="C2461" s="11"/>
      <c r="D2461" s="1"/>
      <c r="E2461" s="153"/>
      <c r="F2461" s="153"/>
      <c r="G2461" s="153"/>
      <c r="H2461" s="153"/>
      <c r="I2461" s="327"/>
    </row>
    <row r="2462" spans="2:9" x14ac:dyDescent="0.15">
      <c r="B2462" s="11"/>
      <c r="C2462" s="11"/>
      <c r="D2462" s="1"/>
      <c r="E2462" s="153"/>
      <c r="F2462" s="153"/>
      <c r="G2462" s="153"/>
      <c r="H2462" s="153"/>
      <c r="I2462" s="327"/>
    </row>
    <row r="2463" spans="2:9" x14ac:dyDescent="0.15">
      <c r="B2463" s="11"/>
      <c r="C2463" s="11"/>
      <c r="D2463" s="1"/>
      <c r="E2463" s="153"/>
      <c r="F2463" s="153"/>
      <c r="G2463" s="153"/>
      <c r="H2463" s="153"/>
      <c r="I2463" s="327"/>
    </row>
    <row r="2464" spans="2:9" x14ac:dyDescent="0.15">
      <c r="B2464" s="11"/>
      <c r="C2464" s="11"/>
      <c r="D2464" s="1"/>
      <c r="E2464" s="153"/>
      <c r="F2464" s="153"/>
      <c r="G2464" s="153"/>
      <c r="H2464" s="153"/>
      <c r="I2464" s="327"/>
    </row>
    <row r="2465" spans="2:9" ht="14" thickBot="1" x14ac:dyDescent="0.2">
      <c r="B2465" s="11"/>
      <c r="C2465" s="11"/>
      <c r="D2465" s="1"/>
      <c r="E2465" s="153"/>
      <c r="F2465" s="153"/>
      <c r="G2465" s="153"/>
      <c r="H2465" s="153"/>
      <c r="I2465" s="327"/>
    </row>
    <row r="2466" spans="2:9" ht="21" customHeight="1" x14ac:dyDescent="0.15">
      <c r="B2466" s="607" t="s">
        <v>1065</v>
      </c>
      <c r="C2466" s="608"/>
      <c r="D2466" s="608"/>
      <c r="E2466" s="608"/>
      <c r="F2466" s="609"/>
      <c r="G2466" s="1"/>
      <c r="H2466" s="638" t="s">
        <v>20</v>
      </c>
      <c r="I2466" s="639"/>
    </row>
    <row r="2467" spans="2:9" ht="16.5" customHeight="1" x14ac:dyDescent="0.15">
      <c r="B2467" s="604" t="s">
        <v>446</v>
      </c>
      <c r="C2467" s="605"/>
      <c r="D2467" s="605"/>
      <c r="E2467" s="605"/>
      <c r="F2467" s="606"/>
      <c r="G2467" s="63"/>
      <c r="H2467" s="640"/>
      <c r="I2467" s="641"/>
    </row>
    <row r="2468" spans="2:9" ht="12.75" customHeight="1" x14ac:dyDescent="0.15">
      <c r="B2468" s="610" t="s">
        <v>447</v>
      </c>
      <c r="C2468" s="611"/>
      <c r="D2468" s="611"/>
      <c r="E2468" s="611"/>
      <c r="F2468" s="612"/>
      <c r="G2468" s="63"/>
      <c r="H2468" s="642"/>
      <c r="I2468" s="643"/>
    </row>
    <row r="2469" spans="2:9" ht="16.5" customHeight="1" thickBot="1" x14ac:dyDescent="0.2">
      <c r="B2469" s="613"/>
      <c r="C2469" s="614"/>
      <c r="D2469" s="614"/>
      <c r="E2469" s="614"/>
      <c r="F2469" s="615"/>
      <c r="G2469" s="1"/>
      <c r="H2469" s="692" t="s">
        <v>977</v>
      </c>
      <c r="I2469" s="693"/>
    </row>
    <row r="2470" spans="2:9" ht="13.5" customHeight="1" thickBot="1" x14ac:dyDescent="0.2">
      <c r="B2470" s="15"/>
      <c r="C2470" s="16"/>
      <c r="D2470" s="1"/>
      <c r="E2470" s="1"/>
      <c r="F2470" s="1"/>
      <c r="G2470" s="1"/>
      <c r="H2470" s="694"/>
      <c r="I2470" s="695"/>
    </row>
    <row r="2471" spans="2:9" ht="12.75" customHeight="1" x14ac:dyDescent="0.15">
      <c r="B2471" s="650" t="s">
        <v>890</v>
      </c>
      <c r="C2471" s="651"/>
      <c r="D2471" s="651"/>
      <c r="E2471" s="651"/>
      <c r="F2471" s="652"/>
      <c r="G2471" s="1"/>
      <c r="H2471" s="694"/>
      <c r="I2471" s="695"/>
    </row>
    <row r="2472" spans="2:9" ht="12.75" customHeight="1" x14ac:dyDescent="0.15">
      <c r="B2472" s="653"/>
      <c r="C2472" s="654"/>
      <c r="D2472" s="654"/>
      <c r="E2472" s="654"/>
      <c r="F2472" s="655"/>
      <c r="H2472" s="694"/>
      <c r="I2472" s="695"/>
    </row>
    <row r="2473" spans="2:9" ht="13.5" customHeight="1" x14ac:dyDescent="0.15">
      <c r="B2473" s="653"/>
      <c r="C2473" s="654"/>
      <c r="D2473" s="654"/>
      <c r="E2473" s="654"/>
      <c r="F2473" s="655"/>
      <c r="G2473" s="11"/>
      <c r="H2473" s="696"/>
      <c r="I2473" s="697"/>
    </row>
    <row r="2474" spans="2:9" ht="21.75" customHeight="1" thickBot="1" x14ac:dyDescent="0.2">
      <c r="B2474" s="656"/>
      <c r="C2474" s="657"/>
      <c r="D2474" s="657"/>
      <c r="E2474" s="657"/>
      <c r="F2474" s="658"/>
      <c r="H2474" s="64" t="s">
        <v>45</v>
      </c>
      <c r="I2474" s="17" t="s">
        <v>316</v>
      </c>
    </row>
    <row r="2475" spans="2:9" x14ac:dyDescent="0.15">
      <c r="B2475" s="18"/>
      <c r="C2475" s="18"/>
      <c r="D2475" s="1"/>
      <c r="E2475" s="18"/>
      <c r="F2475" s="18"/>
      <c r="G2475" s="18"/>
      <c r="H2475" s="18"/>
      <c r="I2475" s="1"/>
    </row>
    <row r="2476" spans="2:9" ht="14" thickBot="1" x14ac:dyDescent="0.2">
      <c r="B2476" s="12" t="s">
        <v>21</v>
      </c>
      <c r="C2476" s="12"/>
      <c r="D2476" s="1"/>
      <c r="E2476" s="1"/>
      <c r="F2476" s="1"/>
      <c r="G2476" s="1"/>
      <c r="H2476" s="1"/>
      <c r="I2476" s="1"/>
    </row>
    <row r="2477" spans="2:9" x14ac:dyDescent="0.15">
      <c r="B2477" s="628" t="s">
        <v>22</v>
      </c>
      <c r="C2477" s="629"/>
      <c r="D2477" s="630"/>
      <c r="E2477" s="205" t="s">
        <v>23</v>
      </c>
      <c r="F2477" s="19" t="s">
        <v>47</v>
      </c>
      <c r="G2477" s="205" t="s">
        <v>24</v>
      </c>
      <c r="H2477" s="204" t="s">
        <v>25</v>
      </c>
      <c r="I2477" s="43"/>
    </row>
    <row r="2478" spans="2:9" x14ac:dyDescent="0.15">
      <c r="B2478" s="631" t="s">
        <v>56</v>
      </c>
      <c r="C2478" s="632"/>
      <c r="D2478" s="633"/>
      <c r="E2478" s="5"/>
      <c r="F2478" s="160"/>
      <c r="G2478" s="58"/>
      <c r="H2478" s="160">
        <v>350</v>
      </c>
      <c r="I2478" s="44"/>
    </row>
    <row r="2479" spans="2:9" ht="14" thickBot="1" x14ac:dyDescent="0.2">
      <c r="B2479" s="634"/>
      <c r="C2479" s="635"/>
      <c r="D2479" s="636"/>
      <c r="E2479" s="21"/>
      <c r="F2479" s="22"/>
      <c r="G2479" s="23"/>
      <c r="H2479" s="47"/>
      <c r="I2479" s="48"/>
    </row>
    <row r="2480" spans="2:9" ht="14" thickBot="1" x14ac:dyDescent="0.2">
      <c r="B2480" s="1"/>
      <c r="C2480" s="1"/>
      <c r="D2480" s="1"/>
      <c r="E2480" s="1"/>
      <c r="F2480" s="1"/>
      <c r="G2480" s="1"/>
      <c r="H2480" s="37" t="s">
        <v>26</v>
      </c>
      <c r="I2480" s="161">
        <f>SUM(H2478:H2479)</f>
        <v>350</v>
      </c>
    </row>
    <row r="2481" spans="2:9" ht="14" thickBot="1" x14ac:dyDescent="0.2">
      <c r="B2481" s="12" t="s">
        <v>27</v>
      </c>
      <c r="C2481" s="12"/>
      <c r="D2481" s="1"/>
      <c r="E2481" s="1"/>
      <c r="F2481" s="1"/>
      <c r="G2481" s="1"/>
      <c r="H2481" s="1"/>
      <c r="I2481" s="1"/>
    </row>
    <row r="2482" spans="2:9" x14ac:dyDescent="0.15">
      <c r="B2482" s="628" t="s">
        <v>22</v>
      </c>
      <c r="C2482" s="629"/>
      <c r="D2482" s="630"/>
      <c r="E2482" s="205" t="s">
        <v>28</v>
      </c>
      <c r="F2482" s="205" t="s">
        <v>29</v>
      </c>
      <c r="G2482" s="205" t="s">
        <v>30</v>
      </c>
      <c r="H2482" s="204" t="s">
        <v>25</v>
      </c>
      <c r="I2482" s="43"/>
    </row>
    <row r="2483" spans="2:9" x14ac:dyDescent="0.15">
      <c r="B2483" s="4" t="s">
        <v>686</v>
      </c>
      <c r="C2483" s="24"/>
      <c r="D2483" s="6"/>
      <c r="E2483" s="3" t="s">
        <v>193</v>
      </c>
      <c r="F2483" s="164">
        <f>MATERIALES!C77</f>
        <v>650000</v>
      </c>
      <c r="G2483" s="65">
        <v>1</v>
      </c>
      <c r="H2483" s="163">
        <f>G2483*F2483</f>
        <v>650000</v>
      </c>
      <c r="I2483" s="44"/>
    </row>
    <row r="2484" spans="2:9" x14ac:dyDescent="0.15">
      <c r="B2484" s="80" t="s">
        <v>283</v>
      </c>
      <c r="C2484" s="81"/>
      <c r="D2484" s="388"/>
      <c r="E2484" s="74" t="s">
        <v>316</v>
      </c>
      <c r="F2484" s="164">
        <f>MATERIALES!C79</f>
        <v>106515</v>
      </c>
      <c r="G2484" s="65">
        <v>1</v>
      </c>
      <c r="H2484" s="163">
        <f>G2484*F2484</f>
        <v>106515</v>
      </c>
      <c r="I2484" s="44"/>
    </row>
    <row r="2485" spans="2:9" x14ac:dyDescent="0.15">
      <c r="B2485" s="4" t="s">
        <v>284</v>
      </c>
      <c r="C2485" s="24"/>
      <c r="D2485" s="6"/>
      <c r="E2485" s="3" t="s">
        <v>193</v>
      </c>
      <c r="F2485" s="162">
        <f>MATERIALES!C74</f>
        <v>7210</v>
      </c>
      <c r="G2485" s="65">
        <v>2</v>
      </c>
      <c r="H2485" s="163">
        <f t="shared" ref="H2485:H2488" si="10">G2485*F2485</f>
        <v>14420</v>
      </c>
      <c r="I2485" s="44"/>
    </row>
    <row r="2486" spans="2:9" x14ac:dyDescent="0.15">
      <c r="B2486" s="4" t="s">
        <v>285</v>
      </c>
      <c r="C2486" s="24"/>
      <c r="D2486" s="6"/>
      <c r="E2486" s="3" t="s">
        <v>316</v>
      </c>
      <c r="F2486" s="162">
        <f>MATERIALES!C80</f>
        <v>13800</v>
      </c>
      <c r="G2486" s="65">
        <v>1</v>
      </c>
      <c r="H2486" s="163">
        <f t="shared" si="10"/>
        <v>13800</v>
      </c>
      <c r="I2486" s="44"/>
    </row>
    <row r="2487" spans="2:9" x14ac:dyDescent="0.15">
      <c r="B2487" s="4" t="s">
        <v>286</v>
      </c>
      <c r="C2487" s="24"/>
      <c r="D2487" s="6"/>
      <c r="E2487" s="3" t="s">
        <v>316</v>
      </c>
      <c r="F2487" s="162">
        <f>MATERIALES!C81</f>
        <v>19600</v>
      </c>
      <c r="G2487" s="65">
        <v>1</v>
      </c>
      <c r="H2487" s="163">
        <f t="shared" si="10"/>
        <v>19600</v>
      </c>
      <c r="I2487" s="44"/>
    </row>
    <row r="2488" spans="2:9" x14ac:dyDescent="0.15">
      <c r="B2488" s="4" t="s">
        <v>685</v>
      </c>
      <c r="C2488" s="24"/>
      <c r="D2488" s="6"/>
      <c r="E2488" s="3" t="s">
        <v>316</v>
      </c>
      <c r="F2488" s="162">
        <f>MATERIALES!C66</f>
        <v>3700</v>
      </c>
      <c r="G2488" s="65">
        <v>1</v>
      </c>
      <c r="H2488" s="163">
        <f t="shared" si="10"/>
        <v>3700</v>
      </c>
      <c r="I2488" s="44"/>
    </row>
    <row r="2489" spans="2:9" x14ac:dyDescent="0.15">
      <c r="B2489" s="4" t="s">
        <v>568</v>
      </c>
      <c r="C2489" s="24"/>
      <c r="D2489" s="6"/>
      <c r="E2489" s="3" t="s">
        <v>77</v>
      </c>
      <c r="F2489" s="162">
        <f>MATERIALES!C27</f>
        <v>286200</v>
      </c>
      <c r="G2489" s="65">
        <v>0.02</v>
      </c>
      <c r="H2489" s="163">
        <f>G2489*F2489</f>
        <v>5724</v>
      </c>
      <c r="I2489" s="44"/>
    </row>
    <row r="2490" spans="2:9" ht="14" thickBot="1" x14ac:dyDescent="0.2">
      <c r="B2490" s="25"/>
      <c r="C2490" s="26"/>
      <c r="D2490" s="27"/>
      <c r="E2490" s="21"/>
      <c r="F2490" s="22"/>
      <c r="G2490" s="165"/>
      <c r="H2490" s="47"/>
      <c r="I2490" s="48"/>
    </row>
    <row r="2491" spans="2:9" ht="14" thickBot="1" x14ac:dyDescent="0.2">
      <c r="B2491" s="1"/>
      <c r="C2491" s="1"/>
      <c r="D2491" s="1"/>
      <c r="E2491" s="1"/>
      <c r="F2491" s="1"/>
      <c r="G2491" s="1"/>
      <c r="H2491" s="37" t="s">
        <v>26</v>
      </c>
      <c r="I2491" s="161">
        <f>SUM(H2483:H2489)</f>
        <v>813759</v>
      </c>
    </row>
    <row r="2492" spans="2:9" ht="14" thickBot="1" x14ac:dyDescent="0.2">
      <c r="B2492" s="28" t="s">
        <v>31</v>
      </c>
      <c r="C2492" s="28"/>
      <c r="D2492" s="26"/>
      <c r="E2492" s="1"/>
      <c r="F2492" s="1"/>
      <c r="G2492" s="1"/>
      <c r="H2492" s="1"/>
      <c r="I2492" s="1"/>
    </row>
    <row r="2493" spans="2:9" x14ac:dyDescent="0.15">
      <c r="B2493" s="51" t="s">
        <v>32</v>
      </c>
      <c r="C2493" s="52"/>
      <c r="D2493" s="96" t="s">
        <v>33</v>
      </c>
      <c r="E2493" s="205" t="s">
        <v>34</v>
      </c>
      <c r="F2493" s="205" t="s">
        <v>35</v>
      </c>
      <c r="G2493" s="205" t="s">
        <v>36</v>
      </c>
      <c r="H2493" s="59" t="s">
        <v>25</v>
      </c>
      <c r="I2493" s="43"/>
    </row>
    <row r="2494" spans="2:9" x14ac:dyDescent="0.15">
      <c r="B2494" s="4" t="s">
        <v>79</v>
      </c>
      <c r="C2494" s="6"/>
      <c r="D2494" s="53">
        <v>1</v>
      </c>
      <c r="E2494" s="2">
        <v>15</v>
      </c>
      <c r="F2494" s="2">
        <f>E2494*D2494</f>
        <v>15</v>
      </c>
      <c r="G2494" s="65">
        <v>1100</v>
      </c>
      <c r="H2494" s="20">
        <f>G2494*F2494</f>
        <v>16500</v>
      </c>
      <c r="I2494" s="44"/>
    </row>
    <row r="2495" spans="2:9" ht="14" thickBot="1" x14ac:dyDescent="0.2">
      <c r="B2495" s="33"/>
      <c r="C2495" s="54"/>
      <c r="D2495" s="21"/>
      <c r="E2495" s="22"/>
      <c r="F2495" s="23"/>
      <c r="G2495" s="47"/>
      <c r="H2495" s="21"/>
      <c r="I2495" s="48"/>
    </row>
    <row r="2496" spans="2:9" ht="14" thickBot="1" x14ac:dyDescent="0.2">
      <c r="B2496" s="1"/>
      <c r="C2496" s="1"/>
      <c r="D2496" s="1"/>
      <c r="E2496" s="1"/>
      <c r="F2496" s="1"/>
      <c r="G2496" s="1"/>
      <c r="H2496" s="37" t="s">
        <v>26</v>
      </c>
      <c r="I2496" s="161">
        <f>SUM(H2494:H2495)</f>
        <v>16500</v>
      </c>
    </row>
    <row r="2497" spans="1:10" ht="14" thickBot="1" x14ac:dyDescent="0.2">
      <c r="B2497" s="28" t="s">
        <v>37</v>
      </c>
      <c r="C2497" s="28"/>
      <c r="D2497" s="1"/>
      <c r="E2497" s="1"/>
      <c r="F2497" s="1"/>
      <c r="G2497" s="1"/>
      <c r="H2497" s="1"/>
      <c r="I2497" s="1"/>
    </row>
    <row r="2498" spans="1:10" x14ac:dyDescent="0.15">
      <c r="B2498" s="51" t="s">
        <v>38</v>
      </c>
      <c r="C2498" s="86"/>
      <c r="D2498" s="31" t="s">
        <v>39</v>
      </c>
      <c r="E2498" s="205" t="s">
        <v>40</v>
      </c>
      <c r="F2498" s="19" t="s">
        <v>41</v>
      </c>
      <c r="G2498" s="31" t="s">
        <v>24</v>
      </c>
      <c r="H2498" s="204" t="s">
        <v>25</v>
      </c>
      <c r="I2498" s="43"/>
    </row>
    <row r="2499" spans="1:10" x14ac:dyDescent="0.15">
      <c r="B2499" s="4" t="s">
        <v>65</v>
      </c>
      <c r="C2499" s="24"/>
      <c r="D2499" s="32">
        <f>'MANO DE OBRA'!E15</f>
        <v>95333</v>
      </c>
      <c r="E2499" s="88">
        <v>1.75</v>
      </c>
      <c r="F2499" s="162">
        <f>+E2499*D2499</f>
        <v>166832.75</v>
      </c>
      <c r="G2499" s="79">
        <v>2.5</v>
      </c>
      <c r="H2499" s="167">
        <f>+F2499/G2499</f>
        <v>66733.100000000006</v>
      </c>
      <c r="I2499" s="44"/>
    </row>
    <row r="2500" spans="1:10" x14ac:dyDescent="0.15">
      <c r="A2500" s="330"/>
      <c r="B2500" s="80" t="s">
        <v>55</v>
      </c>
      <c r="C2500" s="24"/>
      <c r="D2500" s="32">
        <f>'MANO DE OBRA'!E14*2</f>
        <v>104000</v>
      </c>
      <c r="E2500" s="88">
        <v>1.75</v>
      </c>
      <c r="F2500" s="162">
        <f>+E2500*D2500</f>
        <v>182000</v>
      </c>
      <c r="G2500" s="79">
        <v>2.5</v>
      </c>
      <c r="H2500" s="167">
        <f>+F2500/G2500</f>
        <v>72800</v>
      </c>
      <c r="I2500" s="44"/>
      <c r="J2500" s="330"/>
    </row>
    <row r="2501" spans="1:10" ht="14" thickBot="1" x14ac:dyDescent="0.2">
      <c r="B2501" s="33"/>
      <c r="C2501" s="34"/>
      <c r="D2501" s="22"/>
      <c r="E2501" s="21"/>
      <c r="F2501" s="22"/>
      <c r="G2501" s="23"/>
      <c r="H2501" s="47"/>
      <c r="I2501" s="48"/>
    </row>
    <row r="2502" spans="1:10" ht="14" thickBot="1" x14ac:dyDescent="0.2">
      <c r="B2502" s="1"/>
      <c r="C2502" s="1"/>
      <c r="D2502" s="1"/>
      <c r="E2502" s="1"/>
      <c r="F2502" s="1"/>
      <c r="G2502" s="1"/>
      <c r="H2502" s="37" t="s">
        <v>26</v>
      </c>
      <c r="I2502" s="175">
        <f>SUM(H2499:H2501)</f>
        <v>139533.1</v>
      </c>
    </row>
    <row r="2503" spans="1:10" ht="14" thickBot="1" x14ac:dyDescent="0.2">
      <c r="B2503" s="1"/>
      <c r="C2503" s="1"/>
      <c r="D2503" s="1"/>
      <c r="E2503" s="1"/>
      <c r="F2503" s="1"/>
      <c r="G2503" s="1"/>
      <c r="H2503" s="61"/>
      <c r="I2503" s="1"/>
    </row>
    <row r="2504" spans="1:10" ht="15" thickBot="1" x14ac:dyDescent="0.2">
      <c r="B2504" s="1"/>
      <c r="C2504" s="1"/>
      <c r="D2504" s="1"/>
      <c r="E2504" s="1"/>
      <c r="F2504" s="35" t="s">
        <v>43</v>
      </c>
      <c r="G2504" s="16"/>
      <c r="H2504" s="16"/>
      <c r="I2504" s="325">
        <f>ROUND((I2480+I2491+I2496+I2502),0)</f>
        <v>970142</v>
      </c>
    </row>
    <row r="2505" spans="1:10" x14ac:dyDescent="0.15">
      <c r="B2505" s="12"/>
      <c r="C2505" s="12"/>
      <c r="D2505" s="1"/>
      <c r="E2505" s="1"/>
      <c r="F2505" s="1"/>
      <c r="G2505" s="1"/>
      <c r="H2505" s="170"/>
      <c r="I2505" s="170"/>
    </row>
    <row r="2506" spans="1:10" x14ac:dyDescent="0.15">
      <c r="B2506" s="16"/>
      <c r="C2506" s="16"/>
      <c r="D2506" s="16"/>
      <c r="E2506" s="16"/>
      <c r="F2506" s="16"/>
      <c r="G2506" s="61"/>
      <c r="H2506" s="171"/>
      <c r="I2506" s="170"/>
    </row>
    <row r="2507" spans="1:10" x14ac:dyDescent="0.15">
      <c r="B2507" s="1"/>
      <c r="C2507" s="1"/>
      <c r="D2507" s="1"/>
      <c r="E2507" s="1"/>
      <c r="F2507" s="1"/>
      <c r="G2507" s="159"/>
      <c r="H2507" s="170"/>
      <c r="I2507" s="170"/>
    </row>
    <row r="2508" spans="1:10" x14ac:dyDescent="0.15">
      <c r="B2508" s="1"/>
      <c r="C2508" s="1"/>
      <c r="D2508" s="1"/>
      <c r="E2508" s="1"/>
      <c r="F2508" s="1"/>
      <c r="G2508" s="159"/>
      <c r="H2508" s="170"/>
      <c r="I2508" s="170"/>
    </row>
    <row r="2509" spans="1:10" x14ac:dyDescent="0.15">
      <c r="B2509" s="1"/>
      <c r="C2509" s="1"/>
      <c r="D2509" s="1"/>
      <c r="E2509" s="1"/>
      <c r="F2509" s="1"/>
      <c r="G2509" s="159"/>
      <c r="H2509" s="170"/>
      <c r="I2509" s="170"/>
    </row>
    <row r="2510" spans="1:10" x14ac:dyDescent="0.15">
      <c r="B2510" s="1"/>
      <c r="C2510" s="1"/>
      <c r="D2510" s="1"/>
      <c r="E2510" s="1"/>
      <c r="F2510" s="1"/>
      <c r="G2510" s="159"/>
      <c r="H2510" s="170"/>
      <c r="I2510" s="170"/>
    </row>
    <row r="2511" spans="1:10" x14ac:dyDescent="0.15">
      <c r="B2511" s="1"/>
      <c r="C2511" s="1"/>
      <c r="D2511" s="1"/>
      <c r="E2511" s="1"/>
      <c r="F2511" s="1"/>
      <c r="G2511" s="1"/>
      <c r="H2511" s="37"/>
      <c r="I2511" s="170"/>
    </row>
    <row r="2512" spans="1:10" ht="14" x14ac:dyDescent="0.15">
      <c r="B2512" s="101"/>
      <c r="C2512" s="1"/>
      <c r="D2512" s="1"/>
      <c r="E2512" s="1"/>
      <c r="F2512" s="1"/>
      <c r="G2512" s="1"/>
      <c r="H2512" s="1"/>
      <c r="I2512" s="170"/>
    </row>
    <row r="2513" spans="1:10" ht="14" x14ac:dyDescent="0.15">
      <c r="B2513" s="101"/>
      <c r="C2513" s="1"/>
      <c r="D2513" s="1"/>
      <c r="E2513" s="1"/>
      <c r="F2513" s="1"/>
      <c r="G2513" s="1"/>
      <c r="H2513" s="1"/>
      <c r="I2513" s="170"/>
    </row>
    <row r="2514" spans="1:10" ht="14" x14ac:dyDescent="0.15">
      <c r="B2514" s="101"/>
      <c r="C2514" s="1"/>
      <c r="D2514" s="1"/>
      <c r="E2514" s="1"/>
      <c r="F2514" s="1"/>
      <c r="G2514" s="1"/>
      <c r="H2514" s="1"/>
      <c r="I2514" s="170"/>
    </row>
    <row r="2515" spans="1:10" ht="14" x14ac:dyDescent="0.15">
      <c r="B2515" s="101"/>
      <c r="C2515" s="1"/>
      <c r="D2515" s="1"/>
      <c r="E2515" s="1"/>
      <c r="F2515" s="1"/>
      <c r="G2515" s="1"/>
      <c r="H2515" s="1"/>
      <c r="I2515" s="170"/>
    </row>
    <row r="2516" spans="1:10" ht="14" x14ac:dyDescent="0.15">
      <c r="B2516" s="101"/>
      <c r="C2516" s="1"/>
      <c r="D2516" s="1"/>
      <c r="E2516" s="1"/>
      <c r="F2516" s="1"/>
      <c r="G2516" s="1"/>
      <c r="H2516" s="1"/>
      <c r="I2516" s="170"/>
    </row>
    <row r="2517" spans="1:10" ht="14" x14ac:dyDescent="0.15">
      <c r="B2517" s="83"/>
      <c r="C2517" s="11"/>
      <c r="D2517" s="1"/>
      <c r="E2517" s="637"/>
      <c r="F2517" s="637"/>
      <c r="G2517" s="637"/>
      <c r="H2517" s="637"/>
      <c r="I2517" s="169"/>
    </row>
    <row r="2518" spans="1:10" x14ac:dyDescent="0.15">
      <c r="B2518" s="11"/>
      <c r="C2518" s="11"/>
      <c r="D2518" s="1"/>
      <c r="E2518" s="153"/>
      <c r="F2518" s="153"/>
      <c r="G2518" s="153"/>
      <c r="H2518" s="153"/>
      <c r="I2518" s="169"/>
    </row>
    <row r="2519" spans="1:10" x14ac:dyDescent="0.15">
      <c r="B2519" s="11"/>
      <c r="C2519" s="11"/>
      <c r="D2519" s="1"/>
      <c r="E2519" s="153"/>
      <c r="F2519" s="153"/>
      <c r="G2519" s="153"/>
      <c r="H2519" s="153"/>
      <c r="I2519" s="169"/>
    </row>
    <row r="2520" spans="1:10" x14ac:dyDescent="0.15">
      <c r="B2520" s="11"/>
      <c r="C2520" s="11"/>
      <c r="D2520" s="1"/>
      <c r="E2520" s="153"/>
      <c r="F2520" s="153"/>
      <c r="G2520" s="153"/>
      <c r="H2520" s="153"/>
      <c r="I2520" s="169"/>
    </row>
    <row r="2521" spans="1:10" x14ac:dyDescent="0.15">
      <c r="B2521" s="11"/>
      <c r="C2521" s="11"/>
      <c r="D2521" s="1"/>
      <c r="E2521" s="153"/>
      <c r="F2521" s="153"/>
      <c r="G2521" s="153"/>
      <c r="H2521" s="153"/>
      <c r="I2521" s="169"/>
    </row>
    <row r="2522" spans="1:10" x14ac:dyDescent="0.15">
      <c r="B2522" s="11"/>
      <c r="C2522" s="11"/>
      <c r="D2522" s="1"/>
      <c r="E2522" s="153"/>
      <c r="F2522" s="153"/>
      <c r="G2522" s="153"/>
      <c r="H2522" s="153"/>
      <c r="I2522" s="169"/>
    </row>
    <row r="2523" spans="1:10" ht="14" x14ac:dyDescent="0.15">
      <c r="A2523" s="85"/>
      <c r="B2523" s="101"/>
      <c r="C2523" s="83"/>
      <c r="D2523" s="84"/>
      <c r="E2523" s="83"/>
      <c r="F2523" s="83"/>
      <c r="G2523" s="102"/>
      <c r="H2523" s="83"/>
      <c r="I2523" s="85"/>
      <c r="J2523" s="85"/>
    </row>
    <row r="2524" spans="1:10" ht="14" x14ac:dyDescent="0.15">
      <c r="A2524" s="85"/>
      <c r="B2524" s="83"/>
      <c r="C2524" s="83"/>
      <c r="D2524" s="84"/>
      <c r="E2524" s="83"/>
      <c r="F2524" s="83"/>
      <c r="G2524" s="103"/>
      <c r="H2524" s="83"/>
      <c r="I2524" s="85"/>
      <c r="J2524" s="85"/>
    </row>
    <row r="2525" spans="1:10" ht="15" thickBot="1" x14ac:dyDescent="0.2">
      <c r="A2525" s="85"/>
      <c r="B2525" s="83"/>
      <c r="C2525" s="83"/>
      <c r="D2525" s="84"/>
      <c r="E2525" s="83"/>
      <c r="G2525" s="83"/>
      <c r="H2525" s="83"/>
      <c r="I2525" s="85"/>
      <c r="J2525" s="85"/>
    </row>
    <row r="2526" spans="1:10" ht="21" customHeight="1" x14ac:dyDescent="0.15">
      <c r="B2526" s="607" t="s">
        <v>1065</v>
      </c>
      <c r="C2526" s="608"/>
      <c r="D2526" s="608"/>
      <c r="E2526" s="608"/>
      <c r="F2526" s="609"/>
      <c r="G2526" s="1"/>
      <c r="H2526" s="638" t="s">
        <v>20</v>
      </c>
      <c r="I2526" s="639"/>
    </row>
    <row r="2527" spans="1:10" ht="16.5" customHeight="1" x14ac:dyDescent="0.15">
      <c r="B2527" s="604" t="s">
        <v>446</v>
      </c>
      <c r="C2527" s="605"/>
      <c r="D2527" s="605"/>
      <c r="E2527" s="605"/>
      <c r="F2527" s="606"/>
      <c r="G2527" s="63"/>
      <c r="H2527" s="640"/>
      <c r="I2527" s="641"/>
    </row>
    <row r="2528" spans="1:10" ht="12.75" customHeight="1" x14ac:dyDescent="0.15">
      <c r="B2528" s="610" t="s">
        <v>447</v>
      </c>
      <c r="C2528" s="611"/>
      <c r="D2528" s="611"/>
      <c r="E2528" s="611"/>
      <c r="F2528" s="612"/>
      <c r="G2528" s="63"/>
      <c r="H2528" s="642"/>
      <c r="I2528" s="643"/>
    </row>
    <row r="2529" spans="2:9" ht="16.5" customHeight="1" thickBot="1" x14ac:dyDescent="0.2">
      <c r="B2529" s="613"/>
      <c r="C2529" s="614"/>
      <c r="D2529" s="614"/>
      <c r="E2529" s="614"/>
      <c r="F2529" s="615"/>
      <c r="G2529" s="1"/>
      <c r="H2529" s="668" t="s">
        <v>991</v>
      </c>
      <c r="I2529" s="669"/>
    </row>
    <row r="2530" spans="2:9" ht="14" thickBot="1" x14ac:dyDescent="0.2">
      <c r="B2530" s="15"/>
      <c r="C2530" s="16"/>
      <c r="D2530" s="1"/>
      <c r="E2530" s="1"/>
      <c r="F2530" s="1"/>
      <c r="G2530" s="1"/>
      <c r="H2530" s="670"/>
      <c r="I2530" s="671"/>
    </row>
    <row r="2531" spans="2:9" ht="12.75" customHeight="1" x14ac:dyDescent="0.15">
      <c r="B2531" s="650" t="s">
        <v>890</v>
      </c>
      <c r="C2531" s="651"/>
      <c r="D2531" s="651"/>
      <c r="E2531" s="651"/>
      <c r="F2531" s="652"/>
      <c r="G2531" s="1"/>
      <c r="H2531" s="670"/>
      <c r="I2531" s="671"/>
    </row>
    <row r="2532" spans="2:9" ht="12.75" customHeight="1" x14ac:dyDescent="0.15">
      <c r="B2532" s="653"/>
      <c r="C2532" s="654"/>
      <c r="D2532" s="654"/>
      <c r="E2532" s="654"/>
      <c r="F2532" s="655"/>
      <c r="H2532" s="670"/>
      <c r="I2532" s="671"/>
    </row>
    <row r="2533" spans="2:9" ht="13.5" customHeight="1" x14ac:dyDescent="0.15">
      <c r="B2533" s="653"/>
      <c r="C2533" s="654"/>
      <c r="D2533" s="654"/>
      <c r="E2533" s="654"/>
      <c r="F2533" s="655"/>
      <c r="G2533" s="11"/>
      <c r="H2533" s="672"/>
      <c r="I2533" s="673"/>
    </row>
    <row r="2534" spans="2:9" ht="21.75" customHeight="1" thickBot="1" x14ac:dyDescent="0.2">
      <c r="B2534" s="656"/>
      <c r="C2534" s="657"/>
      <c r="D2534" s="657"/>
      <c r="E2534" s="657"/>
      <c r="F2534" s="658"/>
      <c r="H2534" s="64" t="s">
        <v>45</v>
      </c>
      <c r="I2534" s="17" t="s">
        <v>316</v>
      </c>
    </row>
    <row r="2535" spans="2:9" x14ac:dyDescent="0.15">
      <c r="B2535" s="18"/>
      <c r="C2535" s="18"/>
      <c r="D2535" s="1"/>
      <c r="E2535" s="18"/>
      <c r="F2535" s="18"/>
      <c r="G2535" s="18"/>
      <c r="H2535" s="18"/>
      <c r="I2535" s="1"/>
    </row>
    <row r="2536" spans="2:9" ht="14" thickBot="1" x14ac:dyDescent="0.2">
      <c r="B2536" s="12" t="s">
        <v>21</v>
      </c>
      <c r="C2536" s="12"/>
      <c r="D2536" s="1"/>
      <c r="E2536" s="1"/>
      <c r="F2536" s="1"/>
      <c r="G2536" s="1"/>
      <c r="H2536" s="1"/>
      <c r="I2536" s="1"/>
    </row>
    <row r="2537" spans="2:9" x14ac:dyDescent="0.15">
      <c r="B2537" s="628" t="s">
        <v>22</v>
      </c>
      <c r="C2537" s="629"/>
      <c r="D2537" s="630"/>
      <c r="E2537" s="205" t="s">
        <v>23</v>
      </c>
      <c r="F2537" s="19" t="s">
        <v>47</v>
      </c>
      <c r="G2537" s="205" t="s">
        <v>24</v>
      </c>
      <c r="H2537" s="204" t="s">
        <v>25</v>
      </c>
      <c r="I2537" s="43"/>
    </row>
    <row r="2538" spans="2:9" x14ac:dyDescent="0.15">
      <c r="B2538" s="631" t="s">
        <v>56</v>
      </c>
      <c r="C2538" s="632"/>
      <c r="D2538" s="633"/>
      <c r="E2538" s="5"/>
      <c r="F2538" s="160"/>
      <c r="G2538" s="58"/>
      <c r="H2538" s="160">
        <f>I2560*0.05</f>
        <v>1162.7758333333334</v>
      </c>
      <c r="I2538" s="44"/>
    </row>
    <row r="2539" spans="2:9" ht="14" thickBot="1" x14ac:dyDescent="0.2">
      <c r="B2539" s="634"/>
      <c r="C2539" s="635"/>
      <c r="D2539" s="636"/>
      <c r="E2539" s="21"/>
      <c r="F2539" s="22"/>
      <c r="G2539" s="23"/>
      <c r="H2539" s="47"/>
      <c r="I2539" s="48"/>
    </row>
    <row r="2540" spans="2:9" ht="14" thickBot="1" x14ac:dyDescent="0.2">
      <c r="B2540" s="1"/>
      <c r="C2540" s="1"/>
      <c r="D2540" s="1"/>
      <c r="E2540" s="1"/>
      <c r="F2540" s="1"/>
      <c r="G2540" s="1"/>
      <c r="H2540" s="37" t="s">
        <v>26</v>
      </c>
      <c r="I2540" s="161">
        <f>SUM(H2538)</f>
        <v>1162.7758333333334</v>
      </c>
    </row>
    <row r="2541" spans="2:9" ht="14" thickBot="1" x14ac:dyDescent="0.2">
      <c r="B2541" s="12" t="s">
        <v>27</v>
      </c>
      <c r="C2541" s="12"/>
      <c r="D2541" s="1"/>
      <c r="E2541" s="1"/>
      <c r="F2541" s="1"/>
      <c r="G2541" s="1"/>
      <c r="H2541" s="1"/>
      <c r="I2541" s="1"/>
    </row>
    <row r="2542" spans="2:9" x14ac:dyDescent="0.15">
      <c r="B2542" s="628" t="s">
        <v>22</v>
      </c>
      <c r="C2542" s="629"/>
      <c r="D2542" s="630"/>
      <c r="E2542" s="205" t="s">
        <v>28</v>
      </c>
      <c r="F2542" s="205" t="s">
        <v>29</v>
      </c>
      <c r="G2542" s="205" t="s">
        <v>30</v>
      </c>
      <c r="H2542" s="204" t="s">
        <v>25</v>
      </c>
      <c r="I2542" s="43"/>
    </row>
    <row r="2543" spans="2:9" x14ac:dyDescent="0.15">
      <c r="B2543" s="4" t="s">
        <v>272</v>
      </c>
      <c r="C2543" s="24"/>
      <c r="D2543" s="6"/>
      <c r="E2543" s="3" t="s">
        <v>193</v>
      </c>
      <c r="F2543" s="162">
        <f>MATERIALES!C63</f>
        <v>4176</v>
      </c>
      <c r="G2543" s="65">
        <v>0.5</v>
      </c>
      <c r="H2543" s="163">
        <f t="shared" ref="H2543:H2547" si="11">G2543*F2543</f>
        <v>2088</v>
      </c>
      <c r="I2543" s="44"/>
    </row>
    <row r="2544" spans="2:9" x14ac:dyDescent="0.15">
      <c r="B2544" s="4" t="s">
        <v>273</v>
      </c>
      <c r="C2544" s="24"/>
      <c r="D2544" s="6"/>
      <c r="E2544" s="3" t="s">
        <v>316</v>
      </c>
      <c r="F2544" s="162">
        <f>MATERIALES!C64</f>
        <v>1330</v>
      </c>
      <c r="G2544" s="65">
        <v>1</v>
      </c>
      <c r="H2544" s="163">
        <f t="shared" si="11"/>
        <v>1330</v>
      </c>
      <c r="I2544" s="44"/>
    </row>
    <row r="2545" spans="2:9" x14ac:dyDescent="0.15">
      <c r="B2545" s="4" t="s">
        <v>274</v>
      </c>
      <c r="C2545" s="24"/>
      <c r="D2545" s="6"/>
      <c r="E2545" s="3" t="s">
        <v>316</v>
      </c>
      <c r="F2545" s="162">
        <f>MATERIALES!C65</f>
        <v>2520</v>
      </c>
      <c r="G2545" s="65">
        <v>1</v>
      </c>
      <c r="H2545" s="163">
        <f t="shared" si="11"/>
        <v>2520</v>
      </c>
      <c r="I2545" s="44"/>
    </row>
    <row r="2546" spans="2:9" x14ac:dyDescent="0.15">
      <c r="B2546" s="4" t="s">
        <v>567</v>
      </c>
      <c r="C2546" s="24"/>
      <c r="D2546" s="6"/>
      <c r="E2546" s="3" t="s">
        <v>316</v>
      </c>
      <c r="F2546" s="162">
        <f>MATERIALES!C66</f>
        <v>3700</v>
      </c>
      <c r="G2546" s="65">
        <v>1</v>
      </c>
      <c r="H2546" s="163">
        <f t="shared" si="11"/>
        <v>3700</v>
      </c>
      <c r="I2546" s="44"/>
    </row>
    <row r="2547" spans="2:9" x14ac:dyDescent="0.15">
      <c r="B2547" s="4" t="s">
        <v>135</v>
      </c>
      <c r="C2547" s="24"/>
      <c r="D2547" s="6"/>
      <c r="E2547" s="3" t="s">
        <v>77</v>
      </c>
      <c r="F2547" s="162">
        <f>MATERIALES!C27</f>
        <v>286200</v>
      </c>
      <c r="G2547" s="398">
        <v>2.5000000000000001E-3</v>
      </c>
      <c r="H2547" s="163">
        <f t="shared" si="11"/>
        <v>715.5</v>
      </c>
      <c r="I2547" s="44"/>
    </row>
    <row r="2548" spans="2:9" ht="14" thickBot="1" x14ac:dyDescent="0.2">
      <c r="B2548" s="33"/>
      <c r="C2548" s="26"/>
      <c r="D2548" s="27"/>
      <c r="E2548" s="21"/>
      <c r="F2548" s="22"/>
      <c r="G2548" s="165"/>
      <c r="H2548" s="47"/>
      <c r="I2548" s="48"/>
    </row>
    <row r="2549" spans="2:9" ht="14" thickBot="1" x14ac:dyDescent="0.2">
      <c r="B2549" s="1"/>
      <c r="C2549" s="1"/>
      <c r="D2549" s="1"/>
      <c r="E2549" s="1"/>
      <c r="F2549" s="1"/>
      <c r="G2549" s="1"/>
      <c r="H2549" s="37" t="s">
        <v>26</v>
      </c>
      <c r="I2549" s="175">
        <f>SUM(H2543:H2547)</f>
        <v>10353.5</v>
      </c>
    </row>
    <row r="2550" spans="2:9" ht="14" thickBot="1" x14ac:dyDescent="0.2">
      <c r="B2550" s="28" t="s">
        <v>31</v>
      </c>
      <c r="C2550" s="28"/>
      <c r="D2550" s="26"/>
      <c r="E2550" s="1"/>
      <c r="F2550" s="1"/>
      <c r="G2550" s="1"/>
      <c r="H2550" s="1"/>
      <c r="I2550" s="1"/>
    </row>
    <row r="2551" spans="2:9" x14ac:dyDescent="0.15">
      <c r="B2551" s="51" t="s">
        <v>32</v>
      </c>
      <c r="C2551" s="52"/>
      <c r="D2551" s="96" t="s">
        <v>33</v>
      </c>
      <c r="E2551" s="205" t="s">
        <v>34</v>
      </c>
      <c r="F2551" s="205" t="s">
        <v>35</v>
      </c>
      <c r="G2551" s="205" t="s">
        <v>36</v>
      </c>
      <c r="H2551" s="59" t="s">
        <v>25</v>
      </c>
      <c r="I2551" s="43"/>
    </row>
    <row r="2552" spans="2:9" x14ac:dyDescent="0.15">
      <c r="B2552" s="4" t="s">
        <v>79</v>
      </c>
      <c r="C2552" s="6"/>
      <c r="D2552" s="53">
        <v>2.5000000000000001E-2</v>
      </c>
      <c r="E2552" s="2">
        <v>15</v>
      </c>
      <c r="F2552" s="2">
        <f>E2552*D2552</f>
        <v>0.375</v>
      </c>
      <c r="G2552" s="160">
        <v>1100</v>
      </c>
      <c r="H2552" s="20">
        <f>G2552*F2552</f>
        <v>412.5</v>
      </c>
      <c r="I2552" s="44"/>
    </row>
    <row r="2553" spans="2:9" ht="14" thickBot="1" x14ac:dyDescent="0.2">
      <c r="B2553" s="33"/>
      <c r="C2553" s="54"/>
      <c r="D2553" s="21"/>
      <c r="E2553" s="22"/>
      <c r="F2553" s="23"/>
      <c r="G2553" s="47"/>
      <c r="H2553" s="21"/>
      <c r="I2553" s="48"/>
    </row>
    <row r="2554" spans="2:9" ht="14" thickBot="1" x14ac:dyDescent="0.2">
      <c r="B2554" s="1"/>
      <c r="C2554" s="1"/>
      <c r="D2554" s="1"/>
      <c r="E2554" s="1"/>
      <c r="F2554" s="1"/>
      <c r="G2554" s="1"/>
      <c r="H2554" s="37" t="s">
        <v>26</v>
      </c>
      <c r="I2554" s="161">
        <f>SUM(H2552:H2553)</f>
        <v>412.5</v>
      </c>
    </row>
    <row r="2555" spans="2:9" ht="14" thickBot="1" x14ac:dyDescent="0.2">
      <c r="B2555" s="28" t="s">
        <v>37</v>
      </c>
      <c r="C2555" s="28"/>
      <c r="D2555" s="1"/>
      <c r="E2555" s="1"/>
      <c r="F2555" s="1"/>
      <c r="G2555" s="1"/>
      <c r="H2555" s="1"/>
      <c r="I2555" s="1"/>
    </row>
    <row r="2556" spans="2:9" x14ac:dyDescent="0.15">
      <c r="B2556" s="51" t="s">
        <v>38</v>
      </c>
      <c r="C2556" s="86"/>
      <c r="D2556" s="31" t="s">
        <v>39</v>
      </c>
      <c r="E2556" s="205" t="s">
        <v>40</v>
      </c>
      <c r="F2556" s="19" t="s">
        <v>41</v>
      </c>
      <c r="G2556" s="31" t="s">
        <v>24</v>
      </c>
      <c r="H2556" s="204" t="s">
        <v>25</v>
      </c>
      <c r="I2556" s="43"/>
    </row>
    <row r="2557" spans="2:9" x14ac:dyDescent="0.15">
      <c r="B2557" s="4" t="s">
        <v>65</v>
      </c>
      <c r="C2557" s="24"/>
      <c r="D2557" s="32">
        <f>'MANO DE OBRA'!E15</f>
        <v>95333</v>
      </c>
      <c r="E2557" s="88">
        <v>1.75</v>
      </c>
      <c r="F2557" s="162">
        <f>+E2557*D2557</f>
        <v>166832.75</v>
      </c>
      <c r="G2557" s="79">
        <v>15</v>
      </c>
      <c r="H2557" s="167">
        <f>+F2557/G2557</f>
        <v>11122.183333333332</v>
      </c>
      <c r="I2557" s="44"/>
    </row>
    <row r="2558" spans="2:9" x14ac:dyDescent="0.15">
      <c r="B2558" s="80" t="s">
        <v>55</v>
      </c>
      <c r="C2558" s="81"/>
      <c r="D2558" s="32">
        <f>'MANO DE OBRA'!E14*2</f>
        <v>104000</v>
      </c>
      <c r="E2558" s="88">
        <v>1.75</v>
      </c>
      <c r="F2558" s="164">
        <f>+E2558*D2558</f>
        <v>182000</v>
      </c>
      <c r="G2558" s="79">
        <v>15</v>
      </c>
      <c r="H2558" s="329">
        <f>+F2558/G2558</f>
        <v>12133.333333333334</v>
      </c>
      <c r="I2558" s="44"/>
    </row>
    <row r="2559" spans="2:9" ht="14" thickBot="1" x14ac:dyDescent="0.2">
      <c r="B2559" s="33"/>
      <c r="C2559" s="34"/>
      <c r="D2559" s="22"/>
      <c r="E2559" s="21"/>
      <c r="F2559" s="22"/>
      <c r="G2559" s="23"/>
      <c r="H2559" s="47"/>
      <c r="I2559" s="48"/>
    </row>
    <row r="2560" spans="2:9" ht="14" thickBot="1" x14ac:dyDescent="0.2">
      <c r="B2560" s="1"/>
      <c r="C2560" s="1"/>
      <c r="D2560" s="1"/>
      <c r="E2560" s="1"/>
      <c r="F2560" s="1"/>
      <c r="G2560" s="1"/>
      <c r="H2560" s="37" t="s">
        <v>26</v>
      </c>
      <c r="I2560" s="175">
        <f>SUM(H2557:H2559)</f>
        <v>23255.516666666666</v>
      </c>
    </row>
    <row r="2561" spans="2:11" ht="14" thickBot="1" x14ac:dyDescent="0.2">
      <c r="B2561" s="1"/>
      <c r="C2561" s="1"/>
      <c r="D2561" s="1"/>
      <c r="E2561" s="1"/>
      <c r="F2561" s="1"/>
      <c r="G2561" s="1"/>
      <c r="H2561" s="61"/>
      <c r="I2561" s="1"/>
    </row>
    <row r="2562" spans="2:11" ht="15" thickBot="1" x14ac:dyDescent="0.2">
      <c r="B2562" s="1"/>
      <c r="C2562" s="1"/>
      <c r="D2562" s="1"/>
      <c r="E2562" s="1"/>
      <c r="F2562" s="35" t="s">
        <v>43</v>
      </c>
      <c r="G2562" s="16"/>
      <c r="H2562" s="16"/>
      <c r="I2562" s="325">
        <f>ROUND((I2540+I2549+I2554+I2560),0)</f>
        <v>35184</v>
      </c>
    </row>
    <row r="2563" spans="2:11" x14ac:dyDescent="0.15">
      <c r="B2563" s="12"/>
      <c r="C2563" s="12"/>
      <c r="D2563" s="1"/>
      <c r="E2563" s="1"/>
      <c r="F2563" s="1"/>
      <c r="G2563" s="1"/>
      <c r="H2563" s="170"/>
      <c r="I2563" s="170"/>
    </row>
    <row r="2564" spans="2:11" x14ac:dyDescent="0.15">
      <c r="B2564" s="16"/>
      <c r="C2564" s="16"/>
      <c r="D2564" s="16"/>
      <c r="E2564" s="16"/>
      <c r="F2564" s="16"/>
      <c r="G2564" s="61"/>
      <c r="H2564" s="171"/>
      <c r="I2564" s="170"/>
    </row>
    <row r="2565" spans="2:11" x14ac:dyDescent="0.15">
      <c r="B2565" s="1"/>
      <c r="C2565" s="1"/>
      <c r="D2565" s="1"/>
      <c r="E2565" s="1"/>
      <c r="F2565" s="1"/>
      <c r="G2565" s="159"/>
      <c r="H2565" s="170"/>
      <c r="I2565" s="170"/>
    </row>
    <row r="2566" spans="2:11" x14ac:dyDescent="0.15">
      <c r="B2566" s="1"/>
      <c r="C2566" s="1"/>
      <c r="D2566" s="1"/>
      <c r="E2566" s="1"/>
      <c r="F2566" s="1"/>
      <c r="G2566" s="159"/>
      <c r="H2566" s="170"/>
      <c r="I2566" s="170"/>
    </row>
    <row r="2567" spans="2:11" x14ac:dyDescent="0.15">
      <c r="B2567" s="1"/>
      <c r="C2567" s="1"/>
      <c r="D2567" s="1"/>
      <c r="E2567" s="1"/>
      <c r="F2567" s="1"/>
      <c r="G2567" s="159"/>
      <c r="H2567" s="170"/>
      <c r="I2567" s="170"/>
      <c r="K2567" s="173"/>
    </row>
    <row r="2568" spans="2:11" x14ac:dyDescent="0.15">
      <c r="B2568" s="1"/>
      <c r="C2568" s="1"/>
      <c r="D2568" s="1"/>
      <c r="E2568" s="1"/>
      <c r="F2568" s="1"/>
      <c r="G2568" s="1"/>
      <c r="H2568" s="37"/>
      <c r="I2568" s="170"/>
    </row>
    <row r="2569" spans="2:11" ht="14" x14ac:dyDescent="0.15">
      <c r="B2569" s="101"/>
      <c r="C2569" s="1"/>
      <c r="D2569" s="1"/>
      <c r="E2569" s="1"/>
      <c r="F2569" s="1"/>
      <c r="G2569" s="1"/>
      <c r="H2569" s="1"/>
      <c r="I2569" s="170"/>
    </row>
    <row r="2570" spans="2:11" ht="14" x14ac:dyDescent="0.15">
      <c r="B2570" s="83"/>
      <c r="C2570" s="11"/>
      <c r="D2570" s="1"/>
      <c r="E2570" s="637"/>
      <c r="F2570" s="637"/>
      <c r="G2570" s="637"/>
      <c r="H2570" s="637"/>
      <c r="I2570" s="169"/>
    </row>
    <row r="2571" spans="2:11" ht="14" x14ac:dyDescent="0.15">
      <c r="B2571" s="83"/>
      <c r="C2571" s="11"/>
      <c r="D2571" s="1"/>
      <c r="E2571" s="153"/>
      <c r="F2571" s="153"/>
      <c r="G2571" s="153"/>
      <c r="H2571" s="153"/>
      <c r="I2571" s="169"/>
    </row>
    <row r="2572" spans="2:11" ht="14" x14ac:dyDescent="0.15">
      <c r="B2572" s="83"/>
      <c r="C2572" s="11"/>
      <c r="D2572" s="1"/>
      <c r="E2572" s="153"/>
      <c r="F2572" s="153"/>
      <c r="G2572" s="153"/>
      <c r="H2572" s="153"/>
      <c r="I2572" s="169"/>
    </row>
    <row r="2573" spans="2:11" ht="14" x14ac:dyDescent="0.15">
      <c r="B2573" s="83"/>
      <c r="C2573" s="11"/>
      <c r="D2573" s="1"/>
      <c r="E2573" s="153"/>
      <c r="F2573" s="153"/>
      <c r="G2573" s="153"/>
      <c r="H2573" s="153"/>
      <c r="I2573" s="169"/>
    </row>
    <row r="2574" spans="2:11" ht="14" x14ac:dyDescent="0.15">
      <c r="B2574" s="83"/>
      <c r="C2574" s="11"/>
      <c r="D2574" s="1"/>
      <c r="E2574" s="153"/>
      <c r="F2574" s="153"/>
      <c r="G2574" s="153"/>
      <c r="H2574" s="153"/>
      <c r="I2574" s="169"/>
    </row>
    <row r="2575" spans="2:11" ht="14" x14ac:dyDescent="0.15">
      <c r="B2575" s="83"/>
      <c r="C2575" s="11"/>
      <c r="D2575" s="1"/>
      <c r="E2575" s="153"/>
      <c r="F2575" s="153"/>
      <c r="G2575" s="153"/>
      <c r="H2575" s="153"/>
      <c r="I2575" s="169"/>
    </row>
    <row r="2576" spans="2:11" x14ac:dyDescent="0.15">
      <c r="B2576" s="11"/>
      <c r="C2576" s="11"/>
      <c r="D2576" s="1"/>
      <c r="E2576" s="153"/>
      <c r="F2576" s="153"/>
      <c r="G2576" s="153"/>
      <c r="H2576" s="153"/>
      <c r="I2576" s="169"/>
    </row>
    <row r="2577" spans="1:10" x14ac:dyDescent="0.15">
      <c r="B2577" s="11"/>
      <c r="C2577" s="11"/>
      <c r="D2577" s="1"/>
      <c r="E2577" s="153"/>
      <c r="F2577" s="153"/>
      <c r="G2577" s="153"/>
      <c r="H2577" s="153"/>
      <c r="I2577" s="169"/>
    </row>
    <row r="2578" spans="1:10" x14ac:dyDescent="0.15">
      <c r="B2578" s="11"/>
      <c r="C2578" s="11"/>
      <c r="D2578" s="1"/>
      <c r="E2578" s="153"/>
      <c r="F2578" s="153"/>
      <c r="G2578" s="153"/>
      <c r="H2578" s="153"/>
      <c r="I2578" s="169"/>
    </row>
    <row r="2579" spans="1:10" x14ac:dyDescent="0.15">
      <c r="B2579" s="11"/>
      <c r="C2579" s="11"/>
      <c r="D2579" s="11"/>
      <c r="E2579" s="11"/>
      <c r="F2579" s="11"/>
      <c r="G2579" s="11"/>
      <c r="H2579" s="11"/>
      <c r="I2579" s="11"/>
    </row>
    <row r="2580" spans="1:10" ht="14" x14ac:dyDescent="0.15">
      <c r="A2580" s="85"/>
      <c r="B2580" s="101"/>
      <c r="C2580" s="83"/>
      <c r="D2580" s="84"/>
      <c r="E2580" s="83"/>
      <c r="F2580" s="83"/>
      <c r="G2580" s="102"/>
      <c r="H2580" s="83"/>
      <c r="I2580" s="85"/>
      <c r="J2580" s="85"/>
    </row>
    <row r="2581" spans="1:10" ht="14" x14ac:dyDescent="0.15">
      <c r="A2581" s="85"/>
      <c r="B2581" s="101"/>
      <c r="C2581" s="83"/>
      <c r="D2581" s="84"/>
      <c r="E2581" s="83"/>
      <c r="F2581" s="83"/>
      <c r="G2581" s="102"/>
      <c r="H2581" s="83"/>
      <c r="I2581" s="85"/>
      <c r="J2581" s="85"/>
    </row>
    <row r="2582" spans="1:10" ht="14" x14ac:dyDescent="0.15">
      <c r="A2582" s="85"/>
      <c r="B2582" s="83"/>
      <c r="C2582" s="83"/>
      <c r="D2582" s="84"/>
      <c r="E2582" s="83"/>
      <c r="F2582" s="83"/>
      <c r="G2582" s="103"/>
      <c r="H2582" s="83"/>
      <c r="I2582" s="85"/>
      <c r="J2582" s="85"/>
    </row>
    <row r="2583" spans="1:10" ht="14" x14ac:dyDescent="0.15">
      <c r="A2583" s="85"/>
      <c r="B2583" s="83"/>
      <c r="C2583" s="83"/>
      <c r="D2583" s="84"/>
      <c r="E2583" s="83"/>
      <c r="F2583" s="83"/>
      <c r="G2583" s="103"/>
      <c r="H2583" s="83"/>
      <c r="I2583" s="85"/>
      <c r="J2583" s="85"/>
    </row>
    <row r="2584" spans="1:10" x14ac:dyDescent="0.15">
      <c r="B2584" s="11"/>
      <c r="C2584" s="11"/>
      <c r="D2584" s="1"/>
      <c r="E2584" s="153"/>
      <c r="F2584" s="153"/>
      <c r="G2584" s="153"/>
      <c r="H2584" s="153"/>
      <c r="I2584" s="169"/>
    </row>
    <row r="2585" spans="1:10" ht="14" thickBot="1" x14ac:dyDescent="0.2"/>
    <row r="2586" spans="1:10" ht="21" customHeight="1" x14ac:dyDescent="0.15">
      <c r="B2586" s="607" t="s">
        <v>1065</v>
      </c>
      <c r="C2586" s="608"/>
      <c r="D2586" s="608"/>
      <c r="E2586" s="608"/>
      <c r="F2586" s="609"/>
      <c r="G2586" s="1"/>
      <c r="H2586" s="638" t="s">
        <v>20</v>
      </c>
      <c r="I2586" s="639"/>
    </row>
    <row r="2587" spans="1:10" ht="16.5" customHeight="1" x14ac:dyDescent="0.15">
      <c r="B2587" s="604" t="s">
        <v>446</v>
      </c>
      <c r="C2587" s="605"/>
      <c r="D2587" s="605"/>
      <c r="E2587" s="605"/>
      <c r="F2587" s="606"/>
      <c r="G2587" s="63"/>
      <c r="H2587" s="640"/>
      <c r="I2587" s="641"/>
    </row>
    <row r="2588" spans="1:10" ht="12.75" customHeight="1" x14ac:dyDescent="0.15">
      <c r="B2588" s="610" t="s">
        <v>447</v>
      </c>
      <c r="C2588" s="611"/>
      <c r="D2588" s="611"/>
      <c r="E2588" s="611"/>
      <c r="F2588" s="612"/>
      <c r="G2588" s="63"/>
      <c r="H2588" s="642"/>
      <c r="I2588" s="643"/>
    </row>
    <row r="2589" spans="1:10" ht="16.5" customHeight="1" thickBot="1" x14ac:dyDescent="0.2">
      <c r="B2589" s="613"/>
      <c r="C2589" s="614"/>
      <c r="D2589" s="614"/>
      <c r="E2589" s="614"/>
      <c r="F2589" s="615"/>
      <c r="G2589" s="1"/>
      <c r="H2589" s="692" t="s">
        <v>992</v>
      </c>
      <c r="I2589" s="693"/>
    </row>
    <row r="2590" spans="1:10" ht="14" thickBot="1" x14ac:dyDescent="0.2">
      <c r="B2590" s="15"/>
      <c r="C2590" s="16"/>
      <c r="D2590" s="1"/>
      <c r="E2590" s="1"/>
      <c r="F2590" s="1"/>
      <c r="G2590" s="1"/>
      <c r="H2590" s="694"/>
      <c r="I2590" s="695"/>
    </row>
    <row r="2591" spans="1:10" ht="12.75" customHeight="1" x14ac:dyDescent="0.15">
      <c r="B2591" s="650" t="s">
        <v>890</v>
      </c>
      <c r="C2591" s="651"/>
      <c r="D2591" s="651"/>
      <c r="E2591" s="651"/>
      <c r="F2591" s="652"/>
      <c r="G2591" s="1"/>
      <c r="H2591" s="694"/>
      <c r="I2591" s="695"/>
    </row>
    <row r="2592" spans="1:10" ht="12.75" customHeight="1" x14ac:dyDescent="0.15">
      <c r="B2592" s="653"/>
      <c r="C2592" s="654"/>
      <c r="D2592" s="654"/>
      <c r="E2592" s="654"/>
      <c r="F2592" s="655"/>
      <c r="H2592" s="694"/>
      <c r="I2592" s="695"/>
    </row>
    <row r="2593" spans="2:9" ht="13.5" customHeight="1" x14ac:dyDescent="0.15">
      <c r="B2593" s="653"/>
      <c r="C2593" s="654"/>
      <c r="D2593" s="654"/>
      <c r="E2593" s="654"/>
      <c r="F2593" s="655"/>
      <c r="G2593" s="11"/>
      <c r="H2593" s="696"/>
      <c r="I2593" s="697"/>
    </row>
    <row r="2594" spans="2:9" ht="21.75" customHeight="1" thickBot="1" x14ac:dyDescent="0.2">
      <c r="B2594" s="656"/>
      <c r="C2594" s="657"/>
      <c r="D2594" s="657"/>
      <c r="E2594" s="657"/>
      <c r="F2594" s="658"/>
      <c r="H2594" s="64" t="s">
        <v>45</v>
      </c>
      <c r="I2594" s="17" t="s">
        <v>193</v>
      </c>
    </row>
    <row r="2595" spans="2:9" x14ac:dyDescent="0.15">
      <c r="B2595" s="18"/>
      <c r="C2595" s="18"/>
      <c r="D2595" s="1"/>
      <c r="E2595" s="18"/>
      <c r="F2595" s="18"/>
      <c r="G2595" s="18"/>
      <c r="H2595" s="18"/>
      <c r="I2595" s="1"/>
    </row>
    <row r="2596" spans="2:9" ht="14" thickBot="1" x14ac:dyDescent="0.2">
      <c r="B2596" s="12" t="s">
        <v>21</v>
      </c>
      <c r="C2596" s="12"/>
      <c r="D2596" s="1"/>
      <c r="E2596" s="1"/>
      <c r="F2596" s="1"/>
      <c r="G2596" s="1"/>
      <c r="H2596" s="1"/>
      <c r="I2596" s="1"/>
    </row>
    <row r="2597" spans="2:9" x14ac:dyDescent="0.15">
      <c r="B2597" s="628" t="s">
        <v>22</v>
      </c>
      <c r="C2597" s="629"/>
      <c r="D2597" s="630"/>
      <c r="E2597" s="205" t="s">
        <v>23</v>
      </c>
      <c r="F2597" s="19" t="s">
        <v>47</v>
      </c>
      <c r="G2597" s="205" t="s">
        <v>24</v>
      </c>
      <c r="H2597" s="204" t="s">
        <v>25</v>
      </c>
      <c r="I2597" s="43"/>
    </row>
    <row r="2598" spans="2:9" x14ac:dyDescent="0.15">
      <c r="B2598" s="631" t="s">
        <v>56</v>
      </c>
      <c r="C2598" s="632"/>
      <c r="D2598" s="633"/>
      <c r="E2598" s="5"/>
      <c r="F2598" s="160"/>
      <c r="G2598" s="58"/>
      <c r="H2598" s="160">
        <f>I2619*0.05</f>
        <v>697.66550000000007</v>
      </c>
      <c r="I2598" s="44"/>
    </row>
    <row r="2599" spans="2:9" ht="14" thickBot="1" x14ac:dyDescent="0.2">
      <c r="B2599" s="634"/>
      <c r="C2599" s="635"/>
      <c r="D2599" s="636"/>
      <c r="E2599" s="21"/>
      <c r="F2599" s="22"/>
      <c r="G2599" s="23"/>
      <c r="H2599" s="47"/>
      <c r="I2599" s="48"/>
    </row>
    <row r="2600" spans="2:9" ht="14" thickBot="1" x14ac:dyDescent="0.2">
      <c r="B2600" s="1"/>
      <c r="C2600" s="1"/>
      <c r="D2600" s="1"/>
      <c r="E2600" s="1"/>
      <c r="F2600" s="1"/>
      <c r="G2600" s="1"/>
      <c r="H2600" s="37" t="s">
        <v>26</v>
      </c>
      <c r="I2600" s="161">
        <f>SUM(H2598:H2599)</f>
        <v>697.66550000000007</v>
      </c>
    </row>
    <row r="2601" spans="2:9" ht="14" thickBot="1" x14ac:dyDescent="0.2">
      <c r="B2601" s="12" t="s">
        <v>27</v>
      </c>
      <c r="C2601" s="12"/>
      <c r="D2601" s="1"/>
      <c r="E2601" s="1"/>
      <c r="F2601" s="1"/>
      <c r="G2601" s="1"/>
      <c r="H2601" s="1"/>
      <c r="I2601" s="1"/>
    </row>
    <row r="2602" spans="2:9" x14ac:dyDescent="0.15">
      <c r="B2602" s="628" t="s">
        <v>22</v>
      </c>
      <c r="C2602" s="629"/>
      <c r="D2602" s="630"/>
      <c r="E2602" s="205" t="s">
        <v>28</v>
      </c>
      <c r="F2602" s="205" t="s">
        <v>29</v>
      </c>
      <c r="G2602" s="205" t="s">
        <v>30</v>
      </c>
      <c r="H2602" s="204" t="s">
        <v>25</v>
      </c>
      <c r="I2602" s="43"/>
    </row>
    <row r="2603" spans="2:9" x14ac:dyDescent="0.15">
      <c r="B2603" s="4" t="s">
        <v>272</v>
      </c>
      <c r="C2603" s="24"/>
      <c r="D2603" s="6"/>
      <c r="E2603" s="3" t="s">
        <v>193</v>
      </c>
      <c r="F2603" s="162">
        <f>MATERIALES!C63</f>
        <v>4176</v>
      </c>
      <c r="G2603" s="65">
        <v>1</v>
      </c>
      <c r="H2603" s="163">
        <f t="shared" ref="H2603:H2606" si="12">G2603*F2603</f>
        <v>4176</v>
      </c>
      <c r="I2603" s="44"/>
    </row>
    <row r="2604" spans="2:9" x14ac:dyDescent="0.15">
      <c r="B2604" s="4" t="s">
        <v>273</v>
      </c>
      <c r="C2604" s="24"/>
      <c r="D2604" s="6"/>
      <c r="E2604" s="3" t="s">
        <v>316</v>
      </c>
      <c r="F2604" s="162">
        <f>MATERIALES!C64</f>
        <v>1330</v>
      </c>
      <c r="G2604" s="65">
        <v>0.2</v>
      </c>
      <c r="H2604" s="163">
        <f t="shared" si="12"/>
        <v>266</v>
      </c>
      <c r="I2604" s="44"/>
    </row>
    <row r="2605" spans="2:9" x14ac:dyDescent="0.15">
      <c r="B2605" s="4" t="s">
        <v>274</v>
      </c>
      <c r="C2605" s="24"/>
      <c r="D2605" s="6"/>
      <c r="E2605" s="3" t="s">
        <v>316</v>
      </c>
      <c r="F2605" s="162">
        <f>MATERIALES!C65</f>
        <v>2520</v>
      </c>
      <c r="G2605" s="65">
        <v>0.2</v>
      </c>
      <c r="H2605" s="163">
        <f t="shared" si="12"/>
        <v>504</v>
      </c>
      <c r="I2605" s="44"/>
    </row>
    <row r="2606" spans="2:9" x14ac:dyDescent="0.15">
      <c r="B2606" s="4" t="s">
        <v>568</v>
      </c>
      <c r="C2606" s="24"/>
      <c r="D2606" s="6"/>
      <c r="E2606" s="3" t="s">
        <v>77</v>
      </c>
      <c r="F2606" s="162">
        <f>MATERIALES!C27</f>
        <v>286200</v>
      </c>
      <c r="G2606" s="65">
        <v>2.5000000000000001E-3</v>
      </c>
      <c r="H2606" s="163">
        <f t="shared" si="12"/>
        <v>715.5</v>
      </c>
      <c r="I2606" s="44"/>
    </row>
    <row r="2607" spans="2:9" ht="14" thickBot="1" x14ac:dyDescent="0.2">
      <c r="B2607" s="25"/>
      <c r="C2607" s="26"/>
      <c r="D2607" s="27"/>
      <c r="E2607" s="21"/>
      <c r="F2607" s="22"/>
      <c r="G2607" s="165"/>
      <c r="H2607" s="47"/>
      <c r="I2607" s="48"/>
    </row>
    <row r="2608" spans="2:9" ht="14" thickBot="1" x14ac:dyDescent="0.2">
      <c r="B2608" s="1"/>
      <c r="C2608" s="1"/>
      <c r="D2608" s="1"/>
      <c r="E2608" s="1"/>
      <c r="F2608" s="1"/>
      <c r="G2608" s="1"/>
      <c r="H2608" s="37" t="s">
        <v>26</v>
      </c>
      <c r="I2608" s="161">
        <f>SUM(H2603:H2606)</f>
        <v>5661.5</v>
      </c>
    </row>
    <row r="2609" spans="2:9" ht="14" thickBot="1" x14ac:dyDescent="0.2">
      <c r="B2609" s="28" t="s">
        <v>31</v>
      </c>
      <c r="C2609" s="28"/>
      <c r="D2609" s="26"/>
      <c r="E2609" s="1"/>
      <c r="F2609" s="1"/>
      <c r="G2609" s="1"/>
      <c r="H2609" s="1"/>
      <c r="I2609" s="1"/>
    </row>
    <row r="2610" spans="2:9" x14ac:dyDescent="0.15">
      <c r="B2610" s="51" t="s">
        <v>32</v>
      </c>
      <c r="C2610" s="52"/>
      <c r="D2610" s="96" t="s">
        <v>33</v>
      </c>
      <c r="E2610" s="205" t="s">
        <v>34</v>
      </c>
      <c r="F2610" s="205" t="s">
        <v>35</v>
      </c>
      <c r="G2610" s="205" t="s">
        <v>36</v>
      </c>
      <c r="H2610" s="59" t="s">
        <v>25</v>
      </c>
      <c r="I2610" s="43"/>
    </row>
    <row r="2611" spans="2:9" x14ac:dyDescent="0.15">
      <c r="B2611" s="4" t="s">
        <v>79</v>
      </c>
      <c r="C2611" s="6"/>
      <c r="D2611" s="53">
        <v>0.02</v>
      </c>
      <c r="E2611" s="2">
        <v>15</v>
      </c>
      <c r="F2611" s="2">
        <f>E2611*D2611</f>
        <v>0.3</v>
      </c>
      <c r="G2611" s="160">
        <v>1100</v>
      </c>
      <c r="H2611" s="20">
        <f>G2611*F2611</f>
        <v>330</v>
      </c>
      <c r="I2611" s="44"/>
    </row>
    <row r="2612" spans="2:9" ht="14" thickBot="1" x14ac:dyDescent="0.2">
      <c r="B2612" s="33"/>
      <c r="C2612" s="54"/>
      <c r="D2612" s="21"/>
      <c r="E2612" s="22"/>
      <c r="F2612" s="23"/>
      <c r="G2612" s="47"/>
      <c r="H2612" s="21"/>
      <c r="I2612" s="48"/>
    </row>
    <row r="2613" spans="2:9" ht="14" thickBot="1" x14ac:dyDescent="0.2">
      <c r="B2613" s="1"/>
      <c r="C2613" s="1"/>
      <c r="D2613" s="1"/>
      <c r="E2613" s="1"/>
      <c r="F2613" s="1"/>
      <c r="G2613" s="1"/>
      <c r="H2613" s="37" t="s">
        <v>26</v>
      </c>
      <c r="I2613" s="161">
        <f>SUM(H2611:H2612)</f>
        <v>330</v>
      </c>
    </row>
    <row r="2614" spans="2:9" ht="14" thickBot="1" x14ac:dyDescent="0.2">
      <c r="B2614" s="28" t="s">
        <v>37</v>
      </c>
      <c r="C2614" s="28"/>
      <c r="D2614" s="1"/>
      <c r="E2614" s="1"/>
      <c r="F2614" s="1"/>
      <c r="G2614" s="1"/>
      <c r="H2614" s="1"/>
      <c r="I2614" s="1"/>
    </row>
    <row r="2615" spans="2:9" x14ac:dyDescent="0.15">
      <c r="B2615" s="51" t="s">
        <v>38</v>
      </c>
      <c r="C2615" s="86"/>
      <c r="D2615" s="31" t="s">
        <v>39</v>
      </c>
      <c r="E2615" s="205" t="s">
        <v>40</v>
      </c>
      <c r="F2615" s="19" t="s">
        <v>41</v>
      </c>
      <c r="G2615" s="31" t="s">
        <v>24</v>
      </c>
      <c r="H2615" s="204" t="s">
        <v>25</v>
      </c>
      <c r="I2615" s="43"/>
    </row>
    <row r="2616" spans="2:9" x14ac:dyDescent="0.15">
      <c r="B2616" s="4" t="s">
        <v>65</v>
      </c>
      <c r="C2616" s="24"/>
      <c r="D2616" s="32">
        <f>'MANO DE OBRA'!E15</f>
        <v>95333</v>
      </c>
      <c r="E2616" s="88">
        <v>1.75</v>
      </c>
      <c r="F2616" s="162">
        <f>+E2616*D2616</f>
        <v>166832.75</v>
      </c>
      <c r="G2616" s="79">
        <v>25</v>
      </c>
      <c r="H2616" s="167">
        <f>+F2616/G2616</f>
        <v>6673.31</v>
      </c>
      <c r="I2616" s="44"/>
    </row>
    <row r="2617" spans="2:9" x14ac:dyDescent="0.15">
      <c r="B2617" s="80" t="s">
        <v>55</v>
      </c>
      <c r="C2617" s="81"/>
      <c r="D2617" s="32">
        <f>'MANO DE OBRA'!E14*2</f>
        <v>104000</v>
      </c>
      <c r="E2617" s="88">
        <v>1.75</v>
      </c>
      <c r="F2617" s="164">
        <f>+E2617*D2617</f>
        <v>182000</v>
      </c>
      <c r="G2617" s="79">
        <v>25</v>
      </c>
      <c r="H2617" s="329">
        <f>+F2617/G2617</f>
        <v>7280</v>
      </c>
      <c r="I2617" s="44"/>
    </row>
    <row r="2618" spans="2:9" ht="14" thickBot="1" x14ac:dyDescent="0.2">
      <c r="B2618" s="33"/>
      <c r="C2618" s="34"/>
      <c r="D2618" s="22"/>
      <c r="E2618" s="21"/>
      <c r="F2618" s="22"/>
      <c r="G2618" s="23"/>
      <c r="H2618" s="47"/>
      <c r="I2618" s="48"/>
    </row>
    <row r="2619" spans="2:9" ht="14" thickBot="1" x14ac:dyDescent="0.2">
      <c r="B2619" s="1"/>
      <c r="C2619" s="1"/>
      <c r="D2619" s="1"/>
      <c r="E2619" s="1"/>
      <c r="F2619" s="1"/>
      <c r="G2619" s="1"/>
      <c r="H2619" s="37" t="s">
        <v>26</v>
      </c>
      <c r="I2619" s="175">
        <f>SUM(H2616:H2618)</f>
        <v>13953.310000000001</v>
      </c>
    </row>
    <row r="2620" spans="2:9" ht="14" thickBot="1" x14ac:dyDescent="0.2">
      <c r="B2620" s="1"/>
      <c r="C2620" s="1"/>
      <c r="D2620" s="1"/>
      <c r="E2620" s="1"/>
      <c r="F2620" s="1"/>
      <c r="G2620" s="1"/>
      <c r="H2620" s="61"/>
      <c r="I2620" s="1"/>
    </row>
    <row r="2621" spans="2:9" ht="15" thickBot="1" x14ac:dyDescent="0.2">
      <c r="B2621" s="1"/>
      <c r="C2621" s="1"/>
      <c r="D2621" s="1"/>
      <c r="E2621" s="1"/>
      <c r="F2621" s="35" t="s">
        <v>43</v>
      </c>
      <c r="G2621" s="16"/>
      <c r="H2621" s="16"/>
      <c r="I2621" s="325">
        <f>ROUND((I2600+I2608+I2613+I2619),0)</f>
        <v>20642</v>
      </c>
    </row>
    <row r="2622" spans="2:9" x14ac:dyDescent="0.15">
      <c r="B2622" s="12"/>
      <c r="C2622" s="12"/>
      <c r="D2622" s="1"/>
      <c r="E2622" s="1"/>
      <c r="F2622" s="1"/>
      <c r="G2622" s="1"/>
      <c r="H2622" s="170"/>
      <c r="I2622" s="170"/>
    </row>
    <row r="2623" spans="2:9" x14ac:dyDescent="0.15">
      <c r="B2623" s="16"/>
      <c r="C2623" s="16"/>
      <c r="D2623" s="16"/>
      <c r="E2623" s="16"/>
      <c r="F2623" s="16"/>
      <c r="G2623" s="61"/>
      <c r="H2623" s="171"/>
      <c r="I2623" s="170"/>
    </row>
    <row r="2624" spans="2:9" x14ac:dyDescent="0.15">
      <c r="B2624" s="1"/>
      <c r="C2624" s="1"/>
      <c r="D2624" s="1"/>
      <c r="E2624" s="1"/>
      <c r="F2624" s="1"/>
      <c r="G2624" s="159"/>
      <c r="H2624" s="170"/>
      <c r="I2624" s="170"/>
    </row>
    <row r="2625" spans="2:9" x14ac:dyDescent="0.15">
      <c r="B2625" s="1"/>
      <c r="C2625" s="1"/>
      <c r="D2625" s="1"/>
      <c r="E2625" s="1"/>
      <c r="F2625" s="1"/>
      <c r="G2625" s="159"/>
      <c r="H2625" s="170"/>
      <c r="I2625" s="170"/>
    </row>
    <row r="2626" spans="2:9" x14ac:dyDescent="0.15">
      <c r="B2626" s="1"/>
      <c r="C2626" s="1"/>
      <c r="D2626" s="1"/>
      <c r="E2626" s="1"/>
      <c r="F2626" s="1"/>
      <c r="G2626" s="159"/>
      <c r="H2626" s="170"/>
      <c r="I2626" s="170"/>
    </row>
    <row r="2627" spans="2:9" x14ac:dyDescent="0.15">
      <c r="B2627" s="1"/>
      <c r="C2627" s="1"/>
      <c r="D2627" s="1"/>
      <c r="E2627" s="1"/>
      <c r="F2627" s="1"/>
      <c r="G2627" s="1"/>
      <c r="H2627" s="37"/>
      <c r="I2627" s="170"/>
    </row>
    <row r="2628" spans="2:9" ht="14" x14ac:dyDescent="0.15">
      <c r="B2628" s="101"/>
      <c r="C2628" s="1"/>
      <c r="D2628" s="1"/>
      <c r="E2628" s="1"/>
      <c r="F2628" s="1"/>
      <c r="G2628" s="1"/>
      <c r="H2628" s="1"/>
      <c r="I2628" s="170"/>
    </row>
    <row r="2629" spans="2:9" ht="14" x14ac:dyDescent="0.15">
      <c r="B2629" s="83"/>
      <c r="C2629" s="11"/>
      <c r="D2629" s="1"/>
      <c r="E2629" s="637"/>
      <c r="F2629" s="637"/>
      <c r="G2629" s="637"/>
      <c r="H2629" s="637"/>
      <c r="I2629" s="169"/>
    </row>
    <row r="2630" spans="2:9" x14ac:dyDescent="0.15">
      <c r="B2630" s="11"/>
      <c r="C2630" s="11"/>
      <c r="D2630" s="1"/>
      <c r="E2630" s="153"/>
      <c r="F2630" s="153"/>
      <c r="G2630" s="153"/>
      <c r="H2630" s="153"/>
      <c r="I2630" s="169"/>
    </row>
    <row r="2631" spans="2:9" x14ac:dyDescent="0.15">
      <c r="B2631" s="11"/>
      <c r="C2631" s="11"/>
      <c r="D2631" s="1"/>
      <c r="E2631" s="153"/>
      <c r="F2631" s="153"/>
      <c r="G2631" s="153"/>
      <c r="H2631" s="153"/>
      <c r="I2631" s="169"/>
    </row>
    <row r="2632" spans="2:9" x14ac:dyDescent="0.15">
      <c r="B2632" s="11"/>
      <c r="C2632" s="11"/>
      <c r="D2632" s="1"/>
      <c r="E2632" s="153"/>
      <c r="F2632" s="153"/>
      <c r="G2632" s="153"/>
      <c r="H2632" s="153"/>
      <c r="I2632" s="169"/>
    </row>
    <row r="2633" spans="2:9" x14ac:dyDescent="0.15">
      <c r="B2633" s="11"/>
      <c r="C2633" s="11"/>
      <c r="D2633" s="1"/>
      <c r="E2633" s="153"/>
      <c r="F2633" s="153"/>
      <c r="G2633" s="153"/>
      <c r="H2633" s="153"/>
      <c r="I2633" s="169"/>
    </row>
    <row r="2634" spans="2:9" x14ac:dyDescent="0.15">
      <c r="B2634" s="11"/>
      <c r="C2634" s="11"/>
      <c r="D2634" s="1"/>
      <c r="E2634" s="153"/>
      <c r="F2634" s="153"/>
      <c r="G2634" s="153"/>
      <c r="H2634" s="153"/>
      <c r="I2634" s="169"/>
    </row>
    <row r="2635" spans="2:9" x14ac:dyDescent="0.15">
      <c r="B2635" s="11"/>
      <c r="C2635" s="11"/>
      <c r="D2635" s="1"/>
      <c r="E2635" s="153"/>
      <c r="F2635" s="153"/>
      <c r="G2635" s="153"/>
      <c r="H2635" s="153"/>
      <c r="I2635" s="169"/>
    </row>
    <row r="2636" spans="2:9" x14ac:dyDescent="0.15">
      <c r="B2636" s="11"/>
      <c r="C2636" s="11"/>
      <c r="D2636" s="1"/>
      <c r="E2636" s="153"/>
      <c r="F2636" s="153"/>
      <c r="G2636" s="153"/>
      <c r="H2636" s="153"/>
      <c r="I2636" s="169"/>
    </row>
    <row r="2637" spans="2:9" x14ac:dyDescent="0.15">
      <c r="B2637" s="11"/>
      <c r="C2637" s="11"/>
      <c r="D2637" s="1"/>
      <c r="E2637" s="153"/>
      <c r="F2637" s="153"/>
      <c r="G2637" s="153"/>
      <c r="H2637" s="153"/>
      <c r="I2637" s="169"/>
    </row>
    <row r="2638" spans="2:9" x14ac:dyDescent="0.15">
      <c r="B2638" s="11"/>
      <c r="C2638" s="11"/>
      <c r="D2638" s="1"/>
      <c r="E2638" s="153"/>
      <c r="F2638" s="153"/>
      <c r="G2638" s="153"/>
      <c r="H2638" s="153"/>
      <c r="I2638" s="169"/>
    </row>
    <row r="2639" spans="2:9" x14ac:dyDescent="0.15">
      <c r="B2639" s="11"/>
      <c r="C2639" s="11"/>
      <c r="D2639" s="1"/>
      <c r="E2639" s="153"/>
      <c r="F2639" s="153"/>
      <c r="G2639" s="153"/>
      <c r="H2639" s="153"/>
      <c r="I2639" s="169"/>
    </row>
    <row r="2640" spans="2:9" x14ac:dyDescent="0.15">
      <c r="B2640" s="11"/>
      <c r="C2640" s="11"/>
      <c r="D2640" s="1"/>
      <c r="E2640" s="153"/>
      <c r="F2640" s="153"/>
      <c r="G2640" s="153"/>
      <c r="H2640" s="153"/>
      <c r="I2640" s="169"/>
    </row>
    <row r="2641" spans="1:10" x14ac:dyDescent="0.15">
      <c r="B2641" s="11"/>
      <c r="C2641" s="11"/>
      <c r="D2641" s="1"/>
      <c r="E2641" s="153"/>
      <c r="F2641" s="153"/>
      <c r="G2641" s="153"/>
      <c r="H2641" s="153"/>
      <c r="I2641" s="169"/>
    </row>
    <row r="2642" spans="1:10" ht="14" x14ac:dyDescent="0.15">
      <c r="A2642" s="85"/>
      <c r="B2642" s="101"/>
      <c r="C2642" s="83"/>
      <c r="D2642" s="84"/>
      <c r="E2642" s="83"/>
      <c r="F2642" s="83"/>
      <c r="G2642" s="102"/>
      <c r="H2642" s="83"/>
      <c r="I2642" s="85"/>
      <c r="J2642" s="85"/>
    </row>
    <row r="2643" spans="1:10" ht="14" x14ac:dyDescent="0.15">
      <c r="A2643" s="85"/>
      <c r="B2643" s="101"/>
      <c r="C2643" s="83"/>
      <c r="D2643" s="84"/>
      <c r="E2643" s="83"/>
      <c r="F2643" s="83"/>
      <c r="G2643" s="102"/>
      <c r="H2643" s="83"/>
      <c r="I2643" s="85"/>
      <c r="J2643" s="85"/>
    </row>
    <row r="2644" spans="1:10" ht="14" x14ac:dyDescent="0.15">
      <c r="A2644" s="85"/>
      <c r="B2644" s="83"/>
      <c r="C2644" s="83"/>
      <c r="D2644" s="84"/>
      <c r="E2644" s="83"/>
      <c r="F2644" s="83"/>
      <c r="G2644" s="103"/>
      <c r="H2644" s="83"/>
      <c r="I2644" s="85"/>
      <c r="J2644" s="85"/>
    </row>
    <row r="2645" spans="1:10" x14ac:dyDescent="0.15">
      <c r="B2645" s="11"/>
      <c r="C2645" s="11"/>
      <c r="D2645" s="1"/>
      <c r="E2645" s="153"/>
      <c r="F2645" s="153"/>
      <c r="G2645" s="153"/>
      <c r="H2645" s="153"/>
      <c r="I2645" s="169"/>
    </row>
    <row r="2646" spans="1:10" ht="14" thickBot="1" x14ac:dyDescent="0.2"/>
    <row r="2647" spans="1:10" ht="21" customHeight="1" x14ac:dyDescent="0.15">
      <c r="B2647" s="607" t="s">
        <v>1065</v>
      </c>
      <c r="C2647" s="608"/>
      <c r="D2647" s="608"/>
      <c r="E2647" s="608"/>
      <c r="F2647" s="609"/>
      <c r="G2647" s="1"/>
      <c r="H2647" s="638" t="s">
        <v>20</v>
      </c>
      <c r="I2647" s="639"/>
    </row>
    <row r="2648" spans="1:10" ht="16.5" customHeight="1" x14ac:dyDescent="0.15">
      <c r="B2648" s="604" t="s">
        <v>446</v>
      </c>
      <c r="C2648" s="605"/>
      <c r="D2648" s="605"/>
      <c r="E2648" s="605"/>
      <c r="F2648" s="606"/>
      <c r="G2648" s="63"/>
      <c r="H2648" s="640"/>
      <c r="I2648" s="641"/>
    </row>
    <row r="2649" spans="1:10" ht="12.75" customHeight="1" x14ac:dyDescent="0.15">
      <c r="B2649" s="610" t="s">
        <v>447</v>
      </c>
      <c r="C2649" s="611"/>
      <c r="D2649" s="611"/>
      <c r="E2649" s="611"/>
      <c r="F2649" s="612"/>
      <c r="G2649" s="63"/>
      <c r="H2649" s="642"/>
      <c r="I2649" s="643"/>
    </row>
    <row r="2650" spans="1:10" ht="16.5" customHeight="1" thickBot="1" x14ac:dyDescent="0.2">
      <c r="B2650" s="613"/>
      <c r="C2650" s="614"/>
      <c r="D2650" s="614"/>
      <c r="E2650" s="614"/>
      <c r="F2650" s="615"/>
      <c r="G2650" s="1"/>
      <c r="H2650" s="692" t="s">
        <v>993</v>
      </c>
      <c r="I2650" s="693"/>
    </row>
    <row r="2651" spans="1:10" ht="14" thickBot="1" x14ac:dyDescent="0.2">
      <c r="B2651" s="15"/>
      <c r="C2651" s="16"/>
      <c r="D2651" s="1"/>
      <c r="E2651" s="1"/>
      <c r="F2651" s="1"/>
      <c r="G2651" s="1"/>
      <c r="H2651" s="694"/>
      <c r="I2651" s="695"/>
    </row>
    <row r="2652" spans="1:10" ht="12.75" customHeight="1" x14ac:dyDescent="0.15">
      <c r="B2652" s="650" t="s">
        <v>890</v>
      </c>
      <c r="C2652" s="651"/>
      <c r="D2652" s="651"/>
      <c r="E2652" s="651"/>
      <c r="F2652" s="652"/>
      <c r="G2652" s="1"/>
      <c r="H2652" s="694"/>
      <c r="I2652" s="695"/>
    </row>
    <row r="2653" spans="1:10" ht="12.75" customHeight="1" x14ac:dyDescent="0.15">
      <c r="B2653" s="653"/>
      <c r="C2653" s="654"/>
      <c r="D2653" s="654"/>
      <c r="E2653" s="654"/>
      <c r="F2653" s="655"/>
      <c r="H2653" s="694"/>
      <c r="I2653" s="695"/>
    </row>
    <row r="2654" spans="1:10" ht="13.5" customHeight="1" x14ac:dyDescent="0.15">
      <c r="B2654" s="653"/>
      <c r="C2654" s="654"/>
      <c r="D2654" s="654"/>
      <c r="E2654" s="654"/>
      <c r="F2654" s="655"/>
      <c r="G2654" s="11"/>
      <c r="H2654" s="696"/>
      <c r="I2654" s="697"/>
    </row>
    <row r="2655" spans="1:10" ht="21.75" customHeight="1" thickBot="1" x14ac:dyDescent="0.2">
      <c r="B2655" s="656"/>
      <c r="C2655" s="657"/>
      <c r="D2655" s="657"/>
      <c r="E2655" s="657"/>
      <c r="F2655" s="658"/>
      <c r="H2655" s="64" t="s">
        <v>45</v>
      </c>
      <c r="I2655" s="17" t="s">
        <v>193</v>
      </c>
    </row>
    <row r="2656" spans="1:10" x14ac:dyDescent="0.15">
      <c r="B2656" s="18"/>
      <c r="C2656" s="18"/>
      <c r="D2656" s="1"/>
      <c r="E2656" s="18"/>
      <c r="F2656" s="18"/>
      <c r="G2656" s="18"/>
      <c r="H2656" s="18"/>
      <c r="I2656" s="1"/>
    </row>
    <row r="2657" spans="2:9" ht="14" thickBot="1" x14ac:dyDescent="0.2">
      <c r="B2657" s="12" t="s">
        <v>21</v>
      </c>
      <c r="C2657" s="12"/>
      <c r="D2657" s="1"/>
      <c r="E2657" s="1"/>
      <c r="F2657" s="1"/>
      <c r="G2657" s="1"/>
      <c r="H2657" s="1"/>
      <c r="I2657" s="1"/>
    </row>
    <row r="2658" spans="2:9" x14ac:dyDescent="0.15">
      <c r="B2658" s="628" t="s">
        <v>22</v>
      </c>
      <c r="C2658" s="629"/>
      <c r="D2658" s="630"/>
      <c r="E2658" s="205" t="s">
        <v>23</v>
      </c>
      <c r="F2658" s="19" t="s">
        <v>47</v>
      </c>
      <c r="G2658" s="205" t="s">
        <v>24</v>
      </c>
      <c r="H2658" s="204" t="s">
        <v>25</v>
      </c>
      <c r="I2658" s="43"/>
    </row>
    <row r="2659" spans="2:9" x14ac:dyDescent="0.15">
      <c r="B2659" s="631" t="s">
        <v>56</v>
      </c>
      <c r="C2659" s="632"/>
      <c r="D2659" s="633"/>
      <c r="E2659" s="5"/>
      <c r="F2659" s="160"/>
      <c r="G2659" s="58"/>
      <c r="H2659" s="160">
        <f>I2680*0.05</f>
        <v>697.66550000000007</v>
      </c>
      <c r="I2659" s="44"/>
    </row>
    <row r="2660" spans="2:9" ht="14" thickBot="1" x14ac:dyDescent="0.2">
      <c r="B2660" s="634"/>
      <c r="C2660" s="635"/>
      <c r="D2660" s="636"/>
      <c r="E2660" s="21"/>
      <c r="F2660" s="22"/>
      <c r="G2660" s="23"/>
      <c r="H2660" s="47"/>
      <c r="I2660" s="48"/>
    </row>
    <row r="2661" spans="2:9" ht="14" thickBot="1" x14ac:dyDescent="0.2">
      <c r="B2661" s="1"/>
      <c r="C2661" s="1"/>
      <c r="D2661" s="1"/>
      <c r="E2661" s="1"/>
      <c r="F2661" s="1"/>
      <c r="G2661" s="1"/>
      <c r="H2661" s="37" t="s">
        <v>26</v>
      </c>
      <c r="I2661" s="161">
        <f>SUM(H2659:H2660)</f>
        <v>697.66550000000007</v>
      </c>
    </row>
    <row r="2662" spans="2:9" ht="14" thickBot="1" x14ac:dyDescent="0.2">
      <c r="B2662" s="12" t="s">
        <v>27</v>
      </c>
      <c r="C2662" s="12"/>
      <c r="D2662" s="1"/>
      <c r="E2662" s="1"/>
      <c r="F2662" s="1"/>
      <c r="G2662" s="1"/>
      <c r="H2662" s="1"/>
      <c r="I2662" s="1"/>
    </row>
    <row r="2663" spans="2:9" x14ac:dyDescent="0.15">
      <c r="B2663" s="628" t="s">
        <v>22</v>
      </c>
      <c r="C2663" s="629"/>
      <c r="D2663" s="630"/>
      <c r="E2663" s="205" t="s">
        <v>28</v>
      </c>
      <c r="F2663" s="205" t="s">
        <v>29</v>
      </c>
      <c r="G2663" s="205" t="s">
        <v>30</v>
      </c>
      <c r="H2663" s="204" t="s">
        <v>25</v>
      </c>
      <c r="I2663" s="43"/>
    </row>
    <row r="2664" spans="2:9" x14ac:dyDescent="0.15">
      <c r="B2664" s="4" t="s">
        <v>276</v>
      </c>
      <c r="C2664" s="24"/>
      <c r="D2664" s="6"/>
      <c r="E2664" s="3" t="s">
        <v>193</v>
      </c>
      <c r="F2664" s="162">
        <f>MATERIALES!C71</f>
        <v>5350</v>
      </c>
      <c r="G2664" s="65">
        <v>1</v>
      </c>
      <c r="H2664" s="163">
        <f t="shared" ref="H2664:H2667" si="13">G2664*F2664</f>
        <v>5350</v>
      </c>
      <c r="I2664" s="44"/>
    </row>
    <row r="2665" spans="2:9" x14ac:dyDescent="0.15">
      <c r="B2665" s="4" t="s">
        <v>277</v>
      </c>
      <c r="C2665" s="24"/>
      <c r="D2665" s="6"/>
      <c r="E2665" s="3" t="s">
        <v>316</v>
      </c>
      <c r="F2665" s="162">
        <f>MATERIALES!C72</f>
        <v>1995</v>
      </c>
      <c r="G2665" s="65">
        <v>0.2</v>
      </c>
      <c r="H2665" s="163">
        <f t="shared" si="13"/>
        <v>399</v>
      </c>
      <c r="I2665" s="44"/>
    </row>
    <row r="2666" spans="2:9" x14ac:dyDescent="0.15">
      <c r="B2666" s="4" t="s">
        <v>278</v>
      </c>
      <c r="C2666" s="24"/>
      <c r="D2666" s="6"/>
      <c r="E2666" s="3" t="s">
        <v>316</v>
      </c>
      <c r="F2666" s="162">
        <f>MATERIALES!C73</f>
        <v>3780</v>
      </c>
      <c r="G2666" s="65">
        <v>0.2</v>
      </c>
      <c r="H2666" s="163">
        <f t="shared" si="13"/>
        <v>756</v>
      </c>
      <c r="I2666" s="44"/>
    </row>
    <row r="2667" spans="2:9" x14ac:dyDescent="0.15">
      <c r="B2667" s="4" t="s">
        <v>568</v>
      </c>
      <c r="C2667" s="24"/>
      <c r="D2667" s="6"/>
      <c r="E2667" s="3" t="s">
        <v>77</v>
      </c>
      <c r="F2667" s="162">
        <f>MATERIALES!C27</f>
        <v>286200</v>
      </c>
      <c r="G2667" s="398">
        <v>2.5000000000000001E-3</v>
      </c>
      <c r="H2667" s="163">
        <f t="shared" si="13"/>
        <v>715.5</v>
      </c>
      <c r="I2667" s="44"/>
    </row>
    <row r="2668" spans="2:9" ht="14" thickBot="1" x14ac:dyDescent="0.2">
      <c r="B2668" s="25"/>
      <c r="C2668" s="26"/>
      <c r="D2668" s="27"/>
      <c r="E2668" s="21"/>
      <c r="F2668" s="22"/>
      <c r="G2668" s="165"/>
      <c r="H2668" s="47"/>
      <c r="I2668" s="48"/>
    </row>
    <row r="2669" spans="2:9" ht="14" thickBot="1" x14ac:dyDescent="0.2">
      <c r="B2669" s="1"/>
      <c r="C2669" s="1"/>
      <c r="D2669" s="1"/>
      <c r="E2669" s="1"/>
      <c r="F2669" s="1"/>
      <c r="G2669" s="1"/>
      <c r="H2669" s="37" t="s">
        <v>26</v>
      </c>
      <c r="I2669" s="161">
        <f>SUM(H2664:H2667)</f>
        <v>7220.5</v>
      </c>
    </row>
    <row r="2670" spans="2:9" ht="14" thickBot="1" x14ac:dyDescent="0.2">
      <c r="B2670" s="28" t="s">
        <v>31</v>
      </c>
      <c r="C2670" s="28"/>
      <c r="D2670" s="26"/>
      <c r="E2670" s="1"/>
      <c r="F2670" s="1"/>
      <c r="G2670" s="1"/>
      <c r="H2670" s="1"/>
      <c r="I2670" s="1"/>
    </row>
    <row r="2671" spans="2:9" x14ac:dyDescent="0.15">
      <c r="B2671" s="51" t="s">
        <v>32</v>
      </c>
      <c r="C2671" s="52"/>
      <c r="D2671" s="96" t="s">
        <v>33</v>
      </c>
      <c r="E2671" s="205" t="s">
        <v>34</v>
      </c>
      <c r="F2671" s="205" t="s">
        <v>35</v>
      </c>
      <c r="G2671" s="205" t="s">
        <v>36</v>
      </c>
      <c r="H2671" s="59" t="s">
        <v>25</v>
      </c>
      <c r="I2671" s="43"/>
    </row>
    <row r="2672" spans="2:9" x14ac:dyDescent="0.15">
      <c r="B2672" s="4" t="s">
        <v>79</v>
      </c>
      <c r="C2672" s="6"/>
      <c r="D2672" s="53">
        <v>0.02</v>
      </c>
      <c r="E2672" s="2">
        <v>15</v>
      </c>
      <c r="F2672" s="2">
        <f>E2672*D2672</f>
        <v>0.3</v>
      </c>
      <c r="G2672" s="160">
        <v>1100</v>
      </c>
      <c r="H2672" s="20">
        <f>G2672*F2672</f>
        <v>330</v>
      </c>
      <c r="I2672" s="44"/>
    </row>
    <row r="2673" spans="2:9" ht="14" thickBot="1" x14ac:dyDescent="0.2">
      <c r="B2673" s="33"/>
      <c r="C2673" s="54"/>
      <c r="D2673" s="21"/>
      <c r="E2673" s="22"/>
      <c r="F2673" s="23"/>
      <c r="G2673" s="47"/>
      <c r="H2673" s="21"/>
      <c r="I2673" s="48"/>
    </row>
    <row r="2674" spans="2:9" ht="14" thickBot="1" x14ac:dyDescent="0.2">
      <c r="B2674" s="1"/>
      <c r="C2674" s="1"/>
      <c r="D2674" s="1"/>
      <c r="E2674" s="1"/>
      <c r="F2674" s="1"/>
      <c r="G2674" s="1"/>
      <c r="H2674" s="37" t="s">
        <v>26</v>
      </c>
      <c r="I2674" s="161">
        <f>SUM(H2672:H2673)</f>
        <v>330</v>
      </c>
    </row>
    <row r="2675" spans="2:9" ht="14" thickBot="1" x14ac:dyDescent="0.2">
      <c r="B2675" s="28" t="s">
        <v>37</v>
      </c>
      <c r="C2675" s="28"/>
      <c r="D2675" s="1"/>
      <c r="E2675" s="1"/>
      <c r="F2675" s="1"/>
      <c r="G2675" s="1"/>
      <c r="H2675" s="1"/>
      <c r="I2675" s="1"/>
    </row>
    <row r="2676" spans="2:9" x14ac:dyDescent="0.15">
      <c r="B2676" s="51" t="s">
        <v>38</v>
      </c>
      <c r="C2676" s="86"/>
      <c r="D2676" s="31" t="s">
        <v>39</v>
      </c>
      <c r="E2676" s="205" t="s">
        <v>40</v>
      </c>
      <c r="F2676" s="19" t="s">
        <v>41</v>
      </c>
      <c r="G2676" s="31" t="s">
        <v>24</v>
      </c>
      <c r="H2676" s="204" t="s">
        <v>25</v>
      </c>
      <c r="I2676" s="43"/>
    </row>
    <row r="2677" spans="2:9" x14ac:dyDescent="0.15">
      <c r="B2677" s="4" t="s">
        <v>65</v>
      </c>
      <c r="C2677" s="24"/>
      <c r="D2677" s="32">
        <f>'MANO DE OBRA'!E15</f>
        <v>95333</v>
      </c>
      <c r="E2677" s="88">
        <v>1.75</v>
      </c>
      <c r="F2677" s="162">
        <f>+E2677*D2677</f>
        <v>166832.75</v>
      </c>
      <c r="G2677" s="79">
        <v>25</v>
      </c>
      <c r="H2677" s="167">
        <f>+F2677/G2677</f>
        <v>6673.31</v>
      </c>
      <c r="I2677" s="44"/>
    </row>
    <row r="2678" spans="2:9" x14ac:dyDescent="0.15">
      <c r="B2678" s="80" t="s">
        <v>55</v>
      </c>
      <c r="C2678" s="81"/>
      <c r="D2678" s="32">
        <f>'MANO DE OBRA'!E14*2</f>
        <v>104000</v>
      </c>
      <c r="E2678" s="88">
        <v>1.75</v>
      </c>
      <c r="F2678" s="164">
        <f>+E2678*D2678</f>
        <v>182000</v>
      </c>
      <c r="G2678" s="79">
        <v>25</v>
      </c>
      <c r="H2678" s="329">
        <f>+F2678/G2678</f>
        <v>7280</v>
      </c>
      <c r="I2678" s="44"/>
    </row>
    <row r="2679" spans="2:9" ht="14" thickBot="1" x14ac:dyDescent="0.2">
      <c r="B2679" s="33"/>
      <c r="C2679" s="34"/>
      <c r="D2679" s="22"/>
      <c r="E2679" s="21"/>
      <c r="F2679" s="22"/>
      <c r="G2679" s="23"/>
      <c r="H2679" s="47"/>
      <c r="I2679" s="48"/>
    </row>
    <row r="2680" spans="2:9" ht="14" thickBot="1" x14ac:dyDescent="0.2">
      <c r="B2680" s="1"/>
      <c r="C2680" s="1"/>
      <c r="D2680" s="1"/>
      <c r="E2680" s="1"/>
      <c r="F2680" s="1"/>
      <c r="G2680" s="1"/>
      <c r="H2680" s="37" t="s">
        <v>26</v>
      </c>
      <c r="I2680" s="175">
        <f>SUM(H2677:H2679)</f>
        <v>13953.310000000001</v>
      </c>
    </row>
    <row r="2681" spans="2:9" ht="14" thickBot="1" x14ac:dyDescent="0.2">
      <c r="B2681" s="1"/>
      <c r="C2681" s="1"/>
      <c r="D2681" s="1"/>
      <c r="E2681" s="1"/>
      <c r="F2681" s="1"/>
      <c r="G2681" s="1"/>
      <c r="H2681" s="61"/>
      <c r="I2681" s="1"/>
    </row>
    <row r="2682" spans="2:9" ht="15" thickBot="1" x14ac:dyDescent="0.2">
      <c r="B2682" s="1"/>
      <c r="C2682" s="1"/>
      <c r="D2682" s="1"/>
      <c r="E2682" s="1"/>
      <c r="F2682" s="35" t="s">
        <v>43</v>
      </c>
      <c r="G2682" s="16"/>
      <c r="H2682" s="16"/>
      <c r="I2682" s="325">
        <f>ROUND((I2661+I2669+I2674+I2680),0)</f>
        <v>22201</v>
      </c>
    </row>
    <row r="2683" spans="2:9" x14ac:dyDescent="0.15">
      <c r="B2683" s="12"/>
      <c r="C2683" s="12"/>
      <c r="D2683" s="1"/>
      <c r="E2683" s="1"/>
      <c r="F2683" s="1"/>
      <c r="G2683" s="1"/>
      <c r="H2683" s="170"/>
      <c r="I2683" s="170"/>
    </row>
    <row r="2684" spans="2:9" x14ac:dyDescent="0.15">
      <c r="B2684" s="16"/>
      <c r="C2684" s="16"/>
      <c r="D2684" s="16"/>
      <c r="E2684" s="16"/>
      <c r="F2684" s="16"/>
      <c r="G2684" s="61"/>
      <c r="H2684" s="171"/>
      <c r="I2684" s="170"/>
    </row>
    <row r="2685" spans="2:9" x14ac:dyDescent="0.15">
      <c r="B2685" s="1"/>
      <c r="C2685" s="1"/>
      <c r="D2685" s="1"/>
      <c r="E2685" s="1"/>
      <c r="F2685" s="1"/>
      <c r="G2685" s="159"/>
      <c r="H2685" s="170"/>
      <c r="I2685" s="170"/>
    </row>
    <row r="2686" spans="2:9" x14ac:dyDescent="0.15">
      <c r="B2686" s="1"/>
      <c r="C2686" s="1"/>
      <c r="D2686" s="1"/>
      <c r="E2686" s="1"/>
      <c r="F2686" s="1"/>
      <c r="G2686" s="159"/>
      <c r="H2686" s="170"/>
      <c r="I2686" s="170"/>
    </row>
    <row r="2687" spans="2:9" x14ac:dyDescent="0.15">
      <c r="B2687" s="1"/>
      <c r="C2687" s="1"/>
      <c r="D2687" s="1"/>
      <c r="E2687" s="1"/>
      <c r="F2687" s="1"/>
      <c r="G2687" s="159"/>
      <c r="H2687" s="170"/>
      <c r="I2687" s="170"/>
    </row>
    <row r="2688" spans="2:9" x14ac:dyDescent="0.15">
      <c r="B2688" s="1"/>
      <c r="C2688" s="1"/>
      <c r="D2688" s="1"/>
      <c r="E2688" s="1"/>
      <c r="F2688" s="1"/>
      <c r="G2688" s="1"/>
      <c r="H2688" s="37"/>
      <c r="I2688" s="170"/>
    </row>
    <row r="2689" spans="1:10" ht="14" x14ac:dyDescent="0.15">
      <c r="B2689" s="101"/>
      <c r="C2689" s="1"/>
      <c r="D2689" s="1"/>
      <c r="E2689" s="1"/>
      <c r="F2689" s="1"/>
      <c r="G2689" s="1"/>
      <c r="H2689" s="1"/>
      <c r="I2689" s="170"/>
    </row>
    <row r="2690" spans="1:10" ht="14" x14ac:dyDescent="0.15">
      <c r="B2690" s="83"/>
      <c r="C2690" s="11"/>
      <c r="D2690" s="1"/>
      <c r="E2690" s="637"/>
      <c r="F2690" s="637"/>
      <c r="G2690" s="637"/>
      <c r="H2690" s="637"/>
      <c r="I2690" s="169"/>
    </row>
    <row r="2691" spans="1:10" x14ac:dyDescent="0.15">
      <c r="B2691" s="11"/>
      <c r="C2691" s="11"/>
      <c r="D2691" s="1"/>
      <c r="E2691" s="153"/>
      <c r="F2691" s="153"/>
      <c r="G2691" s="153"/>
      <c r="H2691" s="153"/>
      <c r="I2691" s="169"/>
    </row>
    <row r="2692" spans="1:10" x14ac:dyDescent="0.15">
      <c r="B2692" s="11"/>
      <c r="C2692" s="11"/>
      <c r="D2692" s="1"/>
      <c r="E2692" s="153"/>
      <c r="F2692" s="153"/>
      <c r="G2692" s="153"/>
      <c r="H2692" s="153"/>
      <c r="I2692" s="169"/>
    </row>
    <row r="2693" spans="1:10" x14ac:dyDescent="0.15">
      <c r="B2693" s="11"/>
      <c r="C2693" s="11"/>
      <c r="D2693" s="1"/>
      <c r="E2693" s="153"/>
      <c r="F2693" s="153"/>
      <c r="G2693" s="153"/>
      <c r="H2693" s="153"/>
      <c r="I2693" s="169"/>
    </row>
    <row r="2694" spans="1:10" x14ac:dyDescent="0.15">
      <c r="B2694" s="11"/>
      <c r="C2694" s="11"/>
      <c r="D2694" s="1"/>
      <c r="E2694" s="153"/>
      <c r="F2694" s="153"/>
      <c r="G2694" s="153"/>
      <c r="H2694" s="153"/>
      <c r="I2694" s="169"/>
    </row>
    <row r="2695" spans="1:10" x14ac:dyDescent="0.15">
      <c r="B2695" s="11"/>
      <c r="C2695" s="11"/>
      <c r="D2695" s="1"/>
      <c r="E2695" s="153"/>
      <c r="F2695" s="153"/>
      <c r="G2695" s="153"/>
      <c r="H2695" s="153"/>
      <c r="I2695" s="169"/>
    </row>
    <row r="2696" spans="1:10" x14ac:dyDescent="0.15">
      <c r="B2696" s="11"/>
      <c r="C2696" s="11"/>
      <c r="D2696" s="1"/>
      <c r="E2696" s="153"/>
      <c r="F2696" s="153"/>
      <c r="G2696" s="153"/>
      <c r="H2696" s="153"/>
      <c r="I2696" s="169"/>
    </row>
    <row r="2697" spans="1:10" x14ac:dyDescent="0.15">
      <c r="B2697" s="11"/>
      <c r="C2697" s="11"/>
      <c r="D2697" s="1"/>
      <c r="E2697" s="153"/>
      <c r="F2697" s="153"/>
      <c r="G2697" s="153"/>
      <c r="H2697" s="153"/>
      <c r="I2697" s="169"/>
    </row>
    <row r="2698" spans="1:10" x14ac:dyDescent="0.15">
      <c r="B2698" s="11"/>
      <c r="C2698" s="11"/>
      <c r="D2698" s="1"/>
      <c r="E2698" s="153"/>
      <c r="F2698" s="153"/>
      <c r="G2698" s="153"/>
      <c r="H2698" s="153"/>
      <c r="I2698" s="169"/>
    </row>
    <row r="2699" spans="1:10" x14ac:dyDescent="0.15">
      <c r="B2699" s="11"/>
      <c r="C2699" s="11"/>
      <c r="D2699" s="1"/>
      <c r="E2699" s="153"/>
      <c r="F2699" s="153"/>
      <c r="G2699" s="153"/>
      <c r="H2699" s="153"/>
      <c r="I2699" s="169"/>
    </row>
    <row r="2700" spans="1:10" x14ac:dyDescent="0.15">
      <c r="B2700" s="11"/>
      <c r="C2700" s="11"/>
      <c r="D2700" s="1"/>
      <c r="E2700" s="153"/>
      <c r="F2700" s="153"/>
      <c r="G2700" s="153"/>
      <c r="H2700" s="153"/>
      <c r="I2700" s="169"/>
    </row>
    <row r="2701" spans="1:10" x14ac:dyDescent="0.15">
      <c r="B2701" s="11"/>
      <c r="C2701" s="11"/>
      <c r="D2701" s="1"/>
      <c r="E2701" s="153"/>
      <c r="F2701" s="153"/>
      <c r="G2701" s="153"/>
      <c r="H2701" s="153"/>
      <c r="I2701" s="169"/>
    </row>
    <row r="2702" spans="1:10" x14ac:dyDescent="0.15">
      <c r="B2702" s="11"/>
      <c r="C2702" s="11"/>
      <c r="D2702" s="1"/>
      <c r="E2702" s="153"/>
      <c r="F2702" s="153"/>
      <c r="G2702" s="153"/>
      <c r="H2702" s="153"/>
      <c r="I2702" s="169"/>
    </row>
    <row r="2703" spans="1:10" x14ac:dyDescent="0.15">
      <c r="B2703" s="11"/>
      <c r="C2703" s="11"/>
      <c r="D2703" s="1"/>
      <c r="E2703" s="153"/>
      <c r="F2703" s="153"/>
      <c r="G2703" s="153"/>
      <c r="H2703" s="153"/>
      <c r="I2703" s="169"/>
    </row>
    <row r="2704" spans="1:10" ht="14" x14ac:dyDescent="0.15">
      <c r="A2704" s="85"/>
      <c r="B2704" s="101"/>
      <c r="C2704" s="83"/>
      <c r="D2704" s="84"/>
      <c r="E2704" s="83"/>
      <c r="F2704" s="83"/>
      <c r="G2704" s="102"/>
      <c r="H2704" s="83"/>
      <c r="I2704" s="85"/>
      <c r="J2704" s="85"/>
    </row>
    <row r="2705" spans="1:10" ht="14" x14ac:dyDescent="0.15">
      <c r="A2705" s="85"/>
      <c r="B2705" s="83"/>
      <c r="C2705" s="83"/>
      <c r="D2705" s="84"/>
      <c r="E2705" s="83"/>
      <c r="F2705" s="83"/>
      <c r="G2705" s="103"/>
      <c r="H2705" s="83"/>
      <c r="I2705" s="85"/>
      <c r="J2705" s="85"/>
    </row>
    <row r="2706" spans="1:10" x14ac:dyDescent="0.15">
      <c r="B2706" s="11"/>
      <c r="C2706" s="11"/>
      <c r="D2706" s="1"/>
      <c r="E2706" s="153"/>
      <c r="F2706" s="153"/>
      <c r="G2706" s="153"/>
      <c r="H2706" s="153"/>
      <c r="I2706" s="169"/>
    </row>
    <row r="2707" spans="1:10" ht="14" thickBot="1" x14ac:dyDescent="0.2"/>
    <row r="2708" spans="1:10" ht="21" customHeight="1" x14ac:dyDescent="0.15">
      <c r="B2708" s="607" t="s">
        <v>1065</v>
      </c>
      <c r="C2708" s="608"/>
      <c r="D2708" s="608"/>
      <c r="E2708" s="608"/>
      <c r="F2708" s="609"/>
      <c r="G2708" s="1"/>
      <c r="H2708" s="638" t="s">
        <v>20</v>
      </c>
      <c r="I2708" s="639"/>
    </row>
    <row r="2709" spans="1:10" ht="16.5" customHeight="1" x14ac:dyDescent="0.15">
      <c r="B2709" s="604" t="s">
        <v>446</v>
      </c>
      <c r="C2709" s="605"/>
      <c r="D2709" s="605"/>
      <c r="E2709" s="605"/>
      <c r="F2709" s="606"/>
      <c r="G2709" s="63"/>
      <c r="H2709" s="640"/>
      <c r="I2709" s="641"/>
    </row>
    <row r="2710" spans="1:10" ht="12.75" customHeight="1" x14ac:dyDescent="0.15">
      <c r="B2710" s="610" t="s">
        <v>447</v>
      </c>
      <c r="C2710" s="611"/>
      <c r="D2710" s="611"/>
      <c r="E2710" s="611"/>
      <c r="F2710" s="612"/>
      <c r="G2710" s="63"/>
      <c r="H2710" s="642"/>
      <c r="I2710" s="643"/>
    </row>
    <row r="2711" spans="1:10" ht="16.5" customHeight="1" thickBot="1" x14ac:dyDescent="0.2">
      <c r="B2711" s="613"/>
      <c r="C2711" s="614"/>
      <c r="D2711" s="614"/>
      <c r="E2711" s="614"/>
      <c r="F2711" s="615"/>
      <c r="G2711" s="1"/>
      <c r="H2711" s="692" t="s">
        <v>994</v>
      </c>
      <c r="I2711" s="693"/>
    </row>
    <row r="2712" spans="1:10" ht="13.5" customHeight="1" thickBot="1" x14ac:dyDescent="0.2">
      <c r="B2712" s="15"/>
      <c r="C2712" s="16"/>
      <c r="D2712" s="1"/>
      <c r="E2712" s="1"/>
      <c r="F2712" s="1"/>
      <c r="G2712" s="1"/>
      <c r="H2712" s="694"/>
      <c r="I2712" s="695"/>
    </row>
    <row r="2713" spans="1:10" ht="12.75" customHeight="1" x14ac:dyDescent="0.15">
      <c r="B2713" s="650" t="s">
        <v>890</v>
      </c>
      <c r="C2713" s="651"/>
      <c r="D2713" s="651"/>
      <c r="E2713" s="651"/>
      <c r="F2713" s="652"/>
      <c r="G2713" s="1"/>
      <c r="H2713" s="694"/>
      <c r="I2713" s="695"/>
    </row>
    <row r="2714" spans="1:10" ht="12.75" customHeight="1" x14ac:dyDescent="0.15">
      <c r="B2714" s="653"/>
      <c r="C2714" s="654"/>
      <c r="D2714" s="654"/>
      <c r="E2714" s="654"/>
      <c r="F2714" s="655"/>
      <c r="H2714" s="694"/>
      <c r="I2714" s="695"/>
    </row>
    <row r="2715" spans="1:10" ht="13.5" customHeight="1" x14ac:dyDescent="0.15">
      <c r="B2715" s="653"/>
      <c r="C2715" s="654"/>
      <c r="D2715" s="654"/>
      <c r="E2715" s="654"/>
      <c r="F2715" s="655"/>
      <c r="G2715" s="11"/>
      <c r="H2715" s="696"/>
      <c r="I2715" s="697"/>
    </row>
    <row r="2716" spans="1:10" ht="21.75" customHeight="1" thickBot="1" x14ac:dyDescent="0.2">
      <c r="B2716" s="656"/>
      <c r="C2716" s="657"/>
      <c r="D2716" s="657"/>
      <c r="E2716" s="657"/>
      <c r="F2716" s="658"/>
      <c r="H2716" s="64" t="s">
        <v>45</v>
      </c>
      <c r="I2716" s="17" t="s">
        <v>316</v>
      </c>
    </row>
    <row r="2717" spans="1:10" x14ac:dyDescent="0.15">
      <c r="B2717" s="18"/>
      <c r="C2717" s="18"/>
      <c r="D2717" s="1"/>
      <c r="E2717" s="18"/>
      <c r="F2717" s="18"/>
      <c r="G2717" s="18"/>
      <c r="H2717" s="18"/>
      <c r="I2717" s="1"/>
    </row>
    <row r="2718" spans="1:10" ht="14" thickBot="1" x14ac:dyDescent="0.2">
      <c r="B2718" s="12" t="s">
        <v>21</v>
      </c>
      <c r="C2718" s="12"/>
      <c r="D2718" s="1"/>
      <c r="E2718" s="1"/>
      <c r="F2718" s="1"/>
      <c r="G2718" s="1"/>
      <c r="H2718" s="1"/>
      <c r="I2718" s="1"/>
    </row>
    <row r="2719" spans="1:10" x14ac:dyDescent="0.15">
      <c r="B2719" s="628" t="s">
        <v>22</v>
      </c>
      <c r="C2719" s="629"/>
      <c r="D2719" s="630"/>
      <c r="E2719" s="205" t="s">
        <v>23</v>
      </c>
      <c r="F2719" s="19" t="s">
        <v>47</v>
      </c>
      <c r="G2719" s="205" t="s">
        <v>24</v>
      </c>
      <c r="H2719" s="204" t="s">
        <v>25</v>
      </c>
      <c r="I2719" s="43"/>
    </row>
    <row r="2720" spans="1:10" x14ac:dyDescent="0.15">
      <c r="B2720" s="631" t="s">
        <v>56</v>
      </c>
      <c r="C2720" s="632"/>
      <c r="D2720" s="633"/>
      <c r="E2720" s="5"/>
      <c r="F2720" s="160"/>
      <c r="G2720" s="58"/>
      <c r="H2720" s="160">
        <f>I2739*0.05</f>
        <v>3222.9093750000002</v>
      </c>
      <c r="I2720" s="44"/>
    </row>
    <row r="2721" spans="2:9" ht="14" thickBot="1" x14ac:dyDescent="0.2">
      <c r="B2721" s="634"/>
      <c r="C2721" s="635"/>
      <c r="D2721" s="636"/>
      <c r="E2721" s="21"/>
      <c r="F2721" s="22"/>
      <c r="G2721" s="23"/>
      <c r="H2721" s="47"/>
      <c r="I2721" s="48"/>
    </row>
    <row r="2722" spans="2:9" ht="14" thickBot="1" x14ac:dyDescent="0.2">
      <c r="B2722" s="1"/>
      <c r="C2722" s="1"/>
      <c r="D2722" s="1"/>
      <c r="E2722" s="1"/>
      <c r="F2722" s="1"/>
      <c r="G2722" s="1"/>
      <c r="H2722" s="37" t="s">
        <v>26</v>
      </c>
      <c r="I2722" s="161">
        <f>SUM(H2720:H2721)</f>
        <v>3222.9093750000002</v>
      </c>
    </row>
    <row r="2723" spans="2:9" ht="14" thickBot="1" x14ac:dyDescent="0.2">
      <c r="B2723" s="12" t="s">
        <v>27</v>
      </c>
      <c r="C2723" s="12"/>
      <c r="D2723" s="1"/>
      <c r="E2723" s="1"/>
      <c r="F2723" s="1"/>
      <c r="G2723" s="1"/>
      <c r="H2723" s="1"/>
      <c r="I2723" s="1"/>
    </row>
    <row r="2724" spans="2:9" x14ac:dyDescent="0.15">
      <c r="B2724" s="628" t="s">
        <v>22</v>
      </c>
      <c r="C2724" s="629"/>
      <c r="D2724" s="630"/>
      <c r="E2724" s="205" t="s">
        <v>28</v>
      </c>
      <c r="F2724" s="205" t="s">
        <v>29</v>
      </c>
      <c r="G2724" s="205" t="s">
        <v>30</v>
      </c>
      <c r="H2724" s="204" t="s">
        <v>25</v>
      </c>
      <c r="I2724" s="43"/>
    </row>
    <row r="2725" spans="2:9" ht="49.5" customHeight="1" x14ac:dyDescent="0.15">
      <c r="B2725" s="700" t="s">
        <v>287</v>
      </c>
      <c r="C2725" s="701"/>
      <c r="D2725" s="702"/>
      <c r="E2725" s="3" t="s">
        <v>316</v>
      </c>
      <c r="F2725" s="164">
        <f>MATERIALES!C82</f>
        <v>141600</v>
      </c>
      <c r="G2725" s="65">
        <v>1</v>
      </c>
      <c r="H2725" s="163">
        <f>G2725*F2725</f>
        <v>141600</v>
      </c>
      <c r="I2725" s="44"/>
    </row>
    <row r="2726" spans="2:9" x14ac:dyDescent="0.15">
      <c r="B2726" s="703" t="s">
        <v>288</v>
      </c>
      <c r="C2726" s="704"/>
      <c r="D2726" s="705"/>
      <c r="E2726" s="74" t="s">
        <v>316</v>
      </c>
      <c r="F2726" s="164">
        <f>MATERIALES!C83</f>
        <v>84450</v>
      </c>
      <c r="G2726" s="65">
        <v>1</v>
      </c>
      <c r="H2726" s="163">
        <f>G2726*F2726</f>
        <v>84450</v>
      </c>
      <c r="I2726" s="44"/>
    </row>
    <row r="2727" spans="2:9" ht="14" thickBot="1" x14ac:dyDescent="0.2">
      <c r="B2727" s="25"/>
      <c r="C2727" s="26"/>
      <c r="D2727" s="27"/>
      <c r="E2727" s="21"/>
      <c r="F2727" s="22"/>
      <c r="G2727" s="165"/>
      <c r="H2727" s="47"/>
      <c r="I2727" s="48"/>
    </row>
    <row r="2728" spans="2:9" ht="14" thickBot="1" x14ac:dyDescent="0.2">
      <c r="B2728" s="1"/>
      <c r="C2728" s="1"/>
      <c r="D2728" s="1"/>
      <c r="E2728" s="1"/>
      <c r="F2728" s="1"/>
      <c r="G2728" s="1"/>
      <c r="H2728" s="37" t="s">
        <v>26</v>
      </c>
      <c r="I2728" s="161">
        <f>SUM(H2725:H2726)</f>
        <v>226050</v>
      </c>
    </row>
    <row r="2729" spans="2:9" ht="14" thickBot="1" x14ac:dyDescent="0.2">
      <c r="B2729" s="28" t="s">
        <v>31</v>
      </c>
      <c r="C2729" s="28"/>
      <c r="D2729" s="26"/>
      <c r="E2729" s="1"/>
      <c r="F2729" s="1"/>
      <c r="G2729" s="1"/>
      <c r="H2729" s="1"/>
      <c r="I2729" s="1"/>
    </row>
    <row r="2730" spans="2:9" x14ac:dyDescent="0.15">
      <c r="B2730" s="51" t="s">
        <v>32</v>
      </c>
      <c r="C2730" s="52"/>
      <c r="D2730" s="96" t="s">
        <v>33</v>
      </c>
      <c r="E2730" s="205" t="s">
        <v>34</v>
      </c>
      <c r="F2730" s="205" t="s">
        <v>35</v>
      </c>
      <c r="G2730" s="205" t="s">
        <v>36</v>
      </c>
      <c r="H2730" s="59" t="s">
        <v>25</v>
      </c>
      <c r="I2730" s="43"/>
    </row>
    <row r="2731" spans="2:9" x14ac:dyDescent="0.15">
      <c r="B2731" s="4" t="s">
        <v>79</v>
      </c>
      <c r="C2731" s="6"/>
      <c r="D2731" s="53">
        <v>0.2</v>
      </c>
      <c r="E2731" s="2">
        <v>43</v>
      </c>
      <c r="F2731" s="2">
        <f>E2731*D2731</f>
        <v>8.6</v>
      </c>
      <c r="G2731" s="65">
        <v>1100</v>
      </c>
      <c r="H2731" s="20">
        <f>G2731*F2731</f>
        <v>9460</v>
      </c>
      <c r="I2731" s="44"/>
    </row>
    <row r="2732" spans="2:9" ht="14" thickBot="1" x14ac:dyDescent="0.2">
      <c r="B2732" s="33"/>
      <c r="C2732" s="54"/>
      <c r="D2732" s="21"/>
      <c r="E2732" s="22"/>
      <c r="F2732" s="23"/>
      <c r="G2732" s="47"/>
      <c r="H2732" s="21"/>
      <c r="I2732" s="48"/>
    </row>
    <row r="2733" spans="2:9" ht="14" thickBot="1" x14ac:dyDescent="0.2">
      <c r="B2733" s="1"/>
      <c r="C2733" s="1"/>
      <c r="D2733" s="1"/>
      <c r="E2733" s="1"/>
      <c r="F2733" s="1"/>
      <c r="G2733" s="1"/>
      <c r="H2733" s="37" t="s">
        <v>26</v>
      </c>
      <c r="I2733" s="161">
        <f>SUM(H2731:H2732)</f>
        <v>9460</v>
      </c>
    </row>
    <row r="2734" spans="2:9" ht="14" thickBot="1" x14ac:dyDescent="0.2">
      <c r="B2734" s="28" t="s">
        <v>37</v>
      </c>
      <c r="C2734" s="28"/>
      <c r="D2734" s="1"/>
      <c r="E2734" s="1"/>
      <c r="F2734" s="1"/>
      <c r="G2734" s="1"/>
      <c r="H2734" s="1"/>
      <c r="I2734" s="1"/>
    </row>
    <row r="2735" spans="2:9" x14ac:dyDescent="0.15">
      <c r="B2735" s="51" t="s">
        <v>38</v>
      </c>
      <c r="C2735" s="86"/>
      <c r="D2735" s="31" t="s">
        <v>39</v>
      </c>
      <c r="E2735" s="205" t="s">
        <v>40</v>
      </c>
      <c r="F2735" s="19" t="s">
        <v>41</v>
      </c>
      <c r="G2735" s="31" t="s">
        <v>24</v>
      </c>
      <c r="H2735" s="204" t="s">
        <v>25</v>
      </c>
      <c r="I2735" s="43"/>
    </row>
    <row r="2736" spans="2:9" x14ac:dyDescent="0.15">
      <c r="B2736" s="4" t="s">
        <v>65</v>
      </c>
      <c r="C2736" s="24"/>
      <c r="D2736" s="32">
        <f>'MANO DE OBRA'!E15</f>
        <v>95333</v>
      </c>
      <c r="E2736" s="88">
        <v>1.75</v>
      </c>
      <c r="F2736" s="162">
        <f>+E2736*D2736</f>
        <v>166832.75</v>
      </c>
      <c r="G2736" s="79">
        <v>4</v>
      </c>
      <c r="H2736" s="167">
        <f>+F2736/G2736</f>
        <v>41708.1875</v>
      </c>
      <c r="I2736" s="44"/>
    </row>
    <row r="2737" spans="2:10" x14ac:dyDescent="0.15">
      <c r="B2737" s="80" t="s">
        <v>72</v>
      </c>
      <c r="C2737" s="24"/>
      <c r="D2737" s="32">
        <f>'MANO DE OBRA'!E14</f>
        <v>52000</v>
      </c>
      <c r="E2737" s="88">
        <v>1.75</v>
      </c>
      <c r="F2737" s="162">
        <f>+E2737*D2737</f>
        <v>91000</v>
      </c>
      <c r="G2737" s="79">
        <v>4</v>
      </c>
      <c r="H2737" s="167">
        <f>+F2737/G2737</f>
        <v>22750</v>
      </c>
      <c r="I2737" s="44"/>
      <c r="J2737" s="330"/>
    </row>
    <row r="2738" spans="2:10" ht="14" thickBot="1" x14ac:dyDescent="0.2">
      <c r="B2738" s="33"/>
      <c r="C2738" s="34"/>
      <c r="D2738" s="22"/>
      <c r="E2738" s="21"/>
      <c r="F2738" s="22"/>
      <c r="G2738" s="23"/>
      <c r="H2738" s="47"/>
      <c r="I2738" s="48"/>
    </row>
    <row r="2739" spans="2:10" ht="14" thickBot="1" x14ac:dyDescent="0.2">
      <c r="B2739" s="1"/>
      <c r="C2739" s="1"/>
      <c r="D2739" s="1"/>
      <c r="E2739" s="1"/>
      <c r="F2739" s="1"/>
      <c r="G2739" s="1"/>
      <c r="H2739" s="37" t="s">
        <v>26</v>
      </c>
      <c r="I2739" s="175">
        <f>SUM(H2736:H2738)</f>
        <v>64458.1875</v>
      </c>
    </row>
    <row r="2740" spans="2:10" ht="14" thickBot="1" x14ac:dyDescent="0.2">
      <c r="B2740" s="1"/>
      <c r="C2740" s="1"/>
      <c r="D2740" s="1"/>
      <c r="E2740" s="1"/>
      <c r="F2740" s="1"/>
      <c r="G2740" s="1"/>
      <c r="H2740" s="61"/>
      <c r="I2740" s="1"/>
    </row>
    <row r="2741" spans="2:10" ht="15" thickBot="1" x14ac:dyDescent="0.2">
      <c r="B2741" s="1"/>
      <c r="C2741" s="1"/>
      <c r="D2741" s="1"/>
      <c r="E2741" s="1"/>
      <c r="F2741" s="35" t="s">
        <v>43</v>
      </c>
      <c r="G2741" s="16"/>
      <c r="H2741" s="16"/>
      <c r="I2741" s="222">
        <f>ROUND((I2722+I2728+I2733+I2739),0)</f>
        <v>303191</v>
      </c>
    </row>
    <row r="2742" spans="2:10" x14ac:dyDescent="0.15">
      <c r="B2742" s="12"/>
      <c r="C2742" s="12"/>
      <c r="D2742" s="1"/>
      <c r="E2742" s="1"/>
      <c r="F2742" s="1"/>
      <c r="G2742" s="1"/>
      <c r="H2742" s="170"/>
      <c r="I2742" s="170"/>
    </row>
    <row r="2743" spans="2:10" x14ac:dyDescent="0.15">
      <c r="B2743" s="16"/>
      <c r="C2743" s="16"/>
      <c r="D2743" s="16"/>
      <c r="E2743" s="16"/>
      <c r="F2743" s="16"/>
      <c r="G2743" s="61"/>
      <c r="H2743" s="171"/>
      <c r="I2743" s="170"/>
    </row>
    <row r="2744" spans="2:10" x14ac:dyDescent="0.15">
      <c r="B2744" s="1"/>
      <c r="C2744" s="1"/>
      <c r="D2744" s="1"/>
      <c r="E2744" s="1"/>
      <c r="F2744" s="1"/>
      <c r="G2744" s="159"/>
      <c r="H2744" s="170"/>
      <c r="I2744" s="170"/>
    </row>
    <row r="2745" spans="2:10" x14ac:dyDescent="0.15">
      <c r="B2745" s="1"/>
      <c r="C2745" s="1"/>
      <c r="D2745" s="1"/>
      <c r="E2745" s="1"/>
      <c r="F2745" s="1"/>
      <c r="G2745" s="159"/>
      <c r="H2745" s="170"/>
      <c r="I2745" s="170"/>
    </row>
    <row r="2746" spans="2:10" x14ac:dyDescent="0.15">
      <c r="B2746" s="1"/>
      <c r="C2746" s="1"/>
      <c r="D2746" s="1"/>
      <c r="E2746" s="1"/>
      <c r="F2746" s="1"/>
      <c r="G2746" s="159"/>
      <c r="H2746" s="170"/>
      <c r="I2746" s="170"/>
    </row>
    <row r="2747" spans="2:10" x14ac:dyDescent="0.15">
      <c r="B2747" s="1"/>
      <c r="C2747" s="1"/>
      <c r="D2747" s="1"/>
      <c r="E2747" s="1"/>
      <c r="F2747" s="1"/>
      <c r="G2747" s="1"/>
      <c r="H2747" s="37"/>
      <c r="I2747" s="170"/>
    </row>
    <row r="2748" spans="2:10" ht="14" x14ac:dyDescent="0.15">
      <c r="B2748" s="101"/>
      <c r="C2748" s="1"/>
      <c r="D2748" s="1"/>
      <c r="E2748" s="1"/>
      <c r="F2748" s="1"/>
      <c r="G2748" s="1"/>
      <c r="H2748" s="1"/>
      <c r="I2748" s="170"/>
    </row>
    <row r="2749" spans="2:10" ht="14" x14ac:dyDescent="0.15">
      <c r="B2749" s="101"/>
      <c r="C2749" s="1"/>
      <c r="D2749" s="1"/>
      <c r="E2749" s="1"/>
      <c r="F2749" s="1"/>
      <c r="G2749" s="1"/>
      <c r="H2749" s="1"/>
      <c r="I2749" s="170"/>
    </row>
    <row r="2750" spans="2:10" ht="14" x14ac:dyDescent="0.15">
      <c r="B2750" s="101"/>
      <c r="C2750" s="1"/>
      <c r="D2750" s="1"/>
      <c r="E2750" s="1"/>
      <c r="F2750" s="1"/>
      <c r="G2750" s="1"/>
      <c r="H2750" s="1"/>
      <c r="I2750" s="170"/>
    </row>
    <row r="2751" spans="2:10" ht="14" x14ac:dyDescent="0.15">
      <c r="B2751" s="101"/>
      <c r="C2751" s="1"/>
      <c r="D2751" s="1"/>
      <c r="E2751" s="1"/>
      <c r="F2751" s="1"/>
      <c r="G2751" s="1"/>
      <c r="H2751" s="1"/>
      <c r="I2751" s="170"/>
    </row>
    <row r="2752" spans="2:10" ht="14" x14ac:dyDescent="0.15">
      <c r="B2752" s="101"/>
      <c r="C2752" s="1"/>
      <c r="D2752" s="1"/>
      <c r="E2752" s="1"/>
      <c r="F2752" s="1"/>
      <c r="G2752" s="1"/>
      <c r="H2752" s="1"/>
      <c r="I2752" s="170"/>
    </row>
    <row r="2753" spans="2:9" ht="14" x14ac:dyDescent="0.15">
      <c r="B2753" s="83"/>
      <c r="C2753" s="11"/>
      <c r="D2753" s="1"/>
      <c r="E2753" s="637"/>
      <c r="F2753" s="637"/>
      <c r="G2753" s="637"/>
      <c r="H2753" s="637"/>
      <c r="I2753" s="169"/>
    </row>
    <row r="2754" spans="2:9" ht="14" x14ac:dyDescent="0.15">
      <c r="B2754" s="101"/>
      <c r="C2754" s="11"/>
      <c r="D2754" s="1"/>
      <c r="E2754" s="153"/>
      <c r="F2754" s="153"/>
      <c r="G2754" s="153"/>
      <c r="H2754" s="153"/>
      <c r="I2754" s="169"/>
    </row>
    <row r="2755" spans="2:9" ht="14" x14ac:dyDescent="0.15">
      <c r="B2755" s="83"/>
      <c r="C2755" s="11"/>
      <c r="D2755" s="1"/>
      <c r="E2755" s="153"/>
      <c r="F2755" s="153"/>
      <c r="G2755" s="153"/>
      <c r="H2755" s="153"/>
      <c r="I2755" s="169"/>
    </row>
    <row r="2756" spans="2:9" x14ac:dyDescent="0.15">
      <c r="B2756" s="11"/>
      <c r="C2756" s="11"/>
      <c r="D2756" s="1"/>
      <c r="E2756" s="153"/>
      <c r="F2756" s="153"/>
      <c r="G2756" s="153"/>
      <c r="H2756" s="153"/>
      <c r="I2756" s="169"/>
    </row>
    <row r="2757" spans="2:9" x14ac:dyDescent="0.15">
      <c r="B2757" s="11"/>
      <c r="C2757" s="11"/>
      <c r="D2757" s="1"/>
      <c r="E2757" s="153"/>
      <c r="F2757" s="153"/>
      <c r="G2757" s="153"/>
      <c r="H2757" s="153"/>
      <c r="I2757" s="169"/>
    </row>
    <row r="2758" spans="2:9" x14ac:dyDescent="0.15">
      <c r="B2758" s="11"/>
      <c r="C2758" s="11"/>
      <c r="D2758" s="1"/>
      <c r="E2758" s="153"/>
      <c r="F2758" s="153"/>
      <c r="G2758" s="153"/>
      <c r="H2758" s="153"/>
      <c r="I2758" s="169"/>
    </row>
    <row r="2759" spans="2:9" x14ac:dyDescent="0.15">
      <c r="B2759" s="11"/>
      <c r="C2759" s="11"/>
      <c r="D2759" s="1"/>
      <c r="E2759" s="153"/>
      <c r="F2759" s="153"/>
      <c r="G2759" s="153"/>
      <c r="H2759" s="153"/>
      <c r="I2759" s="169"/>
    </row>
    <row r="2760" spans="2:9" x14ac:dyDescent="0.15">
      <c r="B2760" s="11"/>
      <c r="C2760" s="11"/>
      <c r="D2760" s="1"/>
      <c r="E2760" s="153"/>
      <c r="F2760" s="153"/>
      <c r="G2760" s="153"/>
      <c r="H2760" s="153"/>
      <c r="I2760" s="169"/>
    </row>
    <row r="2761" spans="2:9" x14ac:dyDescent="0.15">
      <c r="B2761" s="11"/>
      <c r="C2761" s="11"/>
      <c r="D2761" s="1"/>
      <c r="E2761" s="153"/>
      <c r="F2761" s="153"/>
      <c r="G2761" s="153"/>
      <c r="H2761" s="153"/>
      <c r="I2761" s="169"/>
    </row>
    <row r="2762" spans="2:9" x14ac:dyDescent="0.15">
      <c r="B2762" s="11"/>
      <c r="C2762" s="11"/>
      <c r="D2762" s="1"/>
      <c r="E2762" s="153"/>
      <c r="F2762" s="153"/>
      <c r="G2762" s="153"/>
      <c r="H2762" s="153"/>
      <c r="I2762" s="169"/>
    </row>
    <row r="2763" spans="2:9" x14ac:dyDescent="0.15">
      <c r="B2763" s="11"/>
      <c r="C2763" s="11"/>
      <c r="D2763" s="1"/>
      <c r="E2763" s="153"/>
      <c r="F2763" s="153"/>
      <c r="G2763" s="153"/>
      <c r="H2763" s="153"/>
      <c r="I2763" s="169"/>
    </row>
    <row r="2764" spans="2:9" x14ac:dyDescent="0.15">
      <c r="B2764" s="11"/>
      <c r="C2764" s="11"/>
      <c r="D2764" s="1"/>
      <c r="E2764" s="153"/>
      <c r="F2764" s="153"/>
      <c r="G2764" s="153"/>
      <c r="H2764" s="153"/>
      <c r="I2764" s="169"/>
    </row>
    <row r="2765" spans="2:9" ht="14" thickBot="1" x14ac:dyDescent="0.2">
      <c r="B2765" s="11"/>
      <c r="C2765" s="11"/>
      <c r="D2765" s="1"/>
      <c r="E2765" s="153"/>
      <c r="F2765" s="153"/>
      <c r="G2765" s="153"/>
      <c r="H2765" s="153"/>
      <c r="I2765" s="169"/>
    </row>
    <row r="2766" spans="2:9" ht="21" customHeight="1" x14ac:dyDescent="0.15">
      <c r="B2766" s="607" t="s">
        <v>1065</v>
      </c>
      <c r="C2766" s="608"/>
      <c r="D2766" s="608"/>
      <c r="E2766" s="608"/>
      <c r="F2766" s="609"/>
      <c r="G2766" s="1"/>
      <c r="H2766" s="638" t="s">
        <v>20</v>
      </c>
      <c r="I2766" s="639"/>
    </row>
    <row r="2767" spans="2:9" ht="16.5" customHeight="1" x14ac:dyDescent="0.15">
      <c r="B2767" s="604" t="s">
        <v>446</v>
      </c>
      <c r="C2767" s="605"/>
      <c r="D2767" s="605"/>
      <c r="E2767" s="605"/>
      <c r="F2767" s="606"/>
      <c r="G2767" s="63"/>
      <c r="H2767" s="640"/>
      <c r="I2767" s="641"/>
    </row>
    <row r="2768" spans="2:9" ht="12.75" customHeight="1" x14ac:dyDescent="0.15">
      <c r="B2768" s="610" t="s">
        <v>447</v>
      </c>
      <c r="C2768" s="611"/>
      <c r="D2768" s="611"/>
      <c r="E2768" s="611"/>
      <c r="F2768" s="612"/>
      <c r="G2768" s="63"/>
      <c r="H2768" s="642"/>
      <c r="I2768" s="643"/>
    </row>
    <row r="2769" spans="2:9" ht="16.5" customHeight="1" thickBot="1" x14ac:dyDescent="0.2">
      <c r="B2769" s="613"/>
      <c r="C2769" s="614"/>
      <c r="D2769" s="614"/>
      <c r="E2769" s="614"/>
      <c r="F2769" s="615"/>
      <c r="G2769" s="1"/>
      <c r="H2769" s="685" t="s">
        <v>1000</v>
      </c>
      <c r="I2769" s="686"/>
    </row>
    <row r="2770" spans="2:9" ht="13.5" customHeight="1" thickBot="1" x14ac:dyDescent="0.2">
      <c r="B2770" s="15"/>
      <c r="C2770" s="16"/>
      <c r="D2770" s="1"/>
      <c r="E2770" s="1"/>
      <c r="F2770" s="1"/>
      <c r="G2770" s="1"/>
      <c r="H2770" s="687"/>
      <c r="I2770" s="688"/>
    </row>
    <row r="2771" spans="2:9" ht="12.75" customHeight="1" x14ac:dyDescent="0.15">
      <c r="B2771" s="650" t="s">
        <v>890</v>
      </c>
      <c r="C2771" s="651"/>
      <c r="D2771" s="651"/>
      <c r="E2771" s="651"/>
      <c r="F2771" s="652"/>
      <c r="G2771" s="1"/>
      <c r="H2771" s="687"/>
      <c r="I2771" s="688"/>
    </row>
    <row r="2772" spans="2:9" ht="12.75" customHeight="1" x14ac:dyDescent="0.15">
      <c r="B2772" s="653"/>
      <c r="C2772" s="654"/>
      <c r="D2772" s="654"/>
      <c r="E2772" s="654"/>
      <c r="F2772" s="655"/>
      <c r="H2772" s="687"/>
      <c r="I2772" s="688"/>
    </row>
    <row r="2773" spans="2:9" ht="13.5" customHeight="1" x14ac:dyDescent="0.15">
      <c r="B2773" s="653"/>
      <c r="C2773" s="654"/>
      <c r="D2773" s="654"/>
      <c r="E2773" s="654"/>
      <c r="F2773" s="655"/>
      <c r="G2773" s="11"/>
      <c r="H2773" s="689"/>
      <c r="I2773" s="690"/>
    </row>
    <row r="2774" spans="2:9" ht="21.75" customHeight="1" thickBot="1" x14ac:dyDescent="0.2">
      <c r="B2774" s="656"/>
      <c r="C2774" s="657"/>
      <c r="D2774" s="657"/>
      <c r="E2774" s="657"/>
      <c r="F2774" s="658"/>
      <c r="H2774" s="64" t="s">
        <v>45</v>
      </c>
      <c r="I2774" s="17" t="s">
        <v>316</v>
      </c>
    </row>
    <row r="2775" spans="2:9" x14ac:dyDescent="0.15">
      <c r="B2775" s="18"/>
      <c r="C2775" s="18"/>
      <c r="D2775" s="1"/>
      <c r="E2775" s="18"/>
      <c r="F2775" s="18"/>
      <c r="G2775" s="18"/>
      <c r="H2775" s="18"/>
      <c r="I2775" s="1"/>
    </row>
    <row r="2776" spans="2:9" ht="14" thickBot="1" x14ac:dyDescent="0.2">
      <c r="B2776" s="12" t="s">
        <v>21</v>
      </c>
      <c r="C2776" s="12"/>
      <c r="D2776" s="1"/>
      <c r="E2776" s="1"/>
      <c r="F2776" s="1"/>
      <c r="G2776" s="1"/>
      <c r="H2776" s="1"/>
      <c r="I2776" s="1"/>
    </row>
    <row r="2777" spans="2:9" x14ac:dyDescent="0.15">
      <c r="B2777" s="628" t="s">
        <v>22</v>
      </c>
      <c r="C2777" s="629"/>
      <c r="D2777" s="630"/>
      <c r="E2777" s="205" t="s">
        <v>23</v>
      </c>
      <c r="F2777" s="19" t="s">
        <v>47</v>
      </c>
      <c r="G2777" s="205" t="s">
        <v>24</v>
      </c>
      <c r="H2777" s="204" t="s">
        <v>25</v>
      </c>
      <c r="I2777" s="43"/>
    </row>
    <row r="2778" spans="2:9" x14ac:dyDescent="0.15">
      <c r="B2778" s="631" t="s">
        <v>56</v>
      </c>
      <c r="C2778" s="632"/>
      <c r="D2778" s="633"/>
      <c r="E2778" s="5"/>
      <c r="F2778" s="160"/>
      <c r="G2778" s="58"/>
      <c r="H2778" s="160">
        <f>I2798*0.05</f>
        <v>12217.576388888889</v>
      </c>
      <c r="I2778" s="44"/>
    </row>
    <row r="2779" spans="2:9" ht="14" thickBot="1" x14ac:dyDescent="0.2">
      <c r="B2779" s="634"/>
      <c r="C2779" s="635"/>
      <c r="D2779" s="636"/>
      <c r="E2779" s="21"/>
      <c r="F2779" s="22"/>
      <c r="G2779" s="23"/>
      <c r="H2779" s="47"/>
      <c r="I2779" s="48"/>
    </row>
    <row r="2780" spans="2:9" ht="14" thickBot="1" x14ac:dyDescent="0.2">
      <c r="B2780" s="1"/>
      <c r="C2780" s="1"/>
      <c r="D2780" s="1"/>
      <c r="E2780" s="1"/>
      <c r="F2780" s="1"/>
      <c r="G2780" s="1"/>
      <c r="H2780" s="37" t="s">
        <v>26</v>
      </c>
      <c r="I2780" s="161">
        <f>SUM(H2778:H2779)</f>
        <v>12217.576388888889</v>
      </c>
    </row>
    <row r="2781" spans="2:9" ht="14" thickBot="1" x14ac:dyDescent="0.2">
      <c r="B2781" s="12" t="s">
        <v>27</v>
      </c>
      <c r="C2781" s="12"/>
      <c r="D2781" s="1"/>
      <c r="E2781" s="1"/>
      <c r="F2781" s="1"/>
      <c r="G2781" s="1"/>
      <c r="H2781" s="1"/>
      <c r="I2781" s="1"/>
    </row>
    <row r="2782" spans="2:9" x14ac:dyDescent="0.15">
      <c r="B2782" s="628" t="s">
        <v>22</v>
      </c>
      <c r="C2782" s="629"/>
      <c r="D2782" s="630"/>
      <c r="E2782" s="205" t="s">
        <v>28</v>
      </c>
      <c r="F2782" s="205" t="s">
        <v>29</v>
      </c>
      <c r="G2782" s="205" t="s">
        <v>30</v>
      </c>
      <c r="H2782" s="204" t="s">
        <v>25</v>
      </c>
      <c r="I2782" s="43"/>
    </row>
    <row r="2783" spans="2:9" x14ac:dyDescent="0.15">
      <c r="B2783" s="4" t="s">
        <v>687</v>
      </c>
      <c r="C2783" s="24"/>
      <c r="D2783" s="6"/>
      <c r="E2783" s="74" t="s">
        <v>316</v>
      </c>
      <c r="F2783" s="164">
        <f>MATERIALES!C84</f>
        <v>675000</v>
      </c>
      <c r="G2783" s="65">
        <v>1</v>
      </c>
      <c r="H2783" s="163">
        <f>G2783*F2783</f>
        <v>675000</v>
      </c>
      <c r="I2783" s="44"/>
    </row>
    <row r="2784" spans="2:9" x14ac:dyDescent="0.15">
      <c r="B2784" s="4" t="s">
        <v>187</v>
      </c>
      <c r="C2784" s="24"/>
      <c r="D2784" s="6"/>
      <c r="E2784" s="3" t="s">
        <v>58</v>
      </c>
      <c r="F2784" s="162">
        <f>MATERIALES!C9</f>
        <v>2800</v>
      </c>
      <c r="G2784" s="65">
        <v>3</v>
      </c>
      <c r="H2784" s="163">
        <f>G2784*F2784</f>
        <v>8400</v>
      </c>
      <c r="I2784" s="44"/>
    </row>
    <row r="2785" spans="2:9" x14ac:dyDescent="0.15">
      <c r="B2785" s="4" t="s">
        <v>319</v>
      </c>
      <c r="C2785" s="24"/>
      <c r="D2785" s="6"/>
      <c r="E2785" s="3" t="s">
        <v>58</v>
      </c>
      <c r="F2785" s="162">
        <f>MATERIALES!C50</f>
        <v>4500</v>
      </c>
      <c r="G2785" s="65">
        <v>3</v>
      </c>
      <c r="H2785" s="163">
        <f>G2785*F2785</f>
        <v>13500</v>
      </c>
      <c r="I2785" s="44"/>
    </row>
    <row r="2786" spans="2:9" ht="14" thickBot="1" x14ac:dyDescent="0.2">
      <c r="B2786" s="25"/>
      <c r="C2786" s="26"/>
      <c r="D2786" s="27"/>
      <c r="E2786" s="21"/>
      <c r="F2786" s="22"/>
      <c r="G2786" s="165"/>
      <c r="H2786" s="47"/>
      <c r="I2786" s="48"/>
    </row>
    <row r="2787" spans="2:9" ht="14" thickBot="1" x14ac:dyDescent="0.2">
      <c r="B2787" s="1"/>
      <c r="C2787" s="1"/>
      <c r="D2787" s="1"/>
      <c r="E2787" s="1"/>
      <c r="F2787" s="1"/>
      <c r="G2787" s="1"/>
      <c r="H2787" s="37" t="s">
        <v>26</v>
      </c>
      <c r="I2787" s="161">
        <f>SUM(H2783:H2785)</f>
        <v>696900</v>
      </c>
    </row>
    <row r="2788" spans="2:9" ht="14" thickBot="1" x14ac:dyDescent="0.2">
      <c r="B2788" s="28" t="s">
        <v>31</v>
      </c>
      <c r="C2788" s="28"/>
      <c r="D2788" s="26"/>
      <c r="E2788" s="1"/>
      <c r="F2788" s="1"/>
      <c r="G2788" s="1"/>
      <c r="H2788" s="1"/>
      <c r="I2788" s="1"/>
    </row>
    <row r="2789" spans="2:9" x14ac:dyDescent="0.15">
      <c r="B2789" s="51" t="s">
        <v>32</v>
      </c>
      <c r="C2789" s="52"/>
      <c r="D2789" s="96" t="s">
        <v>33</v>
      </c>
      <c r="E2789" s="205" t="s">
        <v>34</v>
      </c>
      <c r="F2789" s="205" t="s">
        <v>35</v>
      </c>
      <c r="G2789" s="205" t="s">
        <v>36</v>
      </c>
      <c r="H2789" s="59" t="s">
        <v>25</v>
      </c>
      <c r="I2789" s="43"/>
    </row>
    <row r="2790" spans="2:9" x14ac:dyDescent="0.15">
      <c r="B2790" s="4" t="s">
        <v>79</v>
      </c>
      <c r="C2790" s="6"/>
      <c r="D2790" s="53">
        <v>2</v>
      </c>
      <c r="E2790" s="2">
        <v>15</v>
      </c>
      <c r="F2790" s="2">
        <f>E2790*D2790</f>
        <v>30</v>
      </c>
      <c r="G2790" s="65">
        <v>1100</v>
      </c>
      <c r="H2790" s="20">
        <f>G2790*F2790</f>
        <v>33000</v>
      </c>
      <c r="I2790" s="44"/>
    </row>
    <row r="2791" spans="2:9" ht="14" thickBot="1" x14ac:dyDescent="0.2">
      <c r="B2791" s="33"/>
      <c r="C2791" s="54"/>
      <c r="D2791" s="21"/>
      <c r="E2791" s="22"/>
      <c r="F2791" s="23"/>
      <c r="G2791" s="47"/>
      <c r="H2791" s="21"/>
      <c r="I2791" s="48"/>
    </row>
    <row r="2792" spans="2:9" ht="14" thickBot="1" x14ac:dyDescent="0.2">
      <c r="B2792" s="1"/>
      <c r="C2792" s="1"/>
      <c r="D2792" s="1"/>
      <c r="E2792" s="1"/>
      <c r="F2792" s="1"/>
      <c r="G2792" s="1"/>
      <c r="H2792" s="37" t="s">
        <v>26</v>
      </c>
      <c r="I2792" s="161">
        <f>SUM(H2790:H2791)</f>
        <v>33000</v>
      </c>
    </row>
    <row r="2793" spans="2:9" ht="14" thickBot="1" x14ac:dyDescent="0.2">
      <c r="B2793" s="28" t="s">
        <v>37</v>
      </c>
      <c r="C2793" s="28"/>
      <c r="D2793" s="1"/>
      <c r="E2793" s="1"/>
      <c r="F2793" s="1"/>
      <c r="G2793" s="1"/>
      <c r="H2793" s="1"/>
      <c r="I2793" s="1"/>
    </row>
    <row r="2794" spans="2:9" x14ac:dyDescent="0.15">
      <c r="B2794" s="51" t="s">
        <v>38</v>
      </c>
      <c r="C2794" s="86"/>
      <c r="D2794" s="31" t="s">
        <v>39</v>
      </c>
      <c r="E2794" s="205" t="s">
        <v>40</v>
      </c>
      <c r="F2794" s="19" t="s">
        <v>41</v>
      </c>
      <c r="G2794" s="31" t="s">
        <v>24</v>
      </c>
      <c r="H2794" s="59" t="s">
        <v>25</v>
      </c>
      <c r="I2794" s="43"/>
    </row>
    <row r="2795" spans="2:9" x14ac:dyDescent="0.15">
      <c r="B2795" s="4" t="s">
        <v>65</v>
      </c>
      <c r="C2795" s="24"/>
      <c r="D2795" s="32">
        <f>'MANO DE OBRA'!E15</f>
        <v>95333</v>
      </c>
      <c r="E2795" s="88">
        <v>1.75</v>
      </c>
      <c r="F2795" s="162">
        <f>+E2795*D2795</f>
        <v>166832.75</v>
      </c>
      <c r="G2795" s="79">
        <v>1.8</v>
      </c>
      <c r="H2795" s="167">
        <f>+F2795/G2795</f>
        <v>92684.861111111109</v>
      </c>
      <c r="I2795" s="44"/>
    </row>
    <row r="2796" spans="2:9" x14ac:dyDescent="0.15">
      <c r="B2796" s="80" t="s">
        <v>64</v>
      </c>
      <c r="C2796" s="24"/>
      <c r="D2796" s="32">
        <f>'MANO DE OBRA'!E14*3</f>
        <v>156000</v>
      </c>
      <c r="E2796" s="88">
        <v>1.75</v>
      </c>
      <c r="F2796" s="162">
        <f>+E2796*D2796</f>
        <v>273000</v>
      </c>
      <c r="G2796" s="79">
        <v>1.8</v>
      </c>
      <c r="H2796" s="167">
        <f>+F2796/G2796</f>
        <v>151666.66666666666</v>
      </c>
      <c r="I2796" s="44"/>
    </row>
    <row r="2797" spans="2:9" ht="14" thickBot="1" x14ac:dyDescent="0.2">
      <c r="B2797" s="33"/>
      <c r="C2797" s="34"/>
      <c r="D2797" s="22"/>
      <c r="E2797" s="21"/>
      <c r="F2797" s="22"/>
      <c r="G2797" s="23"/>
      <c r="H2797" s="87"/>
      <c r="I2797" s="44"/>
    </row>
    <row r="2798" spans="2:9" ht="14" thickBot="1" x14ac:dyDescent="0.2">
      <c r="B2798" s="1"/>
      <c r="C2798" s="1"/>
      <c r="D2798" s="1"/>
      <c r="E2798" s="1"/>
      <c r="F2798" s="1"/>
      <c r="G2798" s="1"/>
      <c r="H2798" s="37" t="s">
        <v>26</v>
      </c>
      <c r="I2798" s="161">
        <f>SUM(H2795:H2797)</f>
        <v>244351.52777777775</v>
      </c>
    </row>
    <row r="2799" spans="2:9" ht="14" thickBot="1" x14ac:dyDescent="0.2">
      <c r="B2799" s="1"/>
      <c r="C2799" s="1"/>
      <c r="D2799" s="1"/>
      <c r="E2799" s="1"/>
      <c r="F2799" s="1"/>
      <c r="G2799" s="1"/>
      <c r="H2799" s="61"/>
      <c r="I2799" s="1"/>
    </row>
    <row r="2800" spans="2:9" ht="15" thickBot="1" x14ac:dyDescent="0.2">
      <c r="B2800" s="1"/>
      <c r="C2800" s="1"/>
      <c r="D2800" s="1"/>
      <c r="E2800" s="1"/>
      <c r="F2800" s="35" t="s">
        <v>43</v>
      </c>
      <c r="G2800" s="16"/>
      <c r="H2800" s="16"/>
      <c r="I2800" s="325">
        <f>ROUND((I2780+I2787+I2792+I2798),0)</f>
        <v>986469</v>
      </c>
    </row>
    <row r="2801" spans="2:9" x14ac:dyDescent="0.15">
      <c r="B2801" s="12"/>
      <c r="C2801" s="12"/>
      <c r="D2801" s="1"/>
      <c r="E2801" s="1"/>
      <c r="F2801" s="1"/>
      <c r="G2801" s="1"/>
      <c r="H2801" s="170"/>
      <c r="I2801" s="170"/>
    </row>
    <row r="2802" spans="2:9" x14ac:dyDescent="0.15">
      <c r="B2802" s="16"/>
      <c r="C2802" s="16"/>
      <c r="D2802" s="16"/>
      <c r="E2802" s="16"/>
      <c r="F2802" s="16"/>
      <c r="G2802" s="61"/>
      <c r="H2802" s="171"/>
      <c r="I2802" s="170"/>
    </row>
    <row r="2803" spans="2:9" x14ac:dyDescent="0.15">
      <c r="B2803" s="1"/>
      <c r="C2803" s="1"/>
      <c r="D2803" s="1"/>
      <c r="E2803" s="1"/>
      <c r="F2803" s="1"/>
      <c r="G2803" s="159"/>
      <c r="H2803" s="170"/>
      <c r="I2803" s="170"/>
    </row>
    <row r="2804" spans="2:9" x14ac:dyDescent="0.15">
      <c r="B2804" s="1"/>
      <c r="C2804" s="1"/>
      <c r="D2804" s="1"/>
      <c r="E2804" s="1"/>
      <c r="F2804" s="1"/>
      <c r="G2804" s="159"/>
      <c r="H2804" s="170"/>
      <c r="I2804" s="170"/>
    </row>
    <row r="2805" spans="2:9" x14ac:dyDescent="0.15">
      <c r="B2805" s="1"/>
      <c r="C2805" s="1"/>
      <c r="D2805" s="1"/>
      <c r="E2805" s="1"/>
      <c r="F2805" s="1"/>
      <c r="G2805" s="159"/>
      <c r="H2805" s="170"/>
      <c r="I2805" s="170"/>
    </row>
    <row r="2806" spans="2:9" x14ac:dyDescent="0.15">
      <c r="B2806" s="1"/>
      <c r="C2806" s="1"/>
      <c r="D2806" s="1"/>
      <c r="E2806" s="1"/>
      <c r="F2806" s="1"/>
      <c r="G2806" s="1"/>
      <c r="H2806" s="37"/>
      <c r="I2806" s="170"/>
    </row>
    <row r="2807" spans="2:9" x14ac:dyDescent="0.15">
      <c r="B2807" s="1"/>
      <c r="C2807" s="1"/>
      <c r="D2807" s="1"/>
      <c r="E2807" s="1"/>
      <c r="F2807" s="1"/>
      <c r="G2807" s="1"/>
      <c r="H2807" s="37"/>
      <c r="I2807" s="170"/>
    </row>
    <row r="2808" spans="2:9" x14ac:dyDescent="0.15">
      <c r="B2808" s="1"/>
      <c r="C2808" s="1"/>
      <c r="D2808" s="1"/>
      <c r="E2808" s="1"/>
      <c r="F2808" s="1"/>
      <c r="G2808" s="1"/>
      <c r="H2808" s="37"/>
      <c r="I2808" s="170"/>
    </row>
    <row r="2809" spans="2:9" x14ac:dyDescent="0.15">
      <c r="B2809" s="1"/>
      <c r="C2809" s="1"/>
      <c r="D2809" s="1"/>
      <c r="E2809" s="1"/>
      <c r="F2809" s="1"/>
      <c r="G2809" s="1"/>
      <c r="H2809" s="37"/>
      <c r="I2809" s="170"/>
    </row>
    <row r="2810" spans="2:9" x14ac:dyDescent="0.15">
      <c r="B2810" s="1"/>
      <c r="C2810" s="1"/>
      <c r="D2810" s="1"/>
      <c r="E2810" s="1"/>
      <c r="F2810" s="1"/>
      <c r="G2810" s="1"/>
      <c r="H2810" s="37"/>
      <c r="I2810" s="170"/>
    </row>
    <row r="2811" spans="2:9" x14ac:dyDescent="0.15">
      <c r="B2811" s="1"/>
      <c r="C2811" s="1"/>
      <c r="D2811" s="1"/>
      <c r="E2811" s="1"/>
      <c r="F2811" s="1"/>
      <c r="G2811" s="1"/>
      <c r="H2811" s="37"/>
      <c r="I2811" s="170"/>
    </row>
    <row r="2812" spans="2:9" ht="14" x14ac:dyDescent="0.15">
      <c r="B2812" s="101"/>
      <c r="C2812" s="1"/>
      <c r="D2812" s="1"/>
      <c r="E2812" s="1"/>
      <c r="F2812" s="1"/>
      <c r="G2812" s="1"/>
      <c r="H2812" s="1"/>
      <c r="I2812" s="170"/>
    </row>
    <row r="2813" spans="2:9" ht="14" x14ac:dyDescent="0.15">
      <c r="B2813" s="83"/>
      <c r="C2813" s="11"/>
      <c r="D2813" s="1"/>
      <c r="E2813" s="637"/>
      <c r="F2813" s="637"/>
      <c r="G2813" s="637"/>
      <c r="H2813" s="637"/>
      <c r="I2813" s="169"/>
    </row>
    <row r="2814" spans="2:9" x14ac:dyDescent="0.15">
      <c r="B2814" s="11"/>
      <c r="C2814" s="11"/>
      <c r="D2814" s="1"/>
      <c r="E2814" s="153"/>
      <c r="F2814" s="153"/>
      <c r="G2814" s="153"/>
      <c r="H2814" s="153"/>
      <c r="I2814" s="169"/>
    </row>
    <row r="2815" spans="2:9" x14ac:dyDescent="0.15">
      <c r="B2815" s="11"/>
      <c r="C2815" s="11"/>
      <c r="D2815" s="1"/>
      <c r="E2815" s="153"/>
      <c r="F2815" s="153"/>
      <c r="G2815" s="153"/>
      <c r="H2815" s="153"/>
      <c r="I2815" s="169"/>
    </row>
    <row r="2816" spans="2:9" x14ac:dyDescent="0.15">
      <c r="B2816" s="11"/>
      <c r="C2816" s="11"/>
      <c r="D2816" s="1"/>
      <c r="E2816" s="153"/>
      <c r="F2816" s="153"/>
      <c r="G2816" s="153"/>
      <c r="H2816" s="153"/>
      <c r="I2816" s="169"/>
    </row>
    <row r="2817" spans="1:10" x14ac:dyDescent="0.15">
      <c r="B2817" s="11"/>
      <c r="C2817" s="11"/>
      <c r="D2817" s="1"/>
      <c r="E2817" s="153"/>
      <c r="F2817" s="153"/>
      <c r="G2817" s="153"/>
      <c r="H2817" s="153"/>
      <c r="I2817" s="169"/>
    </row>
    <row r="2818" spans="1:10" x14ac:dyDescent="0.15">
      <c r="B2818" s="11"/>
      <c r="C2818" s="11"/>
      <c r="D2818" s="1"/>
      <c r="E2818" s="153"/>
      <c r="F2818" s="153"/>
      <c r="G2818" s="153"/>
      <c r="H2818" s="153"/>
      <c r="I2818" s="169"/>
    </row>
    <row r="2819" spans="1:10" x14ac:dyDescent="0.15">
      <c r="B2819" s="11"/>
      <c r="C2819" s="11"/>
      <c r="D2819" s="1"/>
      <c r="E2819" s="153"/>
      <c r="F2819" s="153"/>
      <c r="G2819" s="153"/>
      <c r="H2819" s="153"/>
      <c r="I2819" s="169"/>
    </row>
    <row r="2820" spans="1:10" x14ac:dyDescent="0.15">
      <c r="B2820" s="11"/>
      <c r="C2820" s="11"/>
      <c r="D2820" s="1"/>
      <c r="E2820" s="153"/>
      <c r="F2820" s="153"/>
      <c r="G2820" s="153"/>
      <c r="H2820" s="153"/>
      <c r="I2820" s="169"/>
    </row>
    <row r="2821" spans="1:10" x14ac:dyDescent="0.15">
      <c r="B2821" s="11"/>
      <c r="C2821" s="11"/>
      <c r="D2821" s="1"/>
      <c r="E2821" s="153"/>
      <c r="F2821" s="153"/>
      <c r="G2821" s="153"/>
      <c r="H2821" s="153"/>
      <c r="I2821" s="169"/>
    </row>
    <row r="2822" spans="1:10" ht="14" x14ac:dyDescent="0.15">
      <c r="A2822" s="85"/>
      <c r="B2822" s="83"/>
      <c r="C2822" s="83"/>
      <c r="D2822" s="84"/>
      <c r="E2822" s="83"/>
      <c r="F2822" s="154"/>
      <c r="G2822" s="155"/>
      <c r="H2822" s="156"/>
      <c r="I2822" s="157"/>
      <c r="J2822" s="85"/>
    </row>
    <row r="2823" spans="1:10" ht="14" x14ac:dyDescent="0.15">
      <c r="B2823" s="83"/>
      <c r="C2823" s="11"/>
      <c r="D2823" s="11"/>
      <c r="E2823" s="11"/>
      <c r="F2823" s="691"/>
      <c r="G2823" s="691"/>
      <c r="H2823" s="691"/>
      <c r="I2823" s="691"/>
    </row>
    <row r="2824" spans="1:10" ht="14" x14ac:dyDescent="0.15">
      <c r="A2824" s="85"/>
      <c r="B2824" s="83"/>
      <c r="C2824" s="83"/>
      <c r="D2824" s="84"/>
      <c r="E2824" s="83"/>
      <c r="G2824" s="83"/>
      <c r="H2824" s="83"/>
      <c r="I2824" s="85"/>
      <c r="J2824" s="85"/>
    </row>
    <row r="2825" spans="1:10" x14ac:dyDescent="0.15">
      <c r="B2825" s="11"/>
      <c r="C2825" s="11"/>
      <c r="D2825" s="1"/>
      <c r="E2825" s="153"/>
      <c r="F2825" s="153"/>
      <c r="G2825" s="153"/>
      <c r="H2825" s="153"/>
      <c r="I2825" s="169"/>
    </row>
    <row r="2826" spans="1:10" ht="14" thickBot="1" x14ac:dyDescent="0.2">
      <c r="B2826" s="11"/>
      <c r="C2826" s="11"/>
      <c r="D2826" s="1"/>
      <c r="E2826" s="153"/>
      <c r="F2826" s="153"/>
      <c r="G2826" s="153"/>
      <c r="H2826" s="153"/>
      <c r="I2826" s="169"/>
    </row>
    <row r="2827" spans="1:10" ht="21" customHeight="1" x14ac:dyDescent="0.15">
      <c r="B2827" s="607" t="s">
        <v>1065</v>
      </c>
      <c r="C2827" s="608"/>
      <c r="D2827" s="608"/>
      <c r="E2827" s="608"/>
      <c r="F2827" s="609"/>
      <c r="G2827" s="1"/>
      <c r="H2827" s="638" t="s">
        <v>20</v>
      </c>
      <c r="I2827" s="639"/>
    </row>
    <row r="2828" spans="1:10" ht="16.5" customHeight="1" x14ac:dyDescent="0.15">
      <c r="B2828" s="604" t="s">
        <v>446</v>
      </c>
      <c r="C2828" s="605"/>
      <c r="D2828" s="605"/>
      <c r="E2828" s="605"/>
      <c r="F2828" s="606"/>
      <c r="G2828" s="63"/>
      <c r="H2828" s="640"/>
      <c r="I2828" s="641"/>
    </row>
    <row r="2829" spans="1:10" ht="12.75" customHeight="1" x14ac:dyDescent="0.15">
      <c r="B2829" s="610" t="s">
        <v>447</v>
      </c>
      <c r="C2829" s="611"/>
      <c r="D2829" s="611"/>
      <c r="E2829" s="611"/>
      <c r="F2829" s="612"/>
      <c r="G2829" s="63"/>
      <c r="H2829" s="642"/>
      <c r="I2829" s="643"/>
    </row>
    <row r="2830" spans="1:10" ht="16.5" customHeight="1" thickBot="1" x14ac:dyDescent="0.2">
      <c r="B2830" s="613"/>
      <c r="C2830" s="614"/>
      <c r="D2830" s="614"/>
      <c r="E2830" s="614"/>
      <c r="F2830" s="615"/>
      <c r="G2830" s="1"/>
      <c r="H2830" s="685" t="s">
        <v>1003</v>
      </c>
      <c r="I2830" s="686"/>
    </row>
    <row r="2831" spans="1:10" ht="13.5" customHeight="1" thickBot="1" x14ac:dyDescent="0.2">
      <c r="B2831" s="15"/>
      <c r="C2831" s="16"/>
      <c r="D2831" s="1"/>
      <c r="E2831" s="1"/>
      <c r="F2831" s="1"/>
      <c r="G2831" s="1"/>
      <c r="H2831" s="687"/>
      <c r="I2831" s="688"/>
    </row>
    <row r="2832" spans="1:10" ht="12.75" customHeight="1" x14ac:dyDescent="0.15">
      <c r="B2832" s="650" t="s">
        <v>890</v>
      </c>
      <c r="C2832" s="651"/>
      <c r="D2832" s="651"/>
      <c r="E2832" s="651"/>
      <c r="F2832" s="652"/>
      <c r="G2832" s="1"/>
      <c r="H2832" s="687"/>
      <c r="I2832" s="688"/>
    </row>
    <row r="2833" spans="2:9" ht="12.75" customHeight="1" x14ac:dyDescent="0.15">
      <c r="B2833" s="653"/>
      <c r="C2833" s="654"/>
      <c r="D2833" s="654"/>
      <c r="E2833" s="654"/>
      <c r="F2833" s="655"/>
      <c r="H2833" s="687"/>
      <c r="I2833" s="688"/>
    </row>
    <row r="2834" spans="2:9" ht="13.5" customHeight="1" x14ac:dyDescent="0.15">
      <c r="B2834" s="653"/>
      <c r="C2834" s="654"/>
      <c r="D2834" s="654"/>
      <c r="E2834" s="654"/>
      <c r="F2834" s="655"/>
      <c r="G2834" s="11"/>
      <c r="H2834" s="689"/>
      <c r="I2834" s="690"/>
    </row>
    <row r="2835" spans="2:9" ht="21.75" customHeight="1" thickBot="1" x14ac:dyDescent="0.2">
      <c r="B2835" s="656"/>
      <c r="C2835" s="657"/>
      <c r="D2835" s="657"/>
      <c r="E2835" s="657"/>
      <c r="F2835" s="658"/>
      <c r="H2835" s="64" t="s">
        <v>45</v>
      </c>
      <c r="I2835" s="17" t="s">
        <v>316</v>
      </c>
    </row>
    <row r="2836" spans="2:9" x14ac:dyDescent="0.15">
      <c r="B2836" s="18"/>
      <c r="C2836" s="18"/>
      <c r="D2836" s="1"/>
      <c r="E2836" s="18"/>
      <c r="F2836" s="18"/>
      <c r="G2836" s="18"/>
      <c r="H2836" s="18"/>
      <c r="I2836" s="1"/>
    </row>
    <row r="2837" spans="2:9" ht="14" thickBot="1" x14ac:dyDescent="0.2">
      <c r="B2837" s="12" t="s">
        <v>21</v>
      </c>
      <c r="C2837" s="12"/>
      <c r="D2837" s="1"/>
      <c r="E2837" s="1"/>
      <c r="F2837" s="1"/>
      <c r="G2837" s="1"/>
      <c r="H2837" s="1"/>
      <c r="I2837" s="1"/>
    </row>
    <row r="2838" spans="2:9" x14ac:dyDescent="0.15">
      <c r="B2838" s="628" t="s">
        <v>22</v>
      </c>
      <c r="C2838" s="629"/>
      <c r="D2838" s="630"/>
      <c r="E2838" s="205" t="s">
        <v>23</v>
      </c>
      <c r="F2838" s="19" t="s">
        <v>47</v>
      </c>
      <c r="G2838" s="205" t="s">
        <v>24</v>
      </c>
      <c r="H2838" s="204" t="s">
        <v>25</v>
      </c>
      <c r="I2838" s="43"/>
    </row>
    <row r="2839" spans="2:9" x14ac:dyDescent="0.15">
      <c r="B2839" s="631" t="s">
        <v>56</v>
      </c>
      <c r="C2839" s="632"/>
      <c r="D2839" s="633"/>
      <c r="E2839" s="5"/>
      <c r="F2839" s="160"/>
      <c r="G2839" s="58"/>
      <c r="H2839" s="160">
        <f>I2858*0.05</f>
        <v>1466.1091666666669</v>
      </c>
      <c r="I2839" s="44"/>
    </row>
    <row r="2840" spans="2:9" ht="14" thickBot="1" x14ac:dyDescent="0.2">
      <c r="B2840" s="634"/>
      <c r="C2840" s="635"/>
      <c r="D2840" s="636"/>
      <c r="E2840" s="21"/>
      <c r="F2840" s="22"/>
      <c r="G2840" s="23"/>
      <c r="H2840" s="47"/>
      <c r="I2840" s="48"/>
    </row>
    <row r="2841" spans="2:9" ht="14" thickBot="1" x14ac:dyDescent="0.2">
      <c r="B2841" s="1"/>
      <c r="C2841" s="1"/>
      <c r="D2841" s="1"/>
      <c r="E2841" s="1"/>
      <c r="F2841" s="1"/>
      <c r="G2841" s="1"/>
      <c r="H2841" s="37" t="s">
        <v>26</v>
      </c>
      <c r="I2841" s="161">
        <f>SUM(H2839:H2840)</f>
        <v>1466.1091666666669</v>
      </c>
    </row>
    <row r="2842" spans="2:9" ht="14" thickBot="1" x14ac:dyDescent="0.2">
      <c r="B2842" s="12" t="s">
        <v>27</v>
      </c>
      <c r="C2842" s="12"/>
      <c r="D2842" s="1"/>
      <c r="E2842" s="1"/>
      <c r="F2842" s="1"/>
      <c r="G2842" s="1"/>
      <c r="H2842" s="1"/>
      <c r="I2842" s="1"/>
    </row>
    <row r="2843" spans="2:9" x14ac:dyDescent="0.15">
      <c r="B2843" s="628" t="s">
        <v>22</v>
      </c>
      <c r="C2843" s="629"/>
      <c r="D2843" s="630"/>
      <c r="E2843" s="205" t="s">
        <v>28</v>
      </c>
      <c r="F2843" s="205" t="s">
        <v>29</v>
      </c>
      <c r="G2843" s="205" t="s">
        <v>30</v>
      </c>
      <c r="H2843" s="204" t="s">
        <v>25</v>
      </c>
      <c r="I2843" s="43"/>
    </row>
    <row r="2844" spans="2:9" x14ac:dyDescent="0.15">
      <c r="B2844" s="4" t="s">
        <v>1004</v>
      </c>
      <c r="C2844" s="24"/>
      <c r="D2844" s="6"/>
      <c r="E2844" s="74" t="s">
        <v>316</v>
      </c>
      <c r="F2844" s="164">
        <f>MATERIALES!C186</f>
        <v>337500</v>
      </c>
      <c r="G2844" s="65">
        <v>1</v>
      </c>
      <c r="H2844" s="163">
        <f>G2844*F2844</f>
        <v>337500</v>
      </c>
      <c r="I2844" s="44"/>
    </row>
    <row r="2845" spans="2:9" x14ac:dyDescent="0.15">
      <c r="B2845" s="4"/>
      <c r="C2845" s="24"/>
      <c r="D2845" s="6"/>
      <c r="E2845" s="3"/>
      <c r="F2845" s="162"/>
      <c r="G2845" s="65"/>
      <c r="H2845" s="163"/>
      <c r="I2845" s="44"/>
    </row>
    <row r="2846" spans="2:9" ht="14" thickBot="1" x14ac:dyDescent="0.2">
      <c r="B2846" s="25"/>
      <c r="C2846" s="26"/>
      <c r="D2846" s="27"/>
      <c r="E2846" s="21"/>
      <c r="F2846" s="22"/>
      <c r="G2846" s="165"/>
      <c r="H2846" s="47"/>
      <c r="I2846" s="48"/>
    </row>
    <row r="2847" spans="2:9" ht="14" thickBot="1" x14ac:dyDescent="0.2">
      <c r="B2847" s="1"/>
      <c r="C2847" s="1"/>
      <c r="D2847" s="1"/>
      <c r="E2847" s="1"/>
      <c r="F2847" s="1"/>
      <c r="G2847" s="1"/>
      <c r="H2847" s="37" t="s">
        <v>26</v>
      </c>
      <c r="I2847" s="161">
        <f>SUM(H2844:H2845)</f>
        <v>337500</v>
      </c>
    </row>
    <row r="2848" spans="2:9" ht="14" thickBot="1" x14ac:dyDescent="0.2">
      <c r="B2848" s="28" t="s">
        <v>31</v>
      </c>
      <c r="C2848" s="28"/>
      <c r="D2848" s="26"/>
      <c r="E2848" s="1"/>
      <c r="F2848" s="1"/>
      <c r="G2848" s="1"/>
      <c r="H2848" s="1"/>
      <c r="I2848" s="1"/>
    </row>
    <row r="2849" spans="2:9" x14ac:dyDescent="0.15">
      <c r="B2849" s="51" t="s">
        <v>32</v>
      </c>
      <c r="C2849" s="52"/>
      <c r="D2849" s="96" t="s">
        <v>33</v>
      </c>
      <c r="E2849" s="205" t="s">
        <v>34</v>
      </c>
      <c r="F2849" s="205" t="s">
        <v>35</v>
      </c>
      <c r="G2849" s="205" t="s">
        <v>36</v>
      </c>
      <c r="H2849" s="59" t="s">
        <v>25</v>
      </c>
      <c r="I2849" s="43"/>
    </row>
    <row r="2850" spans="2:9" x14ac:dyDescent="0.15">
      <c r="B2850" s="4" t="s">
        <v>79</v>
      </c>
      <c r="C2850" s="6"/>
      <c r="D2850" s="53">
        <v>0.1</v>
      </c>
      <c r="E2850" s="2">
        <v>43</v>
      </c>
      <c r="F2850" s="2">
        <f>E2850*D2850</f>
        <v>4.3</v>
      </c>
      <c r="G2850" s="65">
        <v>1100</v>
      </c>
      <c r="H2850" s="20">
        <f>G2850*F2850</f>
        <v>4730</v>
      </c>
      <c r="I2850" s="44"/>
    </row>
    <row r="2851" spans="2:9" ht="14" thickBot="1" x14ac:dyDescent="0.2">
      <c r="B2851" s="33"/>
      <c r="C2851" s="54"/>
      <c r="D2851" s="21"/>
      <c r="E2851" s="22"/>
      <c r="F2851" s="23"/>
      <c r="G2851" s="47"/>
      <c r="H2851" s="21"/>
      <c r="I2851" s="48"/>
    </row>
    <row r="2852" spans="2:9" ht="14" thickBot="1" x14ac:dyDescent="0.2">
      <c r="B2852" s="1"/>
      <c r="C2852" s="1"/>
      <c r="D2852" s="1"/>
      <c r="E2852" s="1"/>
      <c r="F2852" s="1"/>
      <c r="G2852" s="1"/>
      <c r="H2852" s="37" t="s">
        <v>26</v>
      </c>
      <c r="I2852" s="161">
        <f>SUM(H2850:H2851)</f>
        <v>4730</v>
      </c>
    </row>
    <row r="2853" spans="2:9" ht="14" thickBot="1" x14ac:dyDescent="0.2">
      <c r="B2853" s="28" t="s">
        <v>37</v>
      </c>
      <c r="C2853" s="28"/>
      <c r="D2853" s="1"/>
      <c r="E2853" s="1"/>
      <c r="F2853" s="1"/>
      <c r="G2853" s="1"/>
      <c r="H2853" s="1"/>
      <c r="I2853" s="1"/>
    </row>
    <row r="2854" spans="2:9" x14ac:dyDescent="0.15">
      <c r="B2854" s="51" t="s">
        <v>38</v>
      </c>
      <c r="C2854" s="86"/>
      <c r="D2854" s="31" t="s">
        <v>39</v>
      </c>
      <c r="E2854" s="205" t="s">
        <v>40</v>
      </c>
      <c r="F2854" s="19" t="s">
        <v>41</v>
      </c>
      <c r="G2854" s="31" t="s">
        <v>24</v>
      </c>
      <c r="H2854" s="59" t="s">
        <v>25</v>
      </c>
      <c r="I2854" s="43"/>
    </row>
    <row r="2855" spans="2:9" x14ac:dyDescent="0.15">
      <c r="B2855" s="4" t="s">
        <v>65</v>
      </c>
      <c r="C2855" s="24"/>
      <c r="D2855" s="32">
        <f>'MANO DE OBRA'!E15</f>
        <v>95333</v>
      </c>
      <c r="E2855" s="88">
        <v>1.75</v>
      </c>
      <c r="F2855" s="162">
        <f>+E2855*D2855</f>
        <v>166832.75</v>
      </c>
      <c r="G2855" s="79">
        <v>15</v>
      </c>
      <c r="H2855" s="167">
        <f>+F2855/G2855</f>
        <v>11122.183333333332</v>
      </c>
      <c r="I2855" s="44"/>
    </row>
    <row r="2856" spans="2:9" x14ac:dyDescent="0.15">
      <c r="B2856" s="80" t="s">
        <v>64</v>
      </c>
      <c r="C2856" s="24"/>
      <c r="D2856" s="32">
        <f>'MANO DE OBRA'!E14*3</f>
        <v>156000</v>
      </c>
      <c r="E2856" s="88">
        <v>1.75</v>
      </c>
      <c r="F2856" s="162">
        <f>+E2856*D2856</f>
        <v>273000</v>
      </c>
      <c r="G2856" s="79">
        <v>15</v>
      </c>
      <c r="H2856" s="167">
        <f>+F2856/G2856</f>
        <v>18200</v>
      </c>
      <c r="I2856" s="44"/>
    </row>
    <row r="2857" spans="2:9" ht="14" thickBot="1" x14ac:dyDescent="0.2">
      <c r="B2857" s="33"/>
      <c r="C2857" s="34"/>
      <c r="D2857" s="22"/>
      <c r="E2857" s="21"/>
      <c r="F2857" s="22"/>
      <c r="G2857" s="23"/>
      <c r="H2857" s="87"/>
      <c r="I2857" s="44"/>
    </row>
    <row r="2858" spans="2:9" ht="14" thickBot="1" x14ac:dyDescent="0.2">
      <c r="B2858" s="1"/>
      <c r="C2858" s="1"/>
      <c r="D2858" s="1"/>
      <c r="E2858" s="1"/>
      <c r="F2858" s="1"/>
      <c r="G2858" s="1"/>
      <c r="H2858" s="37" t="s">
        <v>26</v>
      </c>
      <c r="I2858" s="161">
        <f>SUM(H2855:H2857)</f>
        <v>29322.183333333334</v>
      </c>
    </row>
    <row r="2859" spans="2:9" ht="14" thickBot="1" x14ac:dyDescent="0.2">
      <c r="B2859" s="1"/>
      <c r="C2859" s="1"/>
      <c r="D2859" s="1"/>
      <c r="E2859" s="1"/>
      <c r="F2859" s="1"/>
      <c r="G2859" s="1"/>
      <c r="H2859" s="61"/>
      <c r="I2859" s="1"/>
    </row>
    <row r="2860" spans="2:9" ht="15" thickBot="1" x14ac:dyDescent="0.2">
      <c r="B2860" s="1"/>
      <c r="C2860" s="1"/>
      <c r="D2860" s="1"/>
      <c r="E2860" s="1"/>
      <c r="F2860" s="35" t="s">
        <v>43</v>
      </c>
      <c r="G2860" s="16"/>
      <c r="H2860" s="16"/>
      <c r="I2860" s="325">
        <f>ROUND((I2841+I2847+I2852+I2858),0)</f>
        <v>373018</v>
      </c>
    </row>
    <row r="2861" spans="2:9" x14ac:dyDescent="0.15">
      <c r="B2861" s="12"/>
      <c r="C2861" s="12"/>
      <c r="D2861" s="1"/>
      <c r="E2861" s="1"/>
      <c r="F2861" s="1"/>
      <c r="G2861" s="1"/>
      <c r="H2861" s="170"/>
      <c r="I2861" s="170"/>
    </row>
    <row r="2862" spans="2:9" x14ac:dyDescent="0.15">
      <c r="B2862" s="16"/>
      <c r="C2862" s="16"/>
      <c r="D2862" s="16"/>
      <c r="E2862" s="16"/>
      <c r="F2862" s="16"/>
      <c r="G2862" s="61"/>
      <c r="H2862" s="171"/>
      <c r="I2862" s="170"/>
    </row>
    <row r="2863" spans="2:9" x14ac:dyDescent="0.15">
      <c r="B2863" s="1"/>
      <c r="C2863" s="1"/>
      <c r="D2863" s="1"/>
      <c r="E2863" s="1"/>
      <c r="F2863" s="1"/>
      <c r="G2863" s="159"/>
      <c r="H2863" s="170"/>
      <c r="I2863" s="170"/>
    </row>
    <row r="2864" spans="2:9" x14ac:dyDescent="0.15">
      <c r="B2864" s="1"/>
      <c r="C2864" s="1"/>
      <c r="D2864" s="1"/>
      <c r="E2864" s="1"/>
      <c r="F2864" s="1"/>
      <c r="G2864" s="159"/>
      <c r="H2864" s="170"/>
      <c r="I2864" s="170"/>
    </row>
    <row r="2865" spans="2:9" x14ac:dyDescent="0.15">
      <c r="B2865" s="1"/>
      <c r="C2865" s="1"/>
      <c r="D2865" s="1"/>
      <c r="E2865" s="1"/>
      <c r="F2865" s="1"/>
      <c r="G2865" s="159"/>
      <c r="H2865" s="170"/>
      <c r="I2865" s="170"/>
    </row>
    <row r="2866" spans="2:9" x14ac:dyDescent="0.15">
      <c r="B2866" s="1"/>
      <c r="C2866" s="1"/>
      <c r="D2866" s="1"/>
      <c r="E2866" s="1"/>
      <c r="F2866" s="1"/>
      <c r="G2866" s="1"/>
      <c r="H2866" s="37"/>
      <c r="I2866" s="170"/>
    </row>
    <row r="2867" spans="2:9" ht="14" x14ac:dyDescent="0.15">
      <c r="B2867" s="101"/>
      <c r="C2867" s="1"/>
      <c r="D2867" s="1"/>
      <c r="E2867" s="1"/>
      <c r="F2867" s="1"/>
      <c r="G2867" s="1"/>
      <c r="H2867" s="1"/>
      <c r="I2867" s="170"/>
    </row>
    <row r="2868" spans="2:9" ht="14" x14ac:dyDescent="0.15">
      <c r="B2868" s="83"/>
      <c r="C2868" s="11"/>
      <c r="D2868" s="1"/>
      <c r="E2868" s="637"/>
      <c r="F2868" s="637"/>
      <c r="G2868" s="637"/>
      <c r="H2868" s="637"/>
      <c r="I2868" s="169"/>
    </row>
    <row r="2869" spans="2:9" x14ac:dyDescent="0.15">
      <c r="B2869" s="11"/>
      <c r="C2869" s="11"/>
      <c r="D2869" s="1"/>
      <c r="E2869" s="153"/>
      <c r="F2869" s="153"/>
      <c r="G2869" s="153"/>
      <c r="H2869" s="153"/>
      <c r="I2869" s="169"/>
    </row>
    <row r="2870" spans="2:9" x14ac:dyDescent="0.15">
      <c r="B2870" s="11"/>
      <c r="C2870" s="11"/>
      <c r="D2870" s="1"/>
      <c r="E2870" s="153"/>
      <c r="F2870" s="153"/>
      <c r="G2870" s="153"/>
      <c r="H2870" s="153"/>
      <c r="I2870" s="169"/>
    </row>
    <row r="2871" spans="2:9" x14ac:dyDescent="0.15">
      <c r="B2871" s="11"/>
      <c r="C2871" s="11"/>
      <c r="D2871" s="1"/>
      <c r="E2871" s="153"/>
      <c r="F2871" s="153"/>
      <c r="G2871" s="153"/>
      <c r="H2871" s="153"/>
      <c r="I2871" s="169"/>
    </row>
    <row r="2872" spans="2:9" x14ac:dyDescent="0.15">
      <c r="B2872" s="11"/>
      <c r="C2872" s="11"/>
      <c r="D2872" s="1"/>
      <c r="E2872" s="153"/>
      <c r="F2872" s="153"/>
      <c r="G2872" s="153"/>
      <c r="H2872" s="153"/>
      <c r="I2872" s="169"/>
    </row>
    <row r="2873" spans="2:9" x14ac:dyDescent="0.15">
      <c r="B2873" s="11"/>
      <c r="C2873" s="11"/>
      <c r="D2873" s="1"/>
      <c r="E2873" s="153"/>
      <c r="F2873" s="153"/>
      <c r="G2873" s="153"/>
      <c r="H2873" s="153"/>
      <c r="I2873" s="169"/>
    </row>
    <row r="2874" spans="2:9" x14ac:dyDescent="0.15">
      <c r="B2874" s="11"/>
      <c r="C2874" s="11"/>
      <c r="D2874" s="1"/>
      <c r="E2874" s="153"/>
      <c r="F2874" s="153"/>
      <c r="G2874" s="153"/>
      <c r="H2874" s="153"/>
      <c r="I2874" s="169"/>
    </row>
    <row r="2875" spans="2:9" x14ac:dyDescent="0.15">
      <c r="B2875" s="11"/>
      <c r="C2875" s="11"/>
      <c r="D2875" s="1"/>
      <c r="E2875" s="153"/>
      <c r="F2875" s="153"/>
      <c r="G2875" s="153"/>
      <c r="H2875" s="153"/>
      <c r="I2875" s="169"/>
    </row>
    <row r="2876" spans="2:9" x14ac:dyDescent="0.15">
      <c r="B2876" s="11"/>
      <c r="C2876" s="11"/>
      <c r="D2876" s="1"/>
      <c r="E2876" s="153"/>
      <c r="F2876" s="153"/>
      <c r="G2876" s="153"/>
      <c r="H2876" s="153"/>
      <c r="I2876" s="169"/>
    </row>
    <row r="2877" spans="2:9" x14ac:dyDescent="0.15">
      <c r="B2877" s="11"/>
      <c r="C2877" s="11"/>
      <c r="D2877" s="1"/>
      <c r="E2877" s="153"/>
      <c r="F2877" s="153"/>
      <c r="G2877" s="153"/>
      <c r="H2877" s="153"/>
      <c r="I2877" s="169"/>
    </row>
    <row r="2878" spans="2:9" x14ac:dyDescent="0.15">
      <c r="B2878" s="11"/>
      <c r="C2878" s="11"/>
      <c r="D2878" s="1"/>
      <c r="E2878" s="153"/>
      <c r="F2878" s="153"/>
      <c r="G2878" s="153"/>
      <c r="H2878" s="153"/>
      <c r="I2878" s="169"/>
    </row>
    <row r="2879" spans="2:9" x14ac:dyDescent="0.15">
      <c r="B2879" s="11"/>
      <c r="C2879" s="11"/>
      <c r="D2879" s="1"/>
      <c r="E2879" s="153"/>
      <c r="F2879" s="153"/>
      <c r="G2879" s="153"/>
      <c r="H2879" s="153"/>
      <c r="I2879" s="169"/>
    </row>
    <row r="2880" spans="2:9" x14ac:dyDescent="0.15">
      <c r="B2880" s="11"/>
      <c r="C2880" s="11"/>
      <c r="D2880" s="1"/>
      <c r="E2880" s="153"/>
      <c r="F2880" s="153"/>
      <c r="G2880" s="153"/>
      <c r="H2880" s="153"/>
      <c r="I2880" s="169"/>
    </row>
    <row r="2881" spans="1:10" x14ac:dyDescent="0.15">
      <c r="B2881" s="11"/>
      <c r="C2881" s="11"/>
      <c r="D2881" s="1"/>
      <c r="E2881" s="153"/>
      <c r="F2881" s="153"/>
      <c r="G2881" s="153"/>
      <c r="H2881" s="153"/>
      <c r="I2881" s="169"/>
    </row>
    <row r="2882" spans="1:10" x14ac:dyDescent="0.15">
      <c r="B2882" s="11"/>
      <c r="C2882" s="11"/>
      <c r="D2882" s="1"/>
      <c r="E2882" s="153"/>
      <c r="F2882" s="153"/>
      <c r="G2882" s="153"/>
      <c r="H2882" s="153"/>
      <c r="I2882" s="169"/>
    </row>
    <row r="2883" spans="1:10" ht="14" x14ac:dyDescent="0.15">
      <c r="A2883" s="85"/>
      <c r="B2883" s="83"/>
      <c r="C2883" s="83"/>
      <c r="D2883" s="84"/>
      <c r="E2883" s="83"/>
      <c r="F2883" s="154"/>
      <c r="G2883" s="155"/>
      <c r="H2883" s="156"/>
      <c r="I2883" s="157"/>
      <c r="J2883" s="85"/>
    </row>
    <row r="2884" spans="1:10" ht="14" x14ac:dyDescent="0.15">
      <c r="B2884" s="83"/>
      <c r="C2884" s="11"/>
      <c r="D2884" s="11"/>
      <c r="E2884" s="11"/>
      <c r="F2884" s="691"/>
      <c r="G2884" s="691"/>
      <c r="H2884" s="691"/>
      <c r="I2884" s="691"/>
    </row>
    <row r="2885" spans="1:10" ht="14" x14ac:dyDescent="0.15">
      <c r="A2885" s="85"/>
      <c r="B2885" s="83"/>
      <c r="C2885" s="83"/>
      <c r="D2885" s="84"/>
      <c r="E2885" s="83"/>
      <c r="G2885" s="83"/>
      <c r="H2885" s="83"/>
      <c r="I2885" s="85"/>
      <c r="J2885" s="85"/>
    </row>
    <row r="2886" spans="1:10" x14ac:dyDescent="0.15">
      <c r="B2886" s="11"/>
      <c r="C2886" s="11"/>
      <c r="D2886" s="1"/>
      <c r="E2886" s="153"/>
      <c r="F2886" s="153"/>
      <c r="G2886" s="153"/>
      <c r="H2886" s="153"/>
      <c r="I2886" s="169"/>
    </row>
    <row r="2887" spans="1:10" ht="14" thickBot="1" x14ac:dyDescent="0.2">
      <c r="B2887" s="11"/>
      <c r="C2887" s="11"/>
      <c r="D2887" s="1"/>
      <c r="E2887" s="153"/>
      <c r="F2887" s="153"/>
      <c r="G2887" s="153"/>
      <c r="H2887" s="153"/>
      <c r="I2887" s="169"/>
    </row>
    <row r="2888" spans="1:10" ht="21" customHeight="1" x14ac:dyDescent="0.15">
      <c r="B2888" s="607" t="s">
        <v>1065</v>
      </c>
      <c r="C2888" s="608"/>
      <c r="D2888" s="608"/>
      <c r="E2888" s="608"/>
      <c r="F2888" s="609"/>
      <c r="G2888" s="1"/>
      <c r="H2888" s="638" t="s">
        <v>20</v>
      </c>
      <c r="I2888" s="639"/>
    </row>
    <row r="2889" spans="1:10" ht="16.5" customHeight="1" x14ac:dyDescent="0.15">
      <c r="B2889" s="604" t="s">
        <v>446</v>
      </c>
      <c r="C2889" s="605"/>
      <c r="D2889" s="605"/>
      <c r="E2889" s="605"/>
      <c r="F2889" s="606"/>
      <c r="G2889" s="63"/>
      <c r="H2889" s="640"/>
      <c r="I2889" s="641"/>
    </row>
    <row r="2890" spans="1:10" ht="12.75" customHeight="1" x14ac:dyDescent="0.15">
      <c r="B2890" s="610" t="s">
        <v>447</v>
      </c>
      <c r="C2890" s="611"/>
      <c r="D2890" s="611"/>
      <c r="E2890" s="611"/>
      <c r="F2890" s="612"/>
      <c r="G2890" s="63"/>
      <c r="H2890" s="642"/>
      <c r="I2890" s="643"/>
    </row>
    <row r="2891" spans="1:10" ht="16.5" customHeight="1" thickBot="1" x14ac:dyDescent="0.2">
      <c r="B2891" s="613"/>
      <c r="C2891" s="614"/>
      <c r="D2891" s="614"/>
      <c r="E2891" s="614"/>
      <c r="F2891" s="615"/>
      <c r="G2891" s="1"/>
      <c r="H2891" s="676" t="s">
        <v>691</v>
      </c>
      <c r="I2891" s="677"/>
    </row>
    <row r="2892" spans="1:10" ht="14" thickBot="1" x14ac:dyDescent="0.2">
      <c r="B2892" s="15"/>
      <c r="C2892" s="16"/>
      <c r="D2892" s="1"/>
      <c r="E2892" s="1"/>
      <c r="F2892" s="1"/>
      <c r="G2892" s="1"/>
      <c r="H2892" s="678"/>
      <c r="I2892" s="679"/>
    </row>
    <row r="2893" spans="1:10" ht="12.75" customHeight="1" x14ac:dyDescent="0.15">
      <c r="B2893" s="650" t="s">
        <v>890</v>
      </c>
      <c r="C2893" s="651"/>
      <c r="D2893" s="651"/>
      <c r="E2893" s="651"/>
      <c r="F2893" s="652"/>
      <c r="G2893" s="1"/>
      <c r="H2893" s="678"/>
      <c r="I2893" s="679"/>
    </row>
    <row r="2894" spans="1:10" ht="12.75" customHeight="1" x14ac:dyDescent="0.15">
      <c r="B2894" s="653"/>
      <c r="C2894" s="654"/>
      <c r="D2894" s="654"/>
      <c r="E2894" s="654"/>
      <c r="F2894" s="655"/>
      <c r="H2894" s="678"/>
      <c r="I2894" s="679"/>
    </row>
    <row r="2895" spans="1:10" ht="13.5" customHeight="1" x14ac:dyDescent="0.15">
      <c r="B2895" s="653"/>
      <c r="C2895" s="654"/>
      <c r="D2895" s="654"/>
      <c r="E2895" s="654"/>
      <c r="F2895" s="655"/>
      <c r="G2895" s="11"/>
      <c r="H2895" s="680"/>
      <c r="I2895" s="681"/>
    </row>
    <row r="2896" spans="1:10" ht="21.75" customHeight="1" thickBot="1" x14ac:dyDescent="0.2">
      <c r="B2896" s="656"/>
      <c r="C2896" s="657"/>
      <c r="D2896" s="657"/>
      <c r="E2896" s="657"/>
      <c r="F2896" s="658"/>
      <c r="H2896" s="64" t="s">
        <v>45</v>
      </c>
      <c r="I2896" s="17" t="s">
        <v>426</v>
      </c>
    </row>
    <row r="2897" spans="2:9" x14ac:dyDescent="0.15">
      <c r="B2897" s="18"/>
      <c r="C2897" s="18"/>
      <c r="D2897" s="1"/>
      <c r="E2897" s="18"/>
      <c r="F2897" s="18"/>
      <c r="G2897" s="18"/>
      <c r="H2897" s="18"/>
      <c r="I2897" s="1"/>
    </row>
    <row r="2898" spans="2:9" ht="14" thickBot="1" x14ac:dyDescent="0.2">
      <c r="B2898" s="12" t="s">
        <v>21</v>
      </c>
      <c r="C2898" s="12"/>
      <c r="D2898" s="1"/>
      <c r="E2898" s="1"/>
      <c r="F2898" s="1"/>
      <c r="G2898" s="1"/>
      <c r="H2898" s="1"/>
      <c r="I2898" s="1"/>
    </row>
    <row r="2899" spans="2:9" x14ac:dyDescent="0.15">
      <c r="B2899" s="628" t="s">
        <v>22</v>
      </c>
      <c r="C2899" s="629"/>
      <c r="D2899" s="630"/>
      <c r="E2899" s="205" t="s">
        <v>23</v>
      </c>
      <c r="F2899" s="19" t="s">
        <v>47</v>
      </c>
      <c r="G2899" s="205" t="s">
        <v>24</v>
      </c>
      <c r="H2899" s="204" t="s">
        <v>25</v>
      </c>
      <c r="I2899" s="43"/>
    </row>
    <row r="2900" spans="2:9" x14ac:dyDescent="0.15">
      <c r="B2900" s="631" t="s">
        <v>56</v>
      </c>
      <c r="C2900" s="632"/>
      <c r="D2900" s="633"/>
      <c r="E2900" s="5"/>
      <c r="F2900" s="323"/>
      <c r="G2900" s="58"/>
      <c r="H2900" s="319">
        <f>I2924*0.05</f>
        <v>75356.60500000001</v>
      </c>
      <c r="I2900" s="44"/>
    </row>
    <row r="2901" spans="2:9" ht="14" thickBot="1" x14ac:dyDescent="0.2">
      <c r="B2901" s="634"/>
      <c r="C2901" s="635"/>
      <c r="D2901" s="636"/>
      <c r="E2901" s="21"/>
      <c r="F2901" s="22"/>
      <c r="G2901" s="23"/>
      <c r="H2901" s="47"/>
      <c r="I2901" s="48"/>
    </row>
    <row r="2902" spans="2:9" ht="14" thickBot="1" x14ac:dyDescent="0.2">
      <c r="B2902" s="1"/>
      <c r="C2902" s="1"/>
      <c r="D2902" s="1"/>
      <c r="E2902" s="1"/>
      <c r="F2902" s="1"/>
      <c r="G2902" s="1"/>
      <c r="H2902" s="37" t="s">
        <v>26</v>
      </c>
      <c r="I2902" s="321">
        <f>SUM(H2900:H2901)</f>
        <v>75356.60500000001</v>
      </c>
    </row>
    <row r="2903" spans="2:9" ht="14" thickBot="1" x14ac:dyDescent="0.2">
      <c r="B2903" s="12" t="s">
        <v>27</v>
      </c>
      <c r="C2903" s="12"/>
      <c r="D2903" s="1"/>
      <c r="E2903" s="1"/>
      <c r="F2903" s="1"/>
      <c r="G2903" s="1"/>
      <c r="H2903" s="1"/>
      <c r="I2903" s="1"/>
    </row>
    <row r="2904" spans="2:9" x14ac:dyDescent="0.15">
      <c r="B2904" s="628" t="s">
        <v>22</v>
      </c>
      <c r="C2904" s="629"/>
      <c r="D2904" s="630"/>
      <c r="E2904" s="205" t="s">
        <v>28</v>
      </c>
      <c r="F2904" s="205" t="s">
        <v>29</v>
      </c>
      <c r="G2904" s="205" t="s">
        <v>30</v>
      </c>
      <c r="H2904" s="204" t="s">
        <v>25</v>
      </c>
      <c r="I2904" s="43"/>
    </row>
    <row r="2905" spans="2:9" x14ac:dyDescent="0.15">
      <c r="B2905" s="80" t="s">
        <v>688</v>
      </c>
      <c r="C2905" s="24"/>
      <c r="D2905" s="6"/>
      <c r="E2905" s="3" t="s">
        <v>426</v>
      </c>
      <c r="F2905" s="387">
        <f>MATERIALES!C163</f>
        <v>6157970</v>
      </c>
      <c r="G2905" s="65">
        <v>1</v>
      </c>
      <c r="H2905" s="319">
        <f>G2905*F2905</f>
        <v>6157970</v>
      </c>
      <c r="I2905" s="44"/>
    </row>
    <row r="2906" spans="2:9" x14ac:dyDescent="0.15">
      <c r="B2906" s="4" t="s">
        <v>689</v>
      </c>
      <c r="C2906" s="24"/>
      <c r="D2906" s="6"/>
      <c r="E2906" s="3" t="s">
        <v>7</v>
      </c>
      <c r="F2906" s="314">
        <f>MATERIALES!C97</f>
        <v>27510</v>
      </c>
      <c r="G2906" s="73">
        <v>12</v>
      </c>
      <c r="H2906" s="319">
        <f>G2906*F2906</f>
        <v>330120</v>
      </c>
      <c r="I2906" s="44"/>
    </row>
    <row r="2907" spans="2:9" x14ac:dyDescent="0.15">
      <c r="B2907" s="80" t="s">
        <v>148</v>
      </c>
      <c r="C2907" s="81"/>
      <c r="D2907" s="388"/>
      <c r="E2907" s="74" t="s">
        <v>6</v>
      </c>
      <c r="F2907" s="387">
        <f>MATERIALES!C12</f>
        <v>162000</v>
      </c>
      <c r="G2907" s="73">
        <v>1.44</v>
      </c>
      <c r="H2907" s="319">
        <f>G2907*F2907</f>
        <v>233280</v>
      </c>
      <c r="I2907" s="44"/>
    </row>
    <row r="2908" spans="2:9" x14ac:dyDescent="0.15">
      <c r="B2908" s="80" t="s">
        <v>59</v>
      </c>
      <c r="C2908" s="81"/>
      <c r="D2908" s="388"/>
      <c r="E2908" s="74" t="s">
        <v>6</v>
      </c>
      <c r="F2908" s="387">
        <f>MATERIALES!C14</f>
        <v>81000</v>
      </c>
      <c r="G2908" s="73">
        <f>G2907*0.8</f>
        <v>1.1519999999999999</v>
      </c>
      <c r="H2908" s="319">
        <f>G2908*F2908</f>
        <v>93312</v>
      </c>
      <c r="I2908" s="44"/>
    </row>
    <row r="2909" spans="2:9" ht="14" thickBot="1" x14ac:dyDescent="0.2">
      <c r="B2909" s="25"/>
      <c r="C2909" s="26"/>
      <c r="D2909" s="27"/>
      <c r="E2909" s="21"/>
      <c r="F2909" s="22"/>
      <c r="G2909" s="318"/>
      <c r="H2909" s="47"/>
      <c r="I2909" s="48"/>
    </row>
    <row r="2910" spans="2:9" ht="14" thickBot="1" x14ac:dyDescent="0.2">
      <c r="B2910" s="1"/>
      <c r="C2910" s="1"/>
      <c r="D2910" s="1"/>
      <c r="E2910" s="1"/>
      <c r="F2910" s="1"/>
      <c r="G2910" s="1"/>
      <c r="H2910" s="37" t="s">
        <v>26</v>
      </c>
      <c r="I2910" s="321">
        <f>SUM(H2905:H2908)</f>
        <v>6814682</v>
      </c>
    </row>
    <row r="2911" spans="2:9" ht="14" thickBot="1" x14ac:dyDescent="0.2">
      <c r="B2911" s="28" t="s">
        <v>31</v>
      </c>
      <c r="C2911" s="28"/>
      <c r="D2911" s="26"/>
      <c r="E2911" s="1"/>
      <c r="F2911" s="1"/>
      <c r="G2911" s="1"/>
      <c r="H2911" s="1"/>
      <c r="I2911" s="1"/>
    </row>
    <row r="2912" spans="2:9" x14ac:dyDescent="0.15">
      <c r="B2912" s="51" t="s">
        <v>32</v>
      </c>
      <c r="C2912" s="52"/>
      <c r="D2912" s="291" t="s">
        <v>33</v>
      </c>
      <c r="E2912" s="205" t="s">
        <v>34</v>
      </c>
      <c r="F2912" s="205" t="s">
        <v>35</v>
      </c>
      <c r="G2912" s="205" t="s">
        <v>36</v>
      </c>
      <c r="H2912" s="59" t="s">
        <v>25</v>
      </c>
      <c r="I2912" s="43"/>
    </row>
    <row r="2913" spans="2:9" x14ac:dyDescent="0.15">
      <c r="B2913" s="4" t="s">
        <v>148</v>
      </c>
      <c r="C2913" s="24"/>
      <c r="D2913" s="60">
        <f>G2907</f>
        <v>1.44</v>
      </c>
      <c r="E2913" s="2">
        <v>15</v>
      </c>
      <c r="F2913" s="2">
        <f t="shared" ref="F2913:F2915" si="14">E2913*D2913</f>
        <v>21.599999999999998</v>
      </c>
      <c r="G2913" s="160">
        <v>1100</v>
      </c>
      <c r="H2913" s="55">
        <f t="shared" ref="H2913:H2915" si="15">G2913*F2913</f>
        <v>23759.999999999996</v>
      </c>
      <c r="I2913" s="44"/>
    </row>
    <row r="2914" spans="2:9" x14ac:dyDescent="0.15">
      <c r="B2914" s="4" t="s">
        <v>59</v>
      </c>
      <c r="C2914" s="24"/>
      <c r="D2914" s="60">
        <f>G2908</f>
        <v>1.1519999999999999</v>
      </c>
      <c r="E2914" s="2">
        <v>15</v>
      </c>
      <c r="F2914" s="2">
        <f t="shared" si="14"/>
        <v>17.279999999999998</v>
      </c>
      <c r="G2914" s="160">
        <v>1100</v>
      </c>
      <c r="H2914" s="55">
        <f t="shared" si="15"/>
        <v>19007.999999999996</v>
      </c>
      <c r="I2914" s="44"/>
    </row>
    <row r="2915" spans="2:9" x14ac:dyDescent="0.15">
      <c r="B2915" s="24" t="s">
        <v>79</v>
      </c>
      <c r="C2915" s="6"/>
      <c r="D2915" s="53">
        <v>5</v>
      </c>
      <c r="E2915" s="2">
        <v>43</v>
      </c>
      <c r="F2915" s="2">
        <f t="shared" si="14"/>
        <v>215</v>
      </c>
      <c r="G2915" s="160">
        <v>1100</v>
      </c>
      <c r="H2915" s="55">
        <f t="shared" si="15"/>
        <v>236500</v>
      </c>
      <c r="I2915" s="44"/>
    </row>
    <row r="2916" spans="2:9" ht="14" thickBot="1" x14ac:dyDescent="0.2">
      <c r="B2916" s="33"/>
      <c r="C2916" s="54"/>
      <c r="D2916" s="21"/>
      <c r="E2916" s="22"/>
      <c r="F2916" s="23"/>
      <c r="G2916" s="47"/>
      <c r="H2916" s="21"/>
      <c r="I2916" s="44"/>
    </row>
    <row r="2917" spans="2:9" ht="14" thickBot="1" x14ac:dyDescent="0.2">
      <c r="B2917" s="1"/>
      <c r="C2917" s="1"/>
      <c r="D2917" s="1"/>
      <c r="E2917" s="1"/>
      <c r="F2917" s="1"/>
      <c r="G2917" s="1"/>
      <c r="H2917" s="37" t="s">
        <v>26</v>
      </c>
      <c r="I2917" s="321">
        <f>SUM(H2913:H2915)</f>
        <v>279268</v>
      </c>
    </row>
    <row r="2918" spans="2:9" ht="14" thickBot="1" x14ac:dyDescent="0.2">
      <c r="B2918" s="28" t="s">
        <v>37</v>
      </c>
      <c r="C2918" s="28"/>
      <c r="D2918" s="1"/>
      <c r="E2918" s="1"/>
      <c r="F2918" s="1"/>
      <c r="G2918" s="1"/>
      <c r="H2918" s="1"/>
      <c r="I2918" s="1"/>
    </row>
    <row r="2919" spans="2:9" x14ac:dyDescent="0.15">
      <c r="B2919" s="51" t="s">
        <v>38</v>
      </c>
      <c r="C2919" s="86"/>
      <c r="D2919" s="31" t="s">
        <v>39</v>
      </c>
      <c r="E2919" s="205" t="s">
        <v>40</v>
      </c>
      <c r="F2919" s="19" t="s">
        <v>41</v>
      </c>
      <c r="G2919" s="31" t="s">
        <v>24</v>
      </c>
      <c r="H2919" s="204" t="s">
        <v>25</v>
      </c>
      <c r="I2919" s="43"/>
    </row>
    <row r="2920" spans="2:9" x14ac:dyDescent="0.15">
      <c r="B2920" s="4" t="s">
        <v>65</v>
      </c>
      <c r="C2920" s="24"/>
      <c r="D2920" s="32">
        <f>'MANO DE OBRA'!E15</f>
        <v>95333</v>
      </c>
      <c r="E2920" s="166">
        <v>1.85</v>
      </c>
      <c r="F2920" s="314">
        <f>+E2920*D2920</f>
        <v>176366.05000000002</v>
      </c>
      <c r="G2920" s="79">
        <v>0.5</v>
      </c>
      <c r="H2920" s="315">
        <f>+F2920/G2920</f>
        <v>352732.10000000003</v>
      </c>
      <c r="I2920" s="44"/>
    </row>
    <row r="2921" spans="2:9" x14ac:dyDescent="0.15">
      <c r="B2921" s="4" t="s">
        <v>94</v>
      </c>
      <c r="C2921" s="24"/>
      <c r="D2921" s="32">
        <f>'MANO DE OBRA'!E14*6</f>
        <v>312000</v>
      </c>
      <c r="E2921" s="166">
        <v>1.85</v>
      </c>
      <c r="F2921" s="314">
        <f>+E2921*D2921</f>
        <v>577200</v>
      </c>
      <c r="G2921" s="79">
        <v>0.5</v>
      </c>
      <c r="H2921" s="315">
        <f>+F2921/G2921</f>
        <v>1154400</v>
      </c>
      <c r="I2921" s="44"/>
    </row>
    <row r="2922" spans="2:9" x14ac:dyDescent="0.15">
      <c r="B2922" s="4"/>
      <c r="C2922" s="24"/>
      <c r="D2922" s="32"/>
      <c r="E2922" s="166"/>
      <c r="F2922" s="20"/>
      <c r="G2922" s="20"/>
      <c r="H2922" s="55"/>
      <c r="I2922" s="44"/>
    </row>
    <row r="2923" spans="2:9" ht="14" thickBot="1" x14ac:dyDescent="0.2">
      <c r="B2923" s="33"/>
      <c r="C2923" s="34"/>
      <c r="D2923" s="22"/>
      <c r="E2923" s="21"/>
      <c r="F2923" s="22"/>
      <c r="G2923" s="23"/>
      <c r="H2923" s="47"/>
      <c r="I2923" s="48"/>
    </row>
    <row r="2924" spans="2:9" ht="14" thickBot="1" x14ac:dyDescent="0.2">
      <c r="B2924" s="1"/>
      <c r="C2924" s="1"/>
      <c r="D2924" s="1"/>
      <c r="E2924" s="1"/>
      <c r="F2924" s="1"/>
      <c r="G2924" s="1"/>
      <c r="H2924" s="37" t="s">
        <v>26</v>
      </c>
      <c r="I2924" s="317">
        <f>SUM(H2920:H2923)</f>
        <v>1507132.1</v>
      </c>
    </row>
    <row r="2925" spans="2:9" ht="14" thickBot="1" x14ac:dyDescent="0.2">
      <c r="B2925" s="1"/>
      <c r="C2925" s="1"/>
      <c r="D2925" s="1"/>
      <c r="E2925" s="1"/>
      <c r="F2925" s="1"/>
      <c r="G2925" s="1"/>
      <c r="H2925" s="61"/>
      <c r="I2925" s="1"/>
    </row>
    <row r="2926" spans="2:9" ht="14" thickBot="1" x14ac:dyDescent="0.2">
      <c r="B2926" s="1"/>
      <c r="C2926" s="1"/>
      <c r="D2926" s="1"/>
      <c r="E2926" s="1"/>
      <c r="F2926" s="35" t="s">
        <v>43</v>
      </c>
      <c r="G2926" s="16"/>
      <c r="H2926" s="16"/>
      <c r="I2926" s="389">
        <f>ROUND((I2902+I2910+I2917+I2924),0)</f>
        <v>8676439</v>
      </c>
    </row>
    <row r="2927" spans="2:9" ht="14" x14ac:dyDescent="0.15">
      <c r="B2927" s="1"/>
      <c r="C2927" s="1"/>
      <c r="D2927" s="1"/>
      <c r="E2927" s="1"/>
      <c r="F2927" s="15"/>
      <c r="G2927" s="16"/>
      <c r="H2927" s="16"/>
      <c r="I2927" s="326"/>
    </row>
    <row r="2928" spans="2:9" ht="14" x14ac:dyDescent="0.15">
      <c r="B2928" s="1"/>
      <c r="C2928" s="1"/>
      <c r="D2928" s="1"/>
      <c r="E2928" s="1"/>
      <c r="F2928" s="15"/>
      <c r="G2928" s="16"/>
      <c r="H2928" s="16"/>
      <c r="I2928" s="326"/>
    </row>
    <row r="2929" spans="2:9" ht="14" x14ac:dyDescent="0.15">
      <c r="B2929" s="1"/>
      <c r="C2929" s="1"/>
      <c r="D2929" s="1"/>
      <c r="E2929" s="1"/>
      <c r="F2929" s="15"/>
      <c r="G2929" s="16"/>
      <c r="H2929" s="16"/>
      <c r="I2929" s="326"/>
    </row>
    <row r="2930" spans="2:9" ht="14" x14ac:dyDescent="0.15">
      <c r="B2930" s="1"/>
      <c r="C2930" s="1"/>
      <c r="D2930" s="1"/>
      <c r="E2930" s="1"/>
      <c r="F2930" s="15"/>
      <c r="G2930" s="16"/>
      <c r="H2930" s="16"/>
      <c r="I2930" s="326"/>
    </row>
    <row r="2931" spans="2:9" ht="14" x14ac:dyDescent="0.15">
      <c r="B2931" s="1"/>
      <c r="C2931" s="1"/>
      <c r="D2931" s="1"/>
      <c r="E2931" s="1"/>
      <c r="F2931" s="15"/>
      <c r="G2931" s="16"/>
      <c r="H2931" s="16"/>
      <c r="I2931" s="326"/>
    </row>
    <row r="2932" spans="2:9" ht="14" x14ac:dyDescent="0.15">
      <c r="B2932" s="1"/>
      <c r="C2932" s="1"/>
      <c r="D2932" s="1"/>
      <c r="E2932" s="1"/>
      <c r="F2932" s="15"/>
      <c r="G2932" s="16"/>
      <c r="H2932" s="16"/>
      <c r="I2932" s="326"/>
    </row>
    <row r="2933" spans="2:9" ht="14" x14ac:dyDescent="0.15">
      <c r="B2933" s="1"/>
      <c r="C2933" s="1"/>
      <c r="D2933" s="1"/>
      <c r="E2933" s="1"/>
      <c r="F2933" s="15"/>
      <c r="G2933" s="16"/>
      <c r="H2933" s="16"/>
      <c r="I2933" s="326"/>
    </row>
    <row r="2934" spans="2:9" ht="14" x14ac:dyDescent="0.15">
      <c r="B2934" s="1"/>
      <c r="C2934" s="1"/>
      <c r="D2934" s="1"/>
      <c r="E2934" s="1"/>
      <c r="F2934" s="15"/>
      <c r="G2934" s="16"/>
      <c r="H2934" s="16"/>
      <c r="I2934" s="326"/>
    </row>
    <row r="2935" spans="2:9" ht="14" x14ac:dyDescent="0.15">
      <c r="B2935" s="1"/>
      <c r="C2935" s="1"/>
      <c r="D2935" s="1"/>
      <c r="E2935" s="1"/>
      <c r="F2935" s="15"/>
      <c r="G2935" s="16"/>
      <c r="H2935" s="16"/>
      <c r="I2935" s="326"/>
    </row>
    <row r="2936" spans="2:9" ht="14" x14ac:dyDescent="0.15">
      <c r="B2936" s="1"/>
      <c r="C2936" s="1"/>
      <c r="D2936" s="1"/>
      <c r="E2936" s="1"/>
      <c r="F2936" s="15"/>
      <c r="G2936" s="16"/>
      <c r="H2936" s="16"/>
      <c r="I2936" s="326"/>
    </row>
    <row r="2937" spans="2:9" ht="14" x14ac:dyDescent="0.15">
      <c r="B2937" s="1"/>
      <c r="C2937" s="1"/>
      <c r="D2937" s="1"/>
      <c r="E2937" s="1"/>
      <c r="F2937" s="15"/>
      <c r="G2937" s="16"/>
      <c r="H2937" s="16"/>
      <c r="I2937" s="326"/>
    </row>
    <row r="2938" spans="2:9" ht="14" x14ac:dyDescent="0.15">
      <c r="B2938" s="1"/>
      <c r="C2938" s="1"/>
      <c r="D2938" s="1"/>
      <c r="E2938" s="1"/>
      <c r="F2938" s="15"/>
      <c r="G2938" s="16"/>
      <c r="H2938" s="16"/>
      <c r="I2938" s="326"/>
    </row>
    <row r="2939" spans="2:9" ht="14" x14ac:dyDescent="0.15">
      <c r="B2939" s="1"/>
      <c r="C2939" s="1"/>
      <c r="D2939" s="1"/>
      <c r="E2939" s="1"/>
      <c r="F2939" s="15"/>
      <c r="G2939" s="16"/>
      <c r="H2939" s="16"/>
      <c r="I2939" s="326"/>
    </row>
    <row r="2940" spans="2:9" x14ac:dyDescent="0.15">
      <c r="B2940" s="11"/>
      <c r="C2940" s="11"/>
      <c r="D2940" s="1"/>
      <c r="E2940" s="153"/>
      <c r="F2940" s="153"/>
      <c r="G2940" s="153"/>
      <c r="H2940" s="153"/>
      <c r="I2940" s="327"/>
    </row>
    <row r="2941" spans="2:9" x14ac:dyDescent="0.15">
      <c r="B2941" s="11"/>
      <c r="C2941" s="11"/>
      <c r="D2941" s="1"/>
      <c r="E2941" s="153"/>
      <c r="F2941" s="153"/>
      <c r="G2941" s="153"/>
      <c r="H2941" s="153"/>
      <c r="I2941" s="327"/>
    </row>
    <row r="2942" spans="2:9" x14ac:dyDescent="0.15">
      <c r="B2942" s="11"/>
      <c r="C2942" s="11"/>
      <c r="D2942" s="1"/>
      <c r="E2942" s="153"/>
      <c r="F2942" s="153"/>
      <c r="G2942" s="153"/>
      <c r="H2942" s="153"/>
      <c r="I2942" s="327"/>
    </row>
    <row r="2943" spans="2:9" x14ac:dyDescent="0.15">
      <c r="B2943" s="11"/>
      <c r="C2943" s="11"/>
      <c r="D2943" s="1"/>
      <c r="E2943" s="153"/>
      <c r="F2943" s="153"/>
      <c r="G2943" s="153"/>
      <c r="H2943" s="153"/>
      <c r="I2943" s="327"/>
    </row>
    <row r="2944" spans="2:9" x14ac:dyDescent="0.15">
      <c r="B2944" s="11"/>
      <c r="C2944" s="11"/>
      <c r="D2944" s="1"/>
      <c r="E2944" s="153"/>
      <c r="F2944" s="153"/>
      <c r="G2944" s="153"/>
      <c r="H2944" s="153"/>
      <c r="I2944" s="327"/>
    </row>
    <row r="2945" spans="2:9" x14ac:dyDescent="0.15">
      <c r="B2945" s="11"/>
      <c r="C2945" s="11"/>
      <c r="D2945" s="1"/>
      <c r="E2945" s="153"/>
      <c r="F2945" s="153"/>
      <c r="G2945" s="153"/>
      <c r="H2945" s="153"/>
      <c r="I2945" s="327"/>
    </row>
    <row r="2946" spans="2:9" x14ac:dyDescent="0.15">
      <c r="B2946" s="11"/>
      <c r="C2946" s="11"/>
      <c r="D2946" s="1"/>
      <c r="E2946" s="153"/>
      <c r="F2946" s="153"/>
      <c r="G2946" s="153"/>
      <c r="H2946" s="153"/>
      <c r="I2946" s="327"/>
    </row>
    <row r="2947" spans="2:9" ht="14" thickBot="1" x14ac:dyDescent="0.2">
      <c r="B2947" s="11"/>
      <c r="C2947" s="11"/>
      <c r="D2947" s="1"/>
      <c r="E2947" s="153"/>
      <c r="F2947" s="153"/>
      <c r="G2947" s="153"/>
      <c r="H2947" s="153"/>
      <c r="I2947" s="327"/>
    </row>
    <row r="2948" spans="2:9" ht="21" customHeight="1" x14ac:dyDescent="0.15">
      <c r="B2948" s="607" t="s">
        <v>1065</v>
      </c>
      <c r="C2948" s="608"/>
      <c r="D2948" s="608"/>
      <c r="E2948" s="608"/>
      <c r="F2948" s="609"/>
      <c r="G2948" s="1"/>
      <c r="H2948" s="638" t="s">
        <v>20</v>
      </c>
      <c r="I2948" s="639"/>
    </row>
    <row r="2949" spans="2:9" ht="16.5" customHeight="1" x14ac:dyDescent="0.15">
      <c r="B2949" s="604" t="s">
        <v>446</v>
      </c>
      <c r="C2949" s="605"/>
      <c r="D2949" s="605"/>
      <c r="E2949" s="605"/>
      <c r="F2949" s="606"/>
      <c r="G2949" s="63"/>
      <c r="H2949" s="640"/>
      <c r="I2949" s="641"/>
    </row>
    <row r="2950" spans="2:9" ht="12.75" customHeight="1" x14ac:dyDescent="0.15">
      <c r="B2950" s="610" t="s">
        <v>447</v>
      </c>
      <c r="C2950" s="611"/>
      <c r="D2950" s="611"/>
      <c r="E2950" s="611"/>
      <c r="F2950" s="612"/>
      <c r="G2950" s="63"/>
      <c r="H2950" s="642"/>
      <c r="I2950" s="643"/>
    </row>
    <row r="2951" spans="2:9" ht="16.5" customHeight="1" thickBot="1" x14ac:dyDescent="0.2">
      <c r="B2951" s="613"/>
      <c r="C2951" s="614"/>
      <c r="D2951" s="614"/>
      <c r="E2951" s="614"/>
      <c r="F2951" s="615"/>
      <c r="G2951" s="1"/>
      <c r="H2951" s="685" t="s">
        <v>1005</v>
      </c>
      <c r="I2951" s="686"/>
    </row>
    <row r="2952" spans="2:9" ht="14" thickBot="1" x14ac:dyDescent="0.2">
      <c r="B2952" s="15"/>
      <c r="C2952" s="16"/>
      <c r="D2952" s="1"/>
      <c r="E2952" s="1"/>
      <c r="F2952" s="1"/>
      <c r="G2952" s="1"/>
      <c r="H2952" s="687"/>
      <c r="I2952" s="688"/>
    </row>
    <row r="2953" spans="2:9" ht="12.75" customHeight="1" x14ac:dyDescent="0.15">
      <c r="B2953" s="650" t="s">
        <v>890</v>
      </c>
      <c r="C2953" s="651"/>
      <c r="D2953" s="651"/>
      <c r="E2953" s="651"/>
      <c r="F2953" s="652"/>
      <c r="G2953" s="1"/>
      <c r="H2953" s="687"/>
      <c r="I2953" s="688"/>
    </row>
    <row r="2954" spans="2:9" ht="12.75" customHeight="1" x14ac:dyDescent="0.15">
      <c r="B2954" s="653"/>
      <c r="C2954" s="654"/>
      <c r="D2954" s="654"/>
      <c r="E2954" s="654"/>
      <c r="F2954" s="655"/>
      <c r="H2954" s="687"/>
      <c r="I2954" s="688"/>
    </row>
    <row r="2955" spans="2:9" ht="13.5" customHeight="1" x14ac:dyDescent="0.15">
      <c r="B2955" s="653"/>
      <c r="C2955" s="654"/>
      <c r="D2955" s="654"/>
      <c r="E2955" s="654"/>
      <c r="F2955" s="655"/>
      <c r="G2955" s="11"/>
      <c r="H2955" s="689"/>
      <c r="I2955" s="690"/>
    </row>
    <row r="2956" spans="2:9" ht="21.75" customHeight="1" thickBot="1" x14ac:dyDescent="0.2">
      <c r="B2956" s="656"/>
      <c r="C2956" s="657"/>
      <c r="D2956" s="657"/>
      <c r="E2956" s="657"/>
      <c r="F2956" s="658"/>
      <c r="H2956" s="64" t="s">
        <v>45</v>
      </c>
      <c r="I2956" s="17" t="s">
        <v>316</v>
      </c>
    </row>
    <row r="2957" spans="2:9" x14ac:dyDescent="0.15">
      <c r="B2957" s="18"/>
      <c r="C2957" s="18"/>
      <c r="D2957" s="1"/>
      <c r="E2957" s="18"/>
      <c r="F2957" s="18"/>
      <c r="G2957" s="18"/>
      <c r="H2957" s="18"/>
      <c r="I2957" s="1"/>
    </row>
    <row r="2958" spans="2:9" ht="14" thickBot="1" x14ac:dyDescent="0.2">
      <c r="B2958" s="12" t="s">
        <v>21</v>
      </c>
      <c r="C2958" s="12"/>
      <c r="D2958" s="1"/>
      <c r="E2958" s="1"/>
      <c r="F2958" s="1"/>
      <c r="G2958" s="1"/>
      <c r="H2958" s="1"/>
      <c r="I2958" s="1"/>
    </row>
    <row r="2959" spans="2:9" x14ac:dyDescent="0.15">
      <c r="B2959" s="628" t="s">
        <v>22</v>
      </c>
      <c r="C2959" s="629"/>
      <c r="D2959" s="630"/>
      <c r="E2959" s="205" t="s">
        <v>23</v>
      </c>
      <c r="F2959" s="19" t="s">
        <v>47</v>
      </c>
      <c r="G2959" s="205" t="s">
        <v>24</v>
      </c>
      <c r="H2959" s="204" t="s">
        <v>25</v>
      </c>
      <c r="I2959" s="43"/>
    </row>
    <row r="2960" spans="2:9" x14ac:dyDescent="0.15">
      <c r="B2960" s="631" t="s">
        <v>56</v>
      </c>
      <c r="C2960" s="632"/>
      <c r="D2960" s="633"/>
      <c r="E2960" s="5"/>
      <c r="F2960" s="160"/>
      <c r="G2960" s="58"/>
      <c r="H2960" s="160">
        <f>I2984*0.05</f>
        <v>1453.4697916666667</v>
      </c>
      <c r="I2960" s="44"/>
    </row>
    <row r="2961" spans="2:9" ht="14" thickBot="1" x14ac:dyDescent="0.2">
      <c r="B2961" s="634"/>
      <c r="C2961" s="635"/>
      <c r="D2961" s="636"/>
      <c r="E2961" s="21"/>
      <c r="F2961" s="22"/>
      <c r="G2961" s="23"/>
      <c r="H2961" s="47"/>
      <c r="I2961" s="48"/>
    </row>
    <row r="2962" spans="2:9" ht="14" thickBot="1" x14ac:dyDescent="0.2">
      <c r="B2962" s="1"/>
      <c r="C2962" s="1"/>
      <c r="D2962" s="1"/>
      <c r="E2962" s="1"/>
      <c r="F2962" s="1"/>
      <c r="G2962" s="1"/>
      <c r="H2962" s="37" t="s">
        <v>26</v>
      </c>
      <c r="I2962" s="161">
        <f>SUM(H2960:H2961)</f>
        <v>1453.4697916666667</v>
      </c>
    </row>
    <row r="2963" spans="2:9" ht="14" thickBot="1" x14ac:dyDescent="0.2">
      <c r="B2963" s="12" t="s">
        <v>27</v>
      </c>
      <c r="C2963" s="12"/>
      <c r="D2963" s="1"/>
      <c r="E2963" s="1"/>
      <c r="F2963" s="1"/>
      <c r="G2963" s="1"/>
      <c r="H2963" s="1"/>
      <c r="I2963" s="1"/>
    </row>
    <row r="2964" spans="2:9" x14ac:dyDescent="0.15">
      <c r="B2964" s="628" t="s">
        <v>22</v>
      </c>
      <c r="C2964" s="629"/>
      <c r="D2964" s="630"/>
      <c r="E2964" s="205" t="s">
        <v>28</v>
      </c>
      <c r="F2964" s="205" t="s">
        <v>29</v>
      </c>
      <c r="G2964" s="205" t="s">
        <v>30</v>
      </c>
      <c r="H2964" s="204" t="s">
        <v>25</v>
      </c>
      <c r="I2964" s="43"/>
    </row>
    <row r="2965" spans="2:9" x14ac:dyDescent="0.15">
      <c r="B2965" s="4" t="s">
        <v>289</v>
      </c>
      <c r="C2965" s="24"/>
      <c r="D2965" s="6"/>
      <c r="E2965" s="3" t="s">
        <v>193</v>
      </c>
      <c r="F2965" s="162">
        <f>MATERIALES!C85</f>
        <v>11650</v>
      </c>
      <c r="G2965" s="65">
        <v>2</v>
      </c>
      <c r="H2965" s="163">
        <f t="shared" ref="H2965:H2970" si="16">G2965*F2965</f>
        <v>23300</v>
      </c>
      <c r="I2965" s="44"/>
    </row>
    <row r="2966" spans="2:9" x14ac:dyDescent="0.15">
      <c r="B2966" s="4" t="s">
        <v>290</v>
      </c>
      <c r="C2966" s="24"/>
      <c r="D2966" s="6"/>
      <c r="E2966" s="3" t="s">
        <v>316</v>
      </c>
      <c r="F2966" s="162">
        <f>MATERIALES!C86</f>
        <v>4050</v>
      </c>
      <c r="G2966" s="65">
        <v>1</v>
      </c>
      <c r="H2966" s="163">
        <f t="shared" si="16"/>
        <v>4050</v>
      </c>
      <c r="I2966" s="44"/>
    </row>
    <row r="2967" spans="2:9" x14ac:dyDescent="0.15">
      <c r="B2967" s="4" t="s">
        <v>291</v>
      </c>
      <c r="C2967" s="24"/>
      <c r="D2967" s="6"/>
      <c r="E2967" s="3" t="s">
        <v>316</v>
      </c>
      <c r="F2967" s="162">
        <f>MATERIALES!C87</f>
        <v>3990</v>
      </c>
      <c r="G2967" s="65">
        <v>0.2</v>
      </c>
      <c r="H2967" s="163">
        <f t="shared" si="16"/>
        <v>798</v>
      </c>
      <c r="I2967" s="44"/>
    </row>
    <row r="2968" spans="2:9" x14ac:dyDescent="0.15">
      <c r="B2968" s="4" t="s">
        <v>292</v>
      </c>
      <c r="C2968" s="24"/>
      <c r="D2968" s="6"/>
      <c r="E2968" s="3" t="s">
        <v>316</v>
      </c>
      <c r="F2968" s="162">
        <f>MATERIALES!C88</f>
        <v>2086</v>
      </c>
      <c r="G2968" s="65">
        <v>0.2</v>
      </c>
      <c r="H2968" s="163">
        <f t="shared" si="16"/>
        <v>417.20000000000005</v>
      </c>
      <c r="I2968" s="44"/>
    </row>
    <row r="2969" spans="2:9" x14ac:dyDescent="0.15">
      <c r="B2969" s="4" t="s">
        <v>293</v>
      </c>
      <c r="C2969" s="24"/>
      <c r="D2969" s="6"/>
      <c r="E2969" s="3" t="s">
        <v>316</v>
      </c>
      <c r="F2969" s="162">
        <f>MATERIALES!C89</f>
        <v>12460</v>
      </c>
      <c r="G2969" s="65">
        <v>0.2</v>
      </c>
      <c r="H2969" s="163">
        <f t="shared" si="16"/>
        <v>2492</v>
      </c>
      <c r="I2969" s="44"/>
    </row>
    <row r="2970" spans="2:9" x14ac:dyDescent="0.15">
      <c r="B2970" s="4" t="s">
        <v>135</v>
      </c>
      <c r="C2970" s="24"/>
      <c r="D2970" s="6"/>
      <c r="E2970" s="3" t="s">
        <v>77</v>
      </c>
      <c r="F2970" s="162">
        <f>MATERIALES!C27</f>
        <v>286200</v>
      </c>
      <c r="G2970" s="65">
        <v>0.01</v>
      </c>
      <c r="H2970" s="163">
        <f t="shared" si="16"/>
        <v>2862</v>
      </c>
      <c r="I2970" s="44"/>
    </row>
    <row r="2971" spans="2:9" ht="14" thickBot="1" x14ac:dyDescent="0.2">
      <c r="B2971" s="25"/>
      <c r="C2971" s="26"/>
      <c r="D2971" s="27"/>
      <c r="E2971" s="21"/>
      <c r="F2971" s="22"/>
      <c r="G2971" s="165"/>
      <c r="H2971" s="47"/>
      <c r="I2971" s="48"/>
    </row>
    <row r="2972" spans="2:9" ht="14" thickBot="1" x14ac:dyDescent="0.2">
      <c r="B2972" s="1"/>
      <c r="C2972" s="1"/>
      <c r="D2972" s="1"/>
      <c r="E2972" s="1"/>
      <c r="F2972" s="1"/>
      <c r="G2972" s="1"/>
      <c r="H2972" s="37" t="s">
        <v>26</v>
      </c>
      <c r="I2972" s="161">
        <f>SUM(H2965:H2971)</f>
        <v>33919.199999999997</v>
      </c>
    </row>
    <row r="2973" spans="2:9" ht="14" thickBot="1" x14ac:dyDescent="0.2">
      <c r="B2973" s="28" t="s">
        <v>31</v>
      </c>
      <c r="C2973" s="28"/>
      <c r="D2973" s="26"/>
      <c r="E2973" s="1"/>
      <c r="F2973" s="1"/>
      <c r="G2973" s="1"/>
      <c r="H2973" s="1"/>
      <c r="I2973" s="1"/>
    </row>
    <row r="2974" spans="2:9" x14ac:dyDescent="0.15">
      <c r="B2974" s="51" t="s">
        <v>32</v>
      </c>
      <c r="C2974" s="52"/>
      <c r="D2974" s="96" t="s">
        <v>33</v>
      </c>
      <c r="E2974" s="205" t="s">
        <v>34</v>
      </c>
      <c r="F2974" s="205" t="s">
        <v>35</v>
      </c>
      <c r="G2974" s="205" t="s">
        <v>36</v>
      </c>
      <c r="H2974" s="59" t="s">
        <v>25</v>
      </c>
      <c r="I2974" s="43"/>
    </row>
    <row r="2975" spans="2:9" x14ac:dyDescent="0.15">
      <c r="B2975" s="4" t="s">
        <v>79</v>
      </c>
      <c r="C2975" s="6"/>
      <c r="D2975" s="53">
        <v>0.1</v>
      </c>
      <c r="E2975" s="2">
        <v>15</v>
      </c>
      <c r="F2975" s="2">
        <f>E2975*D2975</f>
        <v>1.5</v>
      </c>
      <c r="G2975" s="65">
        <v>1100</v>
      </c>
      <c r="H2975" s="20">
        <f>G2975*F2975</f>
        <v>1650</v>
      </c>
      <c r="I2975" s="44"/>
    </row>
    <row r="2976" spans="2:9" x14ac:dyDescent="0.15">
      <c r="B2976" s="106"/>
      <c r="C2976" s="66"/>
      <c r="D2976" s="67"/>
      <c r="E2976" s="68"/>
      <c r="F2976" s="68"/>
      <c r="G2976" s="69"/>
      <c r="H2976" s="65"/>
      <c r="I2976" s="44"/>
    </row>
    <row r="2977" spans="2:9" ht="14" thickBot="1" x14ac:dyDescent="0.2">
      <c r="B2977" s="33"/>
      <c r="C2977" s="54"/>
      <c r="D2977" s="21"/>
      <c r="E2977" s="22"/>
      <c r="F2977" s="23"/>
      <c r="G2977" s="47"/>
      <c r="H2977" s="21"/>
      <c r="I2977" s="48"/>
    </row>
    <row r="2978" spans="2:9" ht="14" thickBot="1" x14ac:dyDescent="0.2">
      <c r="B2978" s="1"/>
      <c r="C2978" s="1"/>
      <c r="D2978" s="1"/>
      <c r="E2978" s="1"/>
      <c r="F2978" s="1"/>
      <c r="G2978" s="1"/>
      <c r="H2978" s="37" t="s">
        <v>26</v>
      </c>
      <c r="I2978" s="161">
        <f>SUM(H2975:H2977)</f>
        <v>1650</v>
      </c>
    </row>
    <row r="2979" spans="2:9" ht="14" thickBot="1" x14ac:dyDescent="0.2">
      <c r="B2979" s="28" t="s">
        <v>37</v>
      </c>
      <c r="C2979" s="28"/>
      <c r="D2979" s="1"/>
      <c r="E2979" s="1"/>
      <c r="F2979" s="1"/>
      <c r="G2979" s="1"/>
      <c r="H2979" s="1"/>
      <c r="I2979" s="1"/>
    </row>
    <row r="2980" spans="2:9" x14ac:dyDescent="0.15">
      <c r="B2980" s="51" t="s">
        <v>38</v>
      </c>
      <c r="C2980" s="86"/>
      <c r="D2980" s="31" t="s">
        <v>39</v>
      </c>
      <c r="E2980" s="205" t="s">
        <v>40</v>
      </c>
      <c r="F2980" s="19" t="s">
        <v>41</v>
      </c>
      <c r="G2980" s="31" t="s">
        <v>24</v>
      </c>
      <c r="H2980" s="204" t="s">
        <v>25</v>
      </c>
      <c r="I2980" s="43"/>
    </row>
    <row r="2981" spans="2:9" x14ac:dyDescent="0.15">
      <c r="B2981" s="4" t="s">
        <v>65</v>
      </c>
      <c r="C2981" s="24"/>
      <c r="D2981" s="32">
        <f>'MANO DE OBRA'!E15</f>
        <v>95333</v>
      </c>
      <c r="E2981" s="88">
        <v>1.75</v>
      </c>
      <c r="F2981" s="162">
        <f>+E2981*D2981</f>
        <v>166832.75</v>
      </c>
      <c r="G2981" s="79">
        <v>12</v>
      </c>
      <c r="H2981" s="167">
        <f>+F2981/G2981</f>
        <v>13902.729166666666</v>
      </c>
      <c r="I2981" s="44"/>
    </row>
    <row r="2982" spans="2:9" x14ac:dyDescent="0.15">
      <c r="B2982" s="80" t="s">
        <v>55</v>
      </c>
      <c r="C2982" s="24"/>
      <c r="D2982" s="32">
        <f>'MANO DE OBRA'!E14*2</f>
        <v>104000</v>
      </c>
      <c r="E2982" s="88">
        <v>1.75</v>
      </c>
      <c r="F2982" s="162">
        <f>+E2982*D2982</f>
        <v>182000</v>
      </c>
      <c r="G2982" s="79">
        <v>12</v>
      </c>
      <c r="H2982" s="167">
        <f>+F2982/G2982</f>
        <v>15166.666666666666</v>
      </c>
      <c r="I2982" s="44"/>
    </row>
    <row r="2983" spans="2:9" ht="14" thickBot="1" x14ac:dyDescent="0.2">
      <c r="B2983" s="33"/>
      <c r="C2983" s="34"/>
      <c r="D2983" s="22"/>
      <c r="E2983" s="21"/>
      <c r="F2983" s="22"/>
      <c r="G2983" s="23"/>
      <c r="H2983" s="47"/>
      <c r="I2983" s="48"/>
    </row>
    <row r="2984" spans="2:9" ht="14" thickBot="1" x14ac:dyDescent="0.2">
      <c r="B2984" s="1"/>
      <c r="C2984" s="1"/>
      <c r="D2984" s="1"/>
      <c r="E2984" s="1"/>
      <c r="F2984" s="1"/>
      <c r="G2984" s="1"/>
      <c r="H2984" s="37" t="s">
        <v>26</v>
      </c>
      <c r="I2984" s="175">
        <f>SUM(H2981:H2983)</f>
        <v>29069.395833333332</v>
      </c>
    </row>
    <row r="2985" spans="2:9" ht="14" thickBot="1" x14ac:dyDescent="0.2">
      <c r="B2985" s="1"/>
      <c r="C2985" s="1"/>
      <c r="D2985" s="1"/>
      <c r="E2985" s="1"/>
      <c r="F2985" s="1"/>
      <c r="G2985" s="1"/>
      <c r="H2985" s="61"/>
      <c r="I2985" s="1"/>
    </row>
    <row r="2986" spans="2:9" ht="15" thickBot="1" x14ac:dyDescent="0.2">
      <c r="B2986" s="1"/>
      <c r="C2986" s="1"/>
      <c r="D2986" s="1"/>
      <c r="E2986" s="1"/>
      <c r="F2986" s="35" t="s">
        <v>43</v>
      </c>
      <c r="G2986" s="16"/>
      <c r="H2986" s="16"/>
      <c r="I2986" s="325">
        <f>ROUND((I2962+I2972+I2978+I2984),0)</f>
        <v>66092</v>
      </c>
    </row>
    <row r="2987" spans="2:9" x14ac:dyDescent="0.15">
      <c r="B2987" s="12"/>
      <c r="C2987" s="12"/>
      <c r="D2987" s="1"/>
      <c r="E2987" s="1"/>
      <c r="F2987" s="1"/>
      <c r="G2987" s="1"/>
      <c r="H2987" s="170"/>
      <c r="I2987" s="170"/>
    </row>
    <row r="2988" spans="2:9" x14ac:dyDescent="0.15">
      <c r="B2988" s="16"/>
      <c r="C2988" s="16"/>
      <c r="D2988" s="16"/>
      <c r="E2988" s="16"/>
      <c r="F2988" s="16"/>
      <c r="G2988" s="61"/>
      <c r="H2988" s="171"/>
      <c r="I2988" s="170"/>
    </row>
    <row r="2989" spans="2:9" x14ac:dyDescent="0.15">
      <c r="B2989" s="1"/>
      <c r="C2989" s="1"/>
      <c r="D2989" s="1"/>
      <c r="E2989" s="1"/>
      <c r="F2989" s="1"/>
      <c r="G2989" s="159"/>
      <c r="H2989" s="170"/>
      <c r="I2989" s="170"/>
    </row>
    <row r="2990" spans="2:9" x14ac:dyDescent="0.15">
      <c r="B2990" s="1"/>
      <c r="C2990" s="1"/>
      <c r="D2990" s="1"/>
      <c r="E2990" s="1"/>
      <c r="F2990" s="1"/>
      <c r="G2990" s="159"/>
      <c r="H2990" s="170"/>
      <c r="I2990" s="170"/>
    </row>
    <row r="2991" spans="2:9" x14ac:dyDescent="0.15">
      <c r="B2991" s="1"/>
      <c r="C2991" s="1"/>
      <c r="D2991" s="1"/>
      <c r="E2991" s="1"/>
      <c r="F2991" s="1"/>
      <c r="G2991" s="159"/>
      <c r="H2991" s="170"/>
      <c r="I2991" s="170"/>
    </row>
    <row r="2992" spans="2:9" x14ac:dyDescent="0.15">
      <c r="B2992" s="1"/>
      <c r="C2992" s="1"/>
      <c r="D2992" s="1"/>
      <c r="E2992" s="1"/>
      <c r="F2992" s="1"/>
      <c r="G2992" s="1"/>
      <c r="H2992" s="37"/>
      <c r="I2992" s="170"/>
    </row>
    <row r="2993" spans="1:10" ht="14" x14ac:dyDescent="0.15">
      <c r="B2993" s="101"/>
      <c r="C2993" s="1"/>
      <c r="D2993" s="1"/>
      <c r="E2993" s="1"/>
      <c r="F2993" s="1"/>
      <c r="G2993" s="1"/>
      <c r="H2993" s="1"/>
      <c r="I2993" s="170"/>
    </row>
    <row r="2994" spans="1:10" ht="14" x14ac:dyDescent="0.15">
      <c r="B2994" s="101"/>
      <c r="C2994" s="1"/>
      <c r="D2994" s="1"/>
      <c r="E2994" s="1"/>
      <c r="F2994" s="1"/>
      <c r="G2994" s="1"/>
      <c r="H2994" s="1"/>
      <c r="I2994" s="170"/>
    </row>
    <row r="2995" spans="1:10" ht="14" x14ac:dyDescent="0.15">
      <c r="B2995" s="101"/>
      <c r="C2995" s="1"/>
      <c r="D2995" s="1"/>
      <c r="E2995" s="1"/>
      <c r="F2995" s="1"/>
      <c r="G2995" s="1"/>
      <c r="H2995" s="1"/>
      <c r="I2995" s="170"/>
    </row>
    <row r="2996" spans="1:10" ht="14" x14ac:dyDescent="0.15">
      <c r="B2996" s="101"/>
      <c r="C2996" s="1"/>
      <c r="D2996" s="1"/>
      <c r="E2996" s="1"/>
      <c r="F2996" s="1"/>
      <c r="G2996" s="1"/>
      <c r="H2996" s="1"/>
      <c r="I2996" s="170"/>
    </row>
    <row r="2997" spans="1:10" ht="14" x14ac:dyDescent="0.15">
      <c r="B2997" s="101"/>
      <c r="C2997" s="1"/>
      <c r="D2997" s="1"/>
      <c r="E2997" s="1"/>
      <c r="F2997" s="1"/>
      <c r="G2997" s="1"/>
      <c r="H2997" s="1"/>
      <c r="I2997" s="170"/>
    </row>
    <row r="2998" spans="1:10" ht="14" x14ac:dyDescent="0.15">
      <c r="B2998" s="101"/>
      <c r="C2998" s="1"/>
      <c r="D2998" s="1"/>
      <c r="E2998" s="1"/>
      <c r="F2998" s="1"/>
      <c r="G2998" s="1"/>
      <c r="H2998" s="1"/>
      <c r="I2998" s="170"/>
    </row>
    <row r="2999" spans="1:10" ht="14" x14ac:dyDescent="0.15">
      <c r="B2999" s="101"/>
      <c r="C2999" s="1"/>
      <c r="D2999" s="1"/>
      <c r="E2999" s="1"/>
      <c r="F2999" s="1"/>
      <c r="G2999" s="1"/>
      <c r="H2999" s="1"/>
      <c r="I2999" s="170"/>
    </row>
    <row r="3000" spans="1:10" ht="14" x14ac:dyDescent="0.15">
      <c r="B3000" s="83"/>
      <c r="C3000" s="11"/>
      <c r="D3000" s="1"/>
      <c r="E3000" s="637"/>
      <c r="F3000" s="637"/>
      <c r="G3000" s="637"/>
      <c r="H3000" s="637"/>
      <c r="I3000" s="169"/>
    </row>
    <row r="3001" spans="1:10" x14ac:dyDescent="0.15">
      <c r="B3001" s="11"/>
      <c r="C3001" s="11"/>
      <c r="D3001" s="1"/>
      <c r="E3001" s="153"/>
      <c r="F3001" s="153"/>
      <c r="G3001" s="153"/>
      <c r="H3001" s="153"/>
      <c r="I3001" s="169"/>
    </row>
    <row r="3002" spans="1:10" x14ac:dyDescent="0.15">
      <c r="B3002" s="11"/>
      <c r="C3002" s="11"/>
      <c r="D3002" s="1"/>
      <c r="E3002" s="153"/>
      <c r="F3002" s="153"/>
      <c r="G3002" s="153"/>
      <c r="H3002" s="153"/>
      <c r="I3002" s="169"/>
    </row>
    <row r="3003" spans="1:10" x14ac:dyDescent="0.15">
      <c r="B3003" s="11"/>
      <c r="C3003" s="11"/>
      <c r="D3003" s="1"/>
      <c r="E3003" s="153"/>
      <c r="F3003" s="153"/>
      <c r="G3003" s="153"/>
      <c r="H3003" s="153"/>
      <c r="I3003" s="169"/>
    </row>
    <row r="3004" spans="1:10" ht="14" x14ac:dyDescent="0.15">
      <c r="A3004" s="85"/>
      <c r="B3004" s="101"/>
      <c r="C3004" s="83"/>
      <c r="D3004" s="84"/>
      <c r="E3004" s="83"/>
      <c r="F3004" s="158"/>
      <c r="G3004" s="155"/>
      <c r="H3004" s="83"/>
      <c r="I3004" s="83"/>
      <c r="J3004" s="85"/>
    </row>
    <row r="3005" spans="1:10" ht="14" x14ac:dyDescent="0.15">
      <c r="A3005" s="85"/>
      <c r="B3005" s="83"/>
      <c r="C3005" s="83"/>
      <c r="D3005" s="84"/>
      <c r="E3005" s="83"/>
      <c r="F3005" s="154"/>
      <c r="G3005" s="155"/>
      <c r="H3005" s="156"/>
      <c r="I3005" s="157"/>
      <c r="J3005" s="85"/>
    </row>
    <row r="3006" spans="1:10" ht="14" x14ac:dyDescent="0.15">
      <c r="B3006" s="83"/>
      <c r="C3006" s="11"/>
      <c r="D3006" s="11"/>
      <c r="E3006" s="11"/>
      <c r="F3006" s="691"/>
      <c r="G3006" s="691"/>
      <c r="H3006" s="691"/>
      <c r="I3006" s="691"/>
    </row>
    <row r="3007" spans="1:10" ht="14" thickBot="1" x14ac:dyDescent="0.2"/>
    <row r="3008" spans="1:10" ht="21" customHeight="1" x14ac:dyDescent="0.15">
      <c r="B3008" s="607" t="s">
        <v>1065</v>
      </c>
      <c r="C3008" s="608"/>
      <c r="D3008" s="608"/>
      <c r="E3008" s="608"/>
      <c r="F3008" s="609"/>
      <c r="G3008" s="1"/>
      <c r="H3008" s="638" t="s">
        <v>20</v>
      </c>
      <c r="I3008" s="639"/>
    </row>
    <row r="3009" spans="2:9" ht="16.5" customHeight="1" x14ac:dyDescent="0.15">
      <c r="B3009" s="604" t="s">
        <v>446</v>
      </c>
      <c r="C3009" s="605"/>
      <c r="D3009" s="605"/>
      <c r="E3009" s="605"/>
      <c r="F3009" s="606"/>
      <c r="G3009" s="63"/>
      <c r="H3009" s="640"/>
      <c r="I3009" s="641"/>
    </row>
    <row r="3010" spans="2:9" ht="12.75" customHeight="1" x14ac:dyDescent="0.15">
      <c r="B3010" s="610" t="s">
        <v>447</v>
      </c>
      <c r="C3010" s="611"/>
      <c r="D3010" s="611"/>
      <c r="E3010" s="611"/>
      <c r="F3010" s="612"/>
      <c r="G3010" s="63"/>
      <c r="H3010" s="642"/>
      <c r="I3010" s="643"/>
    </row>
    <row r="3011" spans="2:9" ht="16.5" customHeight="1" thickBot="1" x14ac:dyDescent="0.2">
      <c r="B3011" s="613"/>
      <c r="C3011" s="614"/>
      <c r="D3011" s="614"/>
      <c r="E3011" s="614"/>
      <c r="F3011" s="615"/>
      <c r="G3011" s="1"/>
      <c r="H3011" s="685" t="s">
        <v>1006</v>
      </c>
      <c r="I3011" s="686"/>
    </row>
    <row r="3012" spans="2:9" ht="14" thickBot="1" x14ac:dyDescent="0.2">
      <c r="B3012" s="15"/>
      <c r="C3012" s="16"/>
      <c r="D3012" s="1"/>
      <c r="E3012" s="1"/>
      <c r="F3012" s="1"/>
      <c r="G3012" s="1"/>
      <c r="H3012" s="687"/>
      <c r="I3012" s="688"/>
    </row>
    <row r="3013" spans="2:9" ht="12.75" customHeight="1" x14ac:dyDescent="0.15">
      <c r="B3013" s="650" t="s">
        <v>890</v>
      </c>
      <c r="C3013" s="651"/>
      <c r="D3013" s="651"/>
      <c r="E3013" s="651"/>
      <c r="F3013" s="652"/>
      <c r="G3013" s="1"/>
      <c r="H3013" s="687"/>
      <c r="I3013" s="688"/>
    </row>
    <row r="3014" spans="2:9" ht="12.75" customHeight="1" x14ac:dyDescent="0.15">
      <c r="B3014" s="653"/>
      <c r="C3014" s="654"/>
      <c r="D3014" s="654"/>
      <c r="E3014" s="654"/>
      <c r="F3014" s="655"/>
      <c r="H3014" s="687"/>
      <c r="I3014" s="688"/>
    </row>
    <row r="3015" spans="2:9" ht="13.5" customHeight="1" x14ac:dyDescent="0.15">
      <c r="B3015" s="653"/>
      <c r="C3015" s="654"/>
      <c r="D3015" s="654"/>
      <c r="E3015" s="654"/>
      <c r="F3015" s="655"/>
      <c r="G3015" s="11"/>
      <c r="H3015" s="689"/>
      <c r="I3015" s="690"/>
    </row>
    <row r="3016" spans="2:9" ht="21.75" customHeight="1" thickBot="1" x14ac:dyDescent="0.2">
      <c r="B3016" s="656"/>
      <c r="C3016" s="657"/>
      <c r="D3016" s="657"/>
      <c r="E3016" s="657"/>
      <c r="F3016" s="658"/>
      <c r="H3016" s="64" t="s">
        <v>45</v>
      </c>
      <c r="I3016" s="17" t="s">
        <v>316</v>
      </c>
    </row>
    <row r="3017" spans="2:9" x14ac:dyDescent="0.15">
      <c r="B3017" s="18"/>
      <c r="C3017" s="18"/>
      <c r="D3017" s="1"/>
      <c r="E3017" s="18"/>
      <c r="F3017" s="18"/>
      <c r="G3017" s="18"/>
      <c r="H3017" s="18"/>
      <c r="I3017" s="1"/>
    </row>
    <row r="3018" spans="2:9" ht="14" thickBot="1" x14ac:dyDescent="0.2">
      <c r="B3018" s="12" t="s">
        <v>21</v>
      </c>
      <c r="C3018" s="12"/>
      <c r="D3018" s="1"/>
      <c r="E3018" s="1"/>
      <c r="F3018" s="1"/>
      <c r="G3018" s="1"/>
      <c r="H3018" s="1"/>
      <c r="I3018" s="1"/>
    </row>
    <row r="3019" spans="2:9" x14ac:dyDescent="0.15">
      <c r="B3019" s="628" t="s">
        <v>22</v>
      </c>
      <c r="C3019" s="629"/>
      <c r="D3019" s="630"/>
      <c r="E3019" s="205" t="s">
        <v>23</v>
      </c>
      <c r="F3019" s="19" t="s">
        <v>47</v>
      </c>
      <c r="G3019" s="205" t="s">
        <v>24</v>
      </c>
      <c r="H3019" s="204" t="s">
        <v>25</v>
      </c>
      <c r="I3019" s="43"/>
    </row>
    <row r="3020" spans="2:9" x14ac:dyDescent="0.15">
      <c r="B3020" s="631" t="s">
        <v>56</v>
      </c>
      <c r="C3020" s="632"/>
      <c r="D3020" s="633"/>
      <c r="E3020" s="5"/>
      <c r="F3020" s="160"/>
      <c r="G3020" s="58"/>
      <c r="H3020" s="160">
        <f>I3046*0.05</f>
        <v>1453.4697916666667</v>
      </c>
      <c r="I3020" s="44"/>
    </row>
    <row r="3021" spans="2:9" ht="14" thickBot="1" x14ac:dyDescent="0.2">
      <c r="B3021" s="634"/>
      <c r="C3021" s="635"/>
      <c r="D3021" s="636"/>
      <c r="E3021" s="21"/>
      <c r="F3021" s="22"/>
      <c r="G3021" s="23"/>
      <c r="H3021" s="47"/>
      <c r="I3021" s="48"/>
    </row>
    <row r="3022" spans="2:9" ht="14" thickBot="1" x14ac:dyDescent="0.2">
      <c r="B3022" s="1"/>
      <c r="C3022" s="1"/>
      <c r="D3022" s="1"/>
      <c r="E3022" s="1"/>
      <c r="F3022" s="1"/>
      <c r="G3022" s="1"/>
      <c r="H3022" s="37" t="s">
        <v>26</v>
      </c>
      <c r="I3022" s="161">
        <f>SUM(H3020:H3021)</f>
        <v>1453.4697916666667</v>
      </c>
    </row>
    <row r="3023" spans="2:9" ht="14" thickBot="1" x14ac:dyDescent="0.2">
      <c r="B3023" s="12" t="s">
        <v>27</v>
      </c>
      <c r="C3023" s="12"/>
      <c r="D3023" s="1"/>
      <c r="E3023" s="1"/>
      <c r="F3023" s="1"/>
      <c r="G3023" s="1"/>
      <c r="H3023" s="1"/>
      <c r="I3023" s="1"/>
    </row>
    <row r="3024" spans="2:9" x14ac:dyDescent="0.15">
      <c r="B3024" s="628" t="s">
        <v>22</v>
      </c>
      <c r="C3024" s="629"/>
      <c r="D3024" s="630"/>
      <c r="E3024" s="205" t="s">
        <v>28</v>
      </c>
      <c r="F3024" s="205" t="s">
        <v>29</v>
      </c>
      <c r="G3024" s="205" t="s">
        <v>30</v>
      </c>
      <c r="H3024" s="204" t="s">
        <v>25</v>
      </c>
      <c r="I3024" s="43"/>
    </row>
    <row r="3025" spans="2:9" x14ac:dyDescent="0.15">
      <c r="B3025" s="4" t="s">
        <v>294</v>
      </c>
      <c r="C3025" s="24"/>
      <c r="D3025" s="6"/>
      <c r="E3025" s="3" t="s">
        <v>193</v>
      </c>
      <c r="F3025" s="162">
        <f>MATERIALES!C90</f>
        <v>17500</v>
      </c>
      <c r="G3025" s="65">
        <v>2</v>
      </c>
      <c r="H3025" s="163">
        <f t="shared" ref="H3025:H3032" si="17">G3025*F3025</f>
        <v>35000</v>
      </c>
      <c r="I3025" s="44"/>
    </row>
    <row r="3026" spans="2:9" x14ac:dyDescent="0.15">
      <c r="B3026" s="4" t="s">
        <v>295</v>
      </c>
      <c r="C3026" s="24"/>
      <c r="D3026" s="6"/>
      <c r="E3026" s="3" t="s">
        <v>316</v>
      </c>
      <c r="F3026" s="162">
        <f>MATERIALES!C91</f>
        <v>8120</v>
      </c>
      <c r="G3026" s="65">
        <v>1</v>
      </c>
      <c r="H3026" s="163">
        <f t="shared" si="17"/>
        <v>8120</v>
      </c>
      <c r="I3026" s="44"/>
    </row>
    <row r="3027" spans="2:9" x14ac:dyDescent="0.15">
      <c r="B3027" s="4" t="s">
        <v>296</v>
      </c>
      <c r="C3027" s="24"/>
      <c r="D3027" s="6"/>
      <c r="E3027" s="3" t="s">
        <v>316</v>
      </c>
      <c r="F3027" s="162">
        <f>MATERIALES!C92</f>
        <v>13860</v>
      </c>
      <c r="G3027" s="65">
        <v>0.2</v>
      </c>
      <c r="H3027" s="163">
        <f t="shared" si="17"/>
        <v>2772</v>
      </c>
      <c r="I3027" s="44"/>
    </row>
    <row r="3028" spans="2:9" x14ac:dyDescent="0.15">
      <c r="B3028" s="4" t="s">
        <v>297</v>
      </c>
      <c r="C3028" s="24"/>
      <c r="D3028" s="6"/>
      <c r="E3028" s="3" t="s">
        <v>316</v>
      </c>
      <c r="F3028" s="162">
        <f>MATERIALES!C93</f>
        <v>12880</v>
      </c>
      <c r="G3028" s="65">
        <v>1</v>
      </c>
      <c r="H3028" s="163">
        <f t="shared" si="17"/>
        <v>12880</v>
      </c>
      <c r="I3028" s="44"/>
    </row>
    <row r="3029" spans="2:9" x14ac:dyDescent="0.15">
      <c r="B3029" s="4" t="s">
        <v>298</v>
      </c>
      <c r="C3029" s="24"/>
      <c r="D3029" s="6"/>
      <c r="E3029" s="3" t="s">
        <v>316</v>
      </c>
      <c r="F3029" s="162">
        <f>MATERIALES!C94</f>
        <v>2660</v>
      </c>
      <c r="G3029" s="65">
        <v>0.2</v>
      </c>
      <c r="H3029" s="163">
        <f t="shared" si="17"/>
        <v>532</v>
      </c>
      <c r="I3029" s="44"/>
    </row>
    <row r="3030" spans="2:9" x14ac:dyDescent="0.15">
      <c r="B3030" s="4" t="s">
        <v>299</v>
      </c>
      <c r="C3030" s="24"/>
      <c r="D3030" s="6"/>
      <c r="E3030" s="3" t="s">
        <v>316</v>
      </c>
      <c r="F3030" s="162">
        <f>MATERIALES!C95</f>
        <v>19460</v>
      </c>
      <c r="G3030" s="65">
        <v>0.2</v>
      </c>
      <c r="H3030" s="163">
        <f t="shared" si="17"/>
        <v>3892</v>
      </c>
      <c r="I3030" s="44"/>
    </row>
    <row r="3031" spans="2:9" x14ac:dyDescent="0.15">
      <c r="B3031" s="4" t="s">
        <v>300</v>
      </c>
      <c r="C3031" s="24"/>
      <c r="D3031" s="6"/>
      <c r="E3031" s="3" t="s">
        <v>316</v>
      </c>
      <c r="F3031" s="162">
        <f>MATERIALES!C96</f>
        <v>22260</v>
      </c>
      <c r="G3031" s="65">
        <v>0.2</v>
      </c>
      <c r="H3031" s="163">
        <f t="shared" si="17"/>
        <v>4452</v>
      </c>
      <c r="I3031" s="44"/>
    </row>
    <row r="3032" spans="2:9" x14ac:dyDescent="0.15">
      <c r="B3032" s="4" t="s">
        <v>135</v>
      </c>
      <c r="C3032" s="24"/>
      <c r="D3032" s="6"/>
      <c r="E3032" s="3" t="s">
        <v>77</v>
      </c>
      <c r="F3032" s="162">
        <f>MATERIALES!C27</f>
        <v>286200</v>
      </c>
      <c r="G3032" s="65">
        <v>0.01</v>
      </c>
      <c r="H3032" s="163">
        <f t="shared" si="17"/>
        <v>2862</v>
      </c>
      <c r="I3032" s="44"/>
    </row>
    <row r="3033" spans="2:9" ht="14" thickBot="1" x14ac:dyDescent="0.2">
      <c r="B3033" s="25"/>
      <c r="C3033" s="26"/>
      <c r="D3033" s="27"/>
      <c r="E3033" s="21"/>
      <c r="F3033" s="22"/>
      <c r="G3033" s="165"/>
      <c r="H3033" s="47"/>
      <c r="I3033" s="48"/>
    </row>
    <row r="3034" spans="2:9" ht="14" thickBot="1" x14ac:dyDescent="0.2">
      <c r="B3034" s="1"/>
      <c r="C3034" s="1"/>
      <c r="D3034" s="1"/>
      <c r="E3034" s="1"/>
      <c r="F3034" s="1"/>
      <c r="G3034" s="1"/>
      <c r="H3034" s="37" t="s">
        <v>26</v>
      </c>
      <c r="I3034" s="161">
        <f>SUM(H3025:H3032)</f>
        <v>70510</v>
      </c>
    </row>
    <row r="3035" spans="2:9" ht="14" thickBot="1" x14ac:dyDescent="0.2">
      <c r="B3035" s="28" t="s">
        <v>31</v>
      </c>
      <c r="C3035" s="28"/>
      <c r="D3035" s="26"/>
      <c r="E3035" s="1"/>
      <c r="F3035" s="1"/>
      <c r="G3035" s="1"/>
      <c r="H3035" s="1"/>
      <c r="I3035" s="1"/>
    </row>
    <row r="3036" spans="2:9" x14ac:dyDescent="0.15">
      <c r="B3036" s="51" t="s">
        <v>32</v>
      </c>
      <c r="C3036" s="52"/>
      <c r="D3036" s="96" t="s">
        <v>33</v>
      </c>
      <c r="E3036" s="205" t="s">
        <v>34</v>
      </c>
      <c r="F3036" s="205" t="s">
        <v>35</v>
      </c>
      <c r="G3036" s="205" t="s">
        <v>36</v>
      </c>
      <c r="H3036" s="59" t="s">
        <v>25</v>
      </c>
      <c r="I3036" s="43"/>
    </row>
    <row r="3037" spans="2:9" x14ac:dyDescent="0.15">
      <c r="B3037" s="4" t="s">
        <v>79</v>
      </c>
      <c r="C3037" s="6"/>
      <c r="D3037" s="53">
        <v>0.12</v>
      </c>
      <c r="E3037" s="2">
        <v>15</v>
      </c>
      <c r="F3037" s="2">
        <f>E3037*D3037</f>
        <v>1.7999999999999998</v>
      </c>
      <c r="G3037" s="65">
        <v>1100</v>
      </c>
      <c r="H3037" s="20">
        <f>G3037*F3037</f>
        <v>1979.9999999999998</v>
      </c>
      <c r="I3037" s="44"/>
    </row>
    <row r="3038" spans="2:9" x14ac:dyDescent="0.15">
      <c r="B3038" s="106"/>
      <c r="C3038" s="66"/>
      <c r="D3038" s="67"/>
      <c r="E3038" s="68"/>
      <c r="F3038" s="68"/>
      <c r="G3038" s="69"/>
      <c r="H3038" s="65"/>
      <c r="I3038" s="44"/>
    </row>
    <row r="3039" spans="2:9" ht="14" thickBot="1" x14ac:dyDescent="0.2">
      <c r="B3039" s="33"/>
      <c r="C3039" s="54"/>
      <c r="D3039" s="21"/>
      <c r="E3039" s="22"/>
      <c r="F3039" s="23"/>
      <c r="G3039" s="47"/>
      <c r="H3039" s="21"/>
      <c r="I3039" s="48"/>
    </row>
    <row r="3040" spans="2:9" ht="14" thickBot="1" x14ac:dyDescent="0.2">
      <c r="B3040" s="1"/>
      <c r="C3040" s="1"/>
      <c r="D3040" s="1"/>
      <c r="E3040" s="1"/>
      <c r="F3040" s="1"/>
      <c r="G3040" s="1"/>
      <c r="H3040" s="37" t="s">
        <v>26</v>
      </c>
      <c r="I3040" s="161">
        <f>SUM(H3037:H3039)</f>
        <v>1979.9999999999998</v>
      </c>
    </row>
    <row r="3041" spans="2:9" ht="14" thickBot="1" x14ac:dyDescent="0.2">
      <c r="B3041" s="28" t="s">
        <v>37</v>
      </c>
      <c r="C3041" s="28"/>
      <c r="D3041" s="1"/>
      <c r="E3041" s="1"/>
      <c r="F3041" s="1"/>
      <c r="G3041" s="1"/>
      <c r="H3041" s="1"/>
      <c r="I3041" s="1"/>
    </row>
    <row r="3042" spans="2:9" x14ac:dyDescent="0.15">
      <c r="B3042" s="51" t="s">
        <v>38</v>
      </c>
      <c r="C3042" s="86"/>
      <c r="D3042" s="31" t="s">
        <v>39</v>
      </c>
      <c r="E3042" s="205" t="s">
        <v>40</v>
      </c>
      <c r="F3042" s="19" t="s">
        <v>41</v>
      </c>
      <c r="G3042" s="31" t="s">
        <v>24</v>
      </c>
      <c r="H3042" s="204" t="s">
        <v>25</v>
      </c>
      <c r="I3042" s="43"/>
    </row>
    <row r="3043" spans="2:9" x14ac:dyDescent="0.15">
      <c r="B3043" s="4" t="s">
        <v>65</v>
      </c>
      <c r="C3043" s="24"/>
      <c r="D3043" s="32">
        <f>'MANO DE OBRA'!E15</f>
        <v>95333</v>
      </c>
      <c r="E3043" s="88">
        <v>1.75</v>
      </c>
      <c r="F3043" s="162">
        <f>+E3043*D3043</f>
        <v>166832.75</v>
      </c>
      <c r="G3043" s="79">
        <v>12</v>
      </c>
      <c r="H3043" s="167">
        <f>+F3043/G3043</f>
        <v>13902.729166666666</v>
      </c>
      <c r="I3043" s="44"/>
    </row>
    <row r="3044" spans="2:9" x14ac:dyDescent="0.15">
      <c r="B3044" s="80" t="s">
        <v>55</v>
      </c>
      <c r="C3044" s="24"/>
      <c r="D3044" s="32">
        <f>'MANO DE OBRA'!E14*2</f>
        <v>104000</v>
      </c>
      <c r="E3044" s="88">
        <v>1.75</v>
      </c>
      <c r="F3044" s="162">
        <f>+E3044*D3044</f>
        <v>182000</v>
      </c>
      <c r="G3044" s="79">
        <v>12</v>
      </c>
      <c r="H3044" s="167">
        <f>+F3044/G3044</f>
        <v>15166.666666666666</v>
      </c>
      <c r="I3044" s="44"/>
    </row>
    <row r="3045" spans="2:9" ht="14" thickBot="1" x14ac:dyDescent="0.2">
      <c r="B3045" s="33"/>
      <c r="C3045" s="34"/>
      <c r="D3045" s="22"/>
      <c r="E3045" s="21"/>
      <c r="F3045" s="22"/>
      <c r="G3045" s="23"/>
      <c r="H3045" s="47"/>
      <c r="I3045" s="48"/>
    </row>
    <row r="3046" spans="2:9" ht="14" thickBot="1" x14ac:dyDescent="0.2">
      <c r="B3046" s="1"/>
      <c r="C3046" s="1"/>
      <c r="D3046" s="1"/>
      <c r="E3046" s="1"/>
      <c r="F3046" s="1"/>
      <c r="G3046" s="1"/>
      <c r="H3046" s="37" t="s">
        <v>26</v>
      </c>
      <c r="I3046" s="175">
        <f>SUM(H3043:H3045)</f>
        <v>29069.395833333332</v>
      </c>
    </row>
    <row r="3047" spans="2:9" ht="14" thickBot="1" x14ac:dyDescent="0.2">
      <c r="B3047" s="1"/>
      <c r="C3047" s="1"/>
      <c r="D3047" s="1"/>
      <c r="E3047" s="1"/>
      <c r="F3047" s="1"/>
      <c r="G3047" s="1"/>
      <c r="H3047" s="61"/>
      <c r="I3047" s="1"/>
    </row>
    <row r="3048" spans="2:9" ht="15" thickBot="1" x14ac:dyDescent="0.2">
      <c r="B3048" s="1"/>
      <c r="C3048" s="1"/>
      <c r="D3048" s="1"/>
      <c r="E3048" s="1"/>
      <c r="F3048" s="35" t="s">
        <v>43</v>
      </c>
      <c r="G3048" s="16"/>
      <c r="H3048" s="16"/>
      <c r="I3048" s="325">
        <f>ROUND((I3022+I3034+I3040+I3046),0)</f>
        <v>103013</v>
      </c>
    </row>
    <row r="3049" spans="2:9" x14ac:dyDescent="0.15">
      <c r="B3049" s="12"/>
      <c r="C3049" s="12"/>
      <c r="D3049" s="1"/>
      <c r="E3049" s="1"/>
      <c r="F3049" s="1"/>
      <c r="G3049" s="1"/>
      <c r="H3049" s="170"/>
      <c r="I3049" s="170"/>
    </row>
    <row r="3050" spans="2:9" x14ac:dyDescent="0.15">
      <c r="B3050" s="16"/>
      <c r="C3050" s="16"/>
      <c r="D3050" s="16"/>
      <c r="E3050" s="16"/>
      <c r="F3050" s="16"/>
      <c r="G3050" s="61"/>
      <c r="H3050" s="171"/>
      <c r="I3050" s="170"/>
    </row>
    <row r="3051" spans="2:9" x14ac:dyDescent="0.15">
      <c r="B3051" s="1"/>
      <c r="C3051" s="1"/>
      <c r="D3051" s="1"/>
      <c r="E3051" s="1"/>
      <c r="F3051" s="1"/>
      <c r="G3051" s="159"/>
      <c r="H3051" s="170"/>
      <c r="I3051" s="170"/>
    </row>
    <row r="3052" spans="2:9" x14ac:dyDescent="0.15">
      <c r="B3052" s="1"/>
      <c r="C3052" s="1"/>
      <c r="D3052" s="1"/>
      <c r="E3052" s="1"/>
      <c r="F3052" s="1"/>
      <c r="G3052" s="159"/>
      <c r="H3052" s="170"/>
      <c r="I3052" s="170"/>
    </row>
    <row r="3053" spans="2:9" x14ac:dyDescent="0.15">
      <c r="B3053" s="1"/>
      <c r="C3053" s="1"/>
      <c r="D3053" s="1"/>
      <c r="E3053" s="1"/>
      <c r="F3053" s="1"/>
      <c r="G3053" s="159"/>
      <c r="H3053" s="170"/>
      <c r="I3053" s="170"/>
    </row>
    <row r="3054" spans="2:9" x14ac:dyDescent="0.15">
      <c r="B3054" s="1"/>
      <c r="C3054" s="1"/>
      <c r="D3054" s="1"/>
      <c r="E3054" s="1"/>
      <c r="F3054" s="1"/>
      <c r="G3054" s="1"/>
      <c r="H3054" s="37"/>
      <c r="I3054" s="170"/>
    </row>
    <row r="3055" spans="2:9" x14ac:dyDescent="0.15">
      <c r="B3055" s="1"/>
      <c r="C3055" s="1"/>
      <c r="D3055" s="1"/>
      <c r="E3055" s="1"/>
      <c r="F3055" s="1"/>
      <c r="G3055" s="1"/>
      <c r="H3055" s="37"/>
      <c r="I3055" s="170"/>
    </row>
    <row r="3056" spans="2:9" x14ac:dyDescent="0.15">
      <c r="B3056" s="1"/>
      <c r="C3056" s="1"/>
      <c r="D3056" s="1"/>
      <c r="E3056" s="1"/>
      <c r="F3056" s="1"/>
      <c r="G3056" s="1"/>
      <c r="H3056" s="37"/>
      <c r="I3056" s="170"/>
    </row>
    <row r="3057" spans="1:10" x14ac:dyDescent="0.15">
      <c r="B3057" s="1"/>
      <c r="C3057" s="1"/>
      <c r="D3057" s="1"/>
      <c r="E3057" s="1"/>
      <c r="F3057" s="1"/>
      <c r="G3057" s="1"/>
      <c r="H3057" s="37"/>
      <c r="I3057" s="170"/>
    </row>
    <row r="3058" spans="1:10" x14ac:dyDescent="0.15">
      <c r="B3058" s="1"/>
      <c r="C3058" s="1"/>
      <c r="D3058" s="1"/>
      <c r="E3058" s="1"/>
      <c r="F3058" s="1"/>
      <c r="G3058" s="1"/>
      <c r="H3058" s="37"/>
      <c r="I3058" s="170"/>
    </row>
    <row r="3059" spans="1:10" x14ac:dyDescent="0.15">
      <c r="B3059" s="1"/>
      <c r="C3059" s="1"/>
      <c r="D3059" s="1"/>
      <c r="E3059" s="1"/>
      <c r="F3059" s="1"/>
      <c r="G3059" s="1"/>
      <c r="H3059" s="37"/>
      <c r="I3059" s="170"/>
    </row>
    <row r="3060" spans="1:10" ht="14" x14ac:dyDescent="0.15">
      <c r="B3060" s="101"/>
      <c r="C3060" s="1"/>
      <c r="D3060" s="1"/>
      <c r="E3060" s="1"/>
      <c r="F3060" s="1"/>
      <c r="G3060" s="1"/>
      <c r="H3060" s="1"/>
      <c r="I3060" s="170"/>
    </row>
    <row r="3061" spans="1:10" ht="14" x14ac:dyDescent="0.15">
      <c r="B3061" s="83"/>
      <c r="C3061" s="11"/>
      <c r="D3061" s="1"/>
      <c r="E3061" s="637"/>
      <c r="F3061" s="637"/>
      <c r="G3061" s="637"/>
      <c r="H3061" s="637"/>
      <c r="I3061" s="169"/>
    </row>
    <row r="3062" spans="1:10" x14ac:dyDescent="0.15">
      <c r="B3062" s="11"/>
      <c r="C3062" s="11"/>
      <c r="D3062" s="1"/>
      <c r="E3062" s="153"/>
      <c r="F3062" s="153"/>
      <c r="G3062" s="153"/>
      <c r="H3062" s="153"/>
      <c r="I3062" s="169"/>
    </row>
    <row r="3063" spans="1:10" x14ac:dyDescent="0.15">
      <c r="B3063" s="11"/>
      <c r="C3063" s="11"/>
      <c r="D3063" s="1"/>
      <c r="E3063" s="153"/>
      <c r="F3063" s="153"/>
      <c r="G3063" s="153"/>
      <c r="H3063" s="153"/>
      <c r="I3063" s="169"/>
    </row>
    <row r="3064" spans="1:10" x14ac:dyDescent="0.15">
      <c r="B3064" s="11"/>
      <c r="C3064" s="11"/>
      <c r="D3064" s="1"/>
      <c r="E3064" s="153"/>
      <c r="F3064" s="153"/>
      <c r="G3064" s="153"/>
      <c r="H3064" s="153"/>
      <c r="I3064" s="169"/>
    </row>
    <row r="3065" spans="1:10" x14ac:dyDescent="0.15">
      <c r="B3065" s="11"/>
      <c r="C3065" s="11"/>
      <c r="D3065" s="1"/>
      <c r="E3065" s="153"/>
      <c r="F3065" s="153"/>
      <c r="G3065" s="153"/>
      <c r="H3065" s="153"/>
      <c r="I3065" s="169"/>
    </row>
    <row r="3066" spans="1:10" ht="14" x14ac:dyDescent="0.15">
      <c r="A3066" s="85"/>
      <c r="B3066" s="83"/>
      <c r="C3066" s="83"/>
      <c r="D3066" s="84"/>
      <c r="E3066" s="83"/>
      <c r="F3066" s="154"/>
      <c r="G3066" s="155"/>
      <c r="H3066" s="156"/>
      <c r="I3066" s="157"/>
      <c r="J3066" s="85"/>
    </row>
    <row r="3067" spans="1:10" ht="14" x14ac:dyDescent="0.15">
      <c r="B3067" s="83"/>
      <c r="C3067" s="11"/>
      <c r="D3067" s="11"/>
      <c r="E3067" s="11"/>
      <c r="F3067" s="691"/>
      <c r="G3067" s="691"/>
      <c r="H3067" s="691"/>
      <c r="I3067" s="691"/>
    </row>
    <row r="3068" spans="1:10" ht="14" thickBot="1" x14ac:dyDescent="0.2"/>
    <row r="3069" spans="1:10" ht="21" customHeight="1" x14ac:dyDescent="0.15">
      <c r="B3069" s="607" t="s">
        <v>1065</v>
      </c>
      <c r="C3069" s="608"/>
      <c r="D3069" s="608"/>
      <c r="E3069" s="608"/>
      <c r="F3069" s="609"/>
      <c r="G3069" s="1"/>
      <c r="H3069" s="638" t="s">
        <v>20</v>
      </c>
      <c r="I3069" s="639"/>
    </row>
    <row r="3070" spans="1:10" ht="16.5" customHeight="1" x14ac:dyDescent="0.15">
      <c r="B3070" s="604" t="s">
        <v>446</v>
      </c>
      <c r="C3070" s="605"/>
      <c r="D3070" s="605"/>
      <c r="E3070" s="605"/>
      <c r="F3070" s="606"/>
      <c r="G3070" s="63"/>
      <c r="H3070" s="640"/>
      <c r="I3070" s="641"/>
    </row>
    <row r="3071" spans="1:10" ht="12.75" customHeight="1" x14ac:dyDescent="0.15">
      <c r="B3071" s="610" t="s">
        <v>447</v>
      </c>
      <c r="C3071" s="611"/>
      <c r="D3071" s="611"/>
      <c r="E3071" s="611"/>
      <c r="F3071" s="612"/>
      <c r="G3071" s="63"/>
      <c r="H3071" s="642"/>
      <c r="I3071" s="643"/>
    </row>
    <row r="3072" spans="1:10" ht="16.5" customHeight="1" thickBot="1" x14ac:dyDescent="0.2">
      <c r="B3072" s="613"/>
      <c r="C3072" s="614"/>
      <c r="D3072" s="614"/>
      <c r="E3072" s="614"/>
      <c r="F3072" s="615"/>
      <c r="G3072" s="1"/>
      <c r="H3072" s="685" t="s">
        <v>1007</v>
      </c>
      <c r="I3072" s="686"/>
    </row>
    <row r="3073" spans="2:9" ht="14" thickBot="1" x14ac:dyDescent="0.2">
      <c r="B3073" s="15"/>
      <c r="C3073" s="16"/>
      <c r="D3073" s="1"/>
      <c r="E3073" s="1"/>
      <c r="F3073" s="1"/>
      <c r="G3073" s="1"/>
      <c r="H3073" s="687"/>
      <c r="I3073" s="688"/>
    </row>
    <row r="3074" spans="2:9" ht="12.75" customHeight="1" x14ac:dyDescent="0.15">
      <c r="B3074" s="650" t="s">
        <v>890</v>
      </c>
      <c r="C3074" s="651"/>
      <c r="D3074" s="651"/>
      <c r="E3074" s="651"/>
      <c r="F3074" s="652"/>
      <c r="G3074" s="1"/>
      <c r="H3074" s="687"/>
      <c r="I3074" s="688"/>
    </row>
    <row r="3075" spans="2:9" ht="12.75" customHeight="1" x14ac:dyDescent="0.15">
      <c r="B3075" s="653"/>
      <c r="C3075" s="654"/>
      <c r="D3075" s="654"/>
      <c r="E3075" s="654"/>
      <c r="F3075" s="655"/>
      <c r="H3075" s="687"/>
      <c r="I3075" s="688"/>
    </row>
    <row r="3076" spans="2:9" ht="13.5" customHeight="1" x14ac:dyDescent="0.15">
      <c r="B3076" s="653"/>
      <c r="C3076" s="654"/>
      <c r="D3076" s="654"/>
      <c r="E3076" s="654"/>
      <c r="F3076" s="655"/>
      <c r="G3076" s="11"/>
      <c r="H3076" s="689"/>
      <c r="I3076" s="690"/>
    </row>
    <row r="3077" spans="2:9" ht="21.75" customHeight="1" thickBot="1" x14ac:dyDescent="0.2">
      <c r="B3077" s="656"/>
      <c r="C3077" s="657"/>
      <c r="D3077" s="657"/>
      <c r="E3077" s="657"/>
      <c r="F3077" s="658"/>
      <c r="H3077" s="64" t="s">
        <v>45</v>
      </c>
      <c r="I3077" s="17" t="s">
        <v>316</v>
      </c>
    </row>
    <row r="3078" spans="2:9" x14ac:dyDescent="0.15">
      <c r="B3078" s="18"/>
      <c r="C3078" s="18"/>
      <c r="D3078" s="1"/>
      <c r="E3078" s="18"/>
      <c r="F3078" s="18"/>
      <c r="G3078" s="18"/>
      <c r="H3078" s="18"/>
      <c r="I3078" s="1"/>
    </row>
    <row r="3079" spans="2:9" ht="14" thickBot="1" x14ac:dyDescent="0.2">
      <c r="B3079" s="12" t="s">
        <v>21</v>
      </c>
      <c r="C3079" s="12"/>
      <c r="D3079" s="1"/>
      <c r="E3079" s="1"/>
      <c r="F3079" s="1"/>
      <c r="G3079" s="1"/>
      <c r="H3079" s="1"/>
      <c r="I3079" s="1"/>
    </row>
    <row r="3080" spans="2:9" x14ac:dyDescent="0.15">
      <c r="B3080" s="628" t="s">
        <v>22</v>
      </c>
      <c r="C3080" s="629"/>
      <c r="D3080" s="630"/>
      <c r="E3080" s="205" t="s">
        <v>23</v>
      </c>
      <c r="F3080" s="19" t="s">
        <v>47</v>
      </c>
      <c r="G3080" s="205" t="s">
        <v>24</v>
      </c>
      <c r="H3080" s="204" t="s">
        <v>25</v>
      </c>
      <c r="I3080" s="43"/>
    </row>
    <row r="3081" spans="2:9" x14ac:dyDescent="0.15">
      <c r="B3081" s="631" t="s">
        <v>56</v>
      </c>
      <c r="C3081" s="632"/>
      <c r="D3081" s="633"/>
      <c r="E3081" s="5"/>
      <c r="F3081" s="160"/>
      <c r="G3081" s="58"/>
      <c r="H3081" s="160">
        <f>I3105*0.05</f>
        <v>1744.1637500000002</v>
      </c>
      <c r="I3081" s="44"/>
    </row>
    <row r="3082" spans="2:9" ht="14" thickBot="1" x14ac:dyDescent="0.2">
      <c r="B3082" s="634"/>
      <c r="C3082" s="635"/>
      <c r="D3082" s="636"/>
      <c r="E3082" s="21"/>
      <c r="F3082" s="22"/>
      <c r="G3082" s="23"/>
      <c r="H3082" s="47"/>
      <c r="I3082" s="48"/>
    </row>
    <row r="3083" spans="2:9" ht="14" thickBot="1" x14ac:dyDescent="0.2">
      <c r="B3083" s="1"/>
      <c r="C3083" s="1"/>
      <c r="D3083" s="1"/>
      <c r="E3083" s="1"/>
      <c r="F3083" s="1"/>
      <c r="G3083" s="1"/>
      <c r="H3083" s="37" t="s">
        <v>26</v>
      </c>
      <c r="I3083" s="161">
        <f>SUM(H3081)</f>
        <v>1744.1637500000002</v>
      </c>
    </row>
    <row r="3084" spans="2:9" ht="14" thickBot="1" x14ac:dyDescent="0.2">
      <c r="B3084" s="12" t="s">
        <v>27</v>
      </c>
      <c r="C3084" s="12"/>
      <c r="D3084" s="1"/>
      <c r="E3084" s="1"/>
      <c r="F3084" s="1"/>
      <c r="G3084" s="1"/>
      <c r="H3084" s="1"/>
      <c r="I3084" s="1"/>
    </row>
    <row r="3085" spans="2:9" x14ac:dyDescent="0.15">
      <c r="B3085" s="628" t="s">
        <v>22</v>
      </c>
      <c r="C3085" s="629"/>
      <c r="D3085" s="630"/>
      <c r="E3085" s="205" t="s">
        <v>28</v>
      </c>
      <c r="F3085" s="205" t="s">
        <v>29</v>
      </c>
      <c r="G3085" s="205" t="s">
        <v>30</v>
      </c>
      <c r="H3085" s="204" t="s">
        <v>25</v>
      </c>
      <c r="I3085" s="43"/>
    </row>
    <row r="3086" spans="2:9" x14ac:dyDescent="0.15">
      <c r="B3086" s="4" t="s">
        <v>78</v>
      </c>
      <c r="C3086" s="24"/>
      <c r="D3086" s="6"/>
      <c r="E3086" s="3" t="s">
        <v>193</v>
      </c>
      <c r="F3086" s="162">
        <f>MATERIALES!C97</f>
        <v>27510</v>
      </c>
      <c r="G3086" s="65">
        <v>3</v>
      </c>
      <c r="H3086" s="163">
        <f t="shared" ref="H3086:H3091" si="18">G3086*F3086</f>
        <v>82530</v>
      </c>
      <c r="I3086" s="44"/>
    </row>
    <row r="3087" spans="2:9" x14ac:dyDescent="0.15">
      <c r="B3087" s="4" t="s">
        <v>173</v>
      </c>
      <c r="C3087" s="24"/>
      <c r="D3087" s="6"/>
      <c r="E3087" s="3" t="s">
        <v>316</v>
      </c>
      <c r="F3087" s="162">
        <f>MATERIALES!C98</f>
        <v>14280</v>
      </c>
      <c r="G3087" s="65">
        <v>0.2</v>
      </c>
      <c r="H3087" s="163">
        <f t="shared" si="18"/>
        <v>2856</v>
      </c>
      <c r="I3087" s="44"/>
    </row>
    <row r="3088" spans="2:9" x14ac:dyDescent="0.15">
      <c r="B3088" s="4" t="s">
        <v>174</v>
      </c>
      <c r="C3088" s="24"/>
      <c r="D3088" s="6"/>
      <c r="E3088" s="3" t="s">
        <v>316</v>
      </c>
      <c r="F3088" s="162">
        <f>MATERIALES!C99</f>
        <v>22260</v>
      </c>
      <c r="G3088" s="65">
        <v>0.2</v>
      </c>
      <c r="H3088" s="163">
        <f t="shared" si="18"/>
        <v>4452</v>
      </c>
      <c r="I3088" s="44"/>
    </row>
    <row r="3089" spans="2:9" x14ac:dyDescent="0.15">
      <c r="B3089" s="4" t="s">
        <v>175</v>
      </c>
      <c r="C3089" s="24"/>
      <c r="D3089" s="6"/>
      <c r="E3089" s="3" t="s">
        <v>316</v>
      </c>
      <c r="F3089" s="162">
        <f>MATERIALES!C100</f>
        <v>39060</v>
      </c>
      <c r="G3089" s="65">
        <v>0.2</v>
      </c>
      <c r="H3089" s="163">
        <f t="shared" si="18"/>
        <v>7812</v>
      </c>
      <c r="I3089" s="44"/>
    </row>
    <row r="3090" spans="2:9" x14ac:dyDescent="0.15">
      <c r="B3090" s="4" t="s">
        <v>301</v>
      </c>
      <c r="C3090" s="24"/>
      <c r="D3090" s="6"/>
      <c r="E3090" s="3" t="s">
        <v>316</v>
      </c>
      <c r="F3090" s="162">
        <f>MATERIALES!C101</f>
        <v>4480</v>
      </c>
      <c r="G3090" s="65">
        <v>0.1</v>
      </c>
      <c r="H3090" s="163">
        <f t="shared" si="18"/>
        <v>448</v>
      </c>
      <c r="I3090" s="44"/>
    </row>
    <row r="3091" spans="2:9" x14ac:dyDescent="0.15">
      <c r="B3091" s="4" t="s">
        <v>135</v>
      </c>
      <c r="C3091" s="24"/>
      <c r="D3091" s="6"/>
      <c r="E3091" s="3" t="s">
        <v>77</v>
      </c>
      <c r="F3091" s="162">
        <f>MATERIALES!C27</f>
        <v>286200</v>
      </c>
      <c r="G3091" s="65">
        <v>0.02</v>
      </c>
      <c r="H3091" s="163">
        <f t="shared" si="18"/>
        <v>5724</v>
      </c>
      <c r="I3091" s="44"/>
    </row>
    <row r="3092" spans="2:9" ht="14" thickBot="1" x14ac:dyDescent="0.2">
      <c r="B3092" s="25"/>
      <c r="C3092" s="26"/>
      <c r="D3092" s="27"/>
      <c r="E3092" s="21"/>
      <c r="F3092" s="22"/>
      <c r="G3092" s="165"/>
      <c r="H3092" s="47"/>
      <c r="I3092" s="48"/>
    </row>
    <row r="3093" spans="2:9" ht="14" thickBot="1" x14ac:dyDescent="0.2">
      <c r="B3093" s="1"/>
      <c r="C3093" s="1"/>
      <c r="D3093" s="1"/>
      <c r="E3093" s="1"/>
      <c r="F3093" s="1"/>
      <c r="G3093" s="1"/>
      <c r="H3093" s="37" t="s">
        <v>26</v>
      </c>
      <c r="I3093" s="161">
        <f>SUM(H3086:H3091)</f>
        <v>103822</v>
      </c>
    </row>
    <row r="3094" spans="2:9" ht="14" thickBot="1" x14ac:dyDescent="0.2">
      <c r="B3094" s="28" t="s">
        <v>31</v>
      </c>
      <c r="C3094" s="28"/>
      <c r="D3094" s="26"/>
      <c r="E3094" s="1"/>
      <c r="F3094" s="1"/>
      <c r="G3094" s="1"/>
      <c r="H3094" s="1"/>
      <c r="I3094" s="1"/>
    </row>
    <row r="3095" spans="2:9" x14ac:dyDescent="0.15">
      <c r="B3095" s="51" t="s">
        <v>32</v>
      </c>
      <c r="C3095" s="52"/>
      <c r="D3095" s="96" t="s">
        <v>33</v>
      </c>
      <c r="E3095" s="205" t="s">
        <v>34</v>
      </c>
      <c r="F3095" s="205" t="s">
        <v>35</v>
      </c>
      <c r="G3095" s="205" t="s">
        <v>36</v>
      </c>
      <c r="H3095" s="59" t="s">
        <v>25</v>
      </c>
      <c r="I3095" s="43"/>
    </row>
    <row r="3096" spans="2:9" x14ac:dyDescent="0.15">
      <c r="B3096" s="4" t="s">
        <v>79</v>
      </c>
      <c r="C3096" s="6"/>
      <c r="D3096" s="53">
        <v>0.2</v>
      </c>
      <c r="E3096" s="2">
        <v>15</v>
      </c>
      <c r="F3096" s="2">
        <f>E3096*D3096</f>
        <v>3</v>
      </c>
      <c r="G3096" s="65">
        <v>1100</v>
      </c>
      <c r="H3096" s="20">
        <f>G3096*F3096</f>
        <v>3300</v>
      </c>
      <c r="I3096" s="44"/>
    </row>
    <row r="3097" spans="2:9" x14ac:dyDescent="0.15">
      <c r="B3097" s="106"/>
      <c r="C3097" s="66"/>
      <c r="D3097" s="67"/>
      <c r="E3097" s="68"/>
      <c r="F3097" s="68"/>
      <c r="G3097" s="69"/>
      <c r="H3097" s="65"/>
      <c r="I3097" s="44"/>
    </row>
    <row r="3098" spans="2:9" ht="14" thickBot="1" x14ac:dyDescent="0.2">
      <c r="B3098" s="33"/>
      <c r="C3098" s="54"/>
      <c r="D3098" s="21"/>
      <c r="E3098" s="22"/>
      <c r="F3098" s="23"/>
      <c r="G3098" s="47"/>
      <c r="H3098" s="21"/>
      <c r="I3098" s="48"/>
    </row>
    <row r="3099" spans="2:9" ht="14" thickBot="1" x14ac:dyDescent="0.2">
      <c r="B3099" s="1"/>
      <c r="C3099" s="1"/>
      <c r="D3099" s="1"/>
      <c r="E3099" s="1"/>
      <c r="F3099" s="1"/>
      <c r="G3099" s="1"/>
      <c r="H3099" s="37" t="s">
        <v>26</v>
      </c>
      <c r="I3099" s="161">
        <f>SUM(H3096:H3098)</f>
        <v>3300</v>
      </c>
    </row>
    <row r="3100" spans="2:9" ht="14" thickBot="1" x14ac:dyDescent="0.2">
      <c r="B3100" s="28" t="s">
        <v>37</v>
      </c>
      <c r="C3100" s="28"/>
      <c r="D3100" s="1"/>
      <c r="E3100" s="1"/>
      <c r="F3100" s="1"/>
      <c r="G3100" s="1"/>
      <c r="H3100" s="1"/>
      <c r="I3100" s="1"/>
    </row>
    <row r="3101" spans="2:9" x14ac:dyDescent="0.15">
      <c r="B3101" s="51" t="s">
        <v>38</v>
      </c>
      <c r="C3101" s="86"/>
      <c r="D3101" s="31" t="s">
        <v>39</v>
      </c>
      <c r="E3101" s="205" t="s">
        <v>40</v>
      </c>
      <c r="F3101" s="19" t="s">
        <v>41</v>
      </c>
      <c r="G3101" s="31" t="s">
        <v>24</v>
      </c>
      <c r="H3101" s="204" t="s">
        <v>25</v>
      </c>
      <c r="I3101" s="43"/>
    </row>
    <row r="3102" spans="2:9" x14ac:dyDescent="0.15">
      <c r="B3102" s="4" t="s">
        <v>65</v>
      </c>
      <c r="C3102" s="24"/>
      <c r="D3102" s="32">
        <f>'MANO DE OBRA'!E15</f>
        <v>95333</v>
      </c>
      <c r="E3102" s="88">
        <v>1.75</v>
      </c>
      <c r="F3102" s="162">
        <f>+E3102*D3102</f>
        <v>166832.75</v>
      </c>
      <c r="G3102" s="79">
        <v>10</v>
      </c>
      <c r="H3102" s="167">
        <f>+F3102/G3102</f>
        <v>16683.275000000001</v>
      </c>
      <c r="I3102" s="44"/>
    </row>
    <row r="3103" spans="2:9" x14ac:dyDescent="0.15">
      <c r="B3103" s="80" t="s">
        <v>55</v>
      </c>
      <c r="C3103" s="24"/>
      <c r="D3103" s="32">
        <f>'MANO DE OBRA'!E14*2</f>
        <v>104000</v>
      </c>
      <c r="E3103" s="88">
        <v>1.75</v>
      </c>
      <c r="F3103" s="162">
        <f>+E3103*D3103</f>
        <v>182000</v>
      </c>
      <c r="G3103" s="79">
        <v>10</v>
      </c>
      <c r="H3103" s="167">
        <f>+F3103/G3103</f>
        <v>18200</v>
      </c>
      <c r="I3103" s="44"/>
    </row>
    <row r="3104" spans="2:9" ht="14" thickBot="1" x14ac:dyDescent="0.2">
      <c r="B3104" s="33"/>
      <c r="C3104" s="34"/>
      <c r="D3104" s="22"/>
      <c r="E3104" s="21"/>
      <c r="F3104" s="22"/>
      <c r="G3104" s="23"/>
      <c r="H3104" s="47"/>
      <c r="I3104" s="48"/>
    </row>
    <row r="3105" spans="2:9" ht="14" thickBot="1" x14ac:dyDescent="0.2">
      <c r="B3105" s="1"/>
      <c r="C3105" s="1"/>
      <c r="D3105" s="1"/>
      <c r="E3105" s="1"/>
      <c r="F3105" s="1"/>
      <c r="G3105" s="1"/>
      <c r="H3105" s="37" t="s">
        <v>26</v>
      </c>
      <c r="I3105" s="175">
        <f>SUM(H3102:H3104)</f>
        <v>34883.275000000001</v>
      </c>
    </row>
    <row r="3106" spans="2:9" ht="14" thickBot="1" x14ac:dyDescent="0.2">
      <c r="B3106" s="1"/>
      <c r="C3106" s="1"/>
      <c r="D3106" s="1"/>
      <c r="E3106" s="1"/>
      <c r="F3106" s="1"/>
      <c r="G3106" s="1"/>
      <c r="H3106" s="61"/>
      <c r="I3106" s="1"/>
    </row>
    <row r="3107" spans="2:9" ht="15" thickBot="1" x14ac:dyDescent="0.2">
      <c r="B3107" s="1"/>
      <c r="C3107" s="1"/>
      <c r="D3107" s="1"/>
      <c r="E3107" s="1"/>
      <c r="F3107" s="35" t="s">
        <v>43</v>
      </c>
      <c r="G3107" s="16"/>
      <c r="H3107" s="16"/>
      <c r="I3107" s="325">
        <f>ROUND((I3083+I3093+I3099+I3105),0)</f>
        <v>143749</v>
      </c>
    </row>
    <row r="3108" spans="2:9" x14ac:dyDescent="0.15">
      <c r="B3108" s="12"/>
      <c r="C3108" s="12"/>
      <c r="D3108" s="1"/>
      <c r="E3108" s="1"/>
      <c r="F3108" s="1"/>
      <c r="G3108" s="1"/>
      <c r="H3108" s="170"/>
      <c r="I3108" s="170"/>
    </row>
    <row r="3109" spans="2:9" x14ac:dyDescent="0.15">
      <c r="B3109" s="16"/>
      <c r="C3109" s="16"/>
      <c r="D3109" s="16"/>
      <c r="E3109" s="16"/>
      <c r="F3109" s="16"/>
      <c r="G3109" s="61"/>
      <c r="H3109" s="171"/>
      <c r="I3109" s="170"/>
    </row>
    <row r="3110" spans="2:9" x14ac:dyDescent="0.15">
      <c r="B3110" s="1"/>
      <c r="C3110" s="1"/>
      <c r="D3110" s="1"/>
      <c r="E3110" s="1"/>
      <c r="F3110" s="1"/>
      <c r="G3110" s="159"/>
      <c r="H3110" s="170"/>
      <c r="I3110" s="170"/>
    </row>
    <row r="3111" spans="2:9" x14ac:dyDescent="0.15">
      <c r="B3111" s="1"/>
      <c r="C3111" s="1"/>
      <c r="D3111" s="1"/>
      <c r="E3111" s="1"/>
      <c r="F3111" s="1"/>
      <c r="G3111" s="159"/>
      <c r="H3111" s="170"/>
      <c r="I3111" s="170"/>
    </row>
    <row r="3112" spans="2:9" x14ac:dyDescent="0.15">
      <c r="B3112" s="1"/>
      <c r="C3112" s="1"/>
      <c r="D3112" s="1"/>
      <c r="E3112" s="1"/>
      <c r="F3112" s="1"/>
      <c r="G3112" s="159"/>
      <c r="H3112" s="170"/>
      <c r="I3112" s="170"/>
    </row>
    <row r="3113" spans="2:9" x14ac:dyDescent="0.15">
      <c r="B3113" s="1"/>
      <c r="C3113" s="1"/>
      <c r="D3113" s="1"/>
      <c r="E3113" s="1"/>
      <c r="F3113" s="1"/>
      <c r="G3113" s="1"/>
      <c r="H3113" s="37"/>
      <c r="I3113" s="170"/>
    </row>
    <row r="3114" spans="2:9" x14ac:dyDescent="0.15">
      <c r="B3114" s="1"/>
      <c r="C3114" s="1"/>
      <c r="D3114" s="1"/>
      <c r="E3114" s="1"/>
      <c r="F3114" s="1"/>
      <c r="G3114" s="1"/>
      <c r="H3114" s="37"/>
      <c r="I3114" s="170"/>
    </row>
    <row r="3115" spans="2:9" x14ac:dyDescent="0.15">
      <c r="B3115" s="1"/>
      <c r="C3115" s="1"/>
      <c r="D3115" s="1"/>
      <c r="E3115" s="1"/>
      <c r="F3115" s="1"/>
      <c r="G3115" s="1"/>
      <c r="H3115" s="37"/>
      <c r="I3115" s="170"/>
    </row>
    <row r="3116" spans="2:9" x14ac:dyDescent="0.15">
      <c r="B3116" s="1"/>
      <c r="C3116" s="1"/>
      <c r="D3116" s="1"/>
      <c r="E3116" s="1"/>
      <c r="F3116" s="1"/>
      <c r="G3116" s="1"/>
      <c r="H3116" s="37"/>
      <c r="I3116" s="170"/>
    </row>
    <row r="3117" spans="2:9" x14ac:dyDescent="0.15">
      <c r="B3117" s="1"/>
      <c r="C3117" s="1"/>
      <c r="D3117" s="1"/>
      <c r="E3117" s="1"/>
      <c r="F3117" s="1"/>
      <c r="G3117" s="1"/>
      <c r="H3117" s="37"/>
      <c r="I3117" s="170"/>
    </row>
    <row r="3118" spans="2:9" x14ac:dyDescent="0.15">
      <c r="B3118" s="1"/>
      <c r="C3118" s="1"/>
      <c r="D3118" s="1"/>
      <c r="E3118" s="1"/>
      <c r="F3118" s="1"/>
      <c r="G3118" s="1"/>
      <c r="H3118" s="37"/>
      <c r="I3118" s="170"/>
    </row>
    <row r="3119" spans="2:9" ht="14" x14ac:dyDescent="0.15">
      <c r="B3119" s="101"/>
      <c r="C3119" s="1"/>
      <c r="D3119" s="1"/>
      <c r="E3119" s="1"/>
      <c r="F3119" s="1"/>
      <c r="G3119" s="1"/>
      <c r="H3119" s="1"/>
      <c r="I3119" s="170"/>
    </row>
    <row r="3120" spans="2:9" ht="14" x14ac:dyDescent="0.15">
      <c r="B3120" s="83"/>
      <c r="C3120" s="11"/>
      <c r="D3120" s="1"/>
      <c r="E3120" s="637"/>
      <c r="F3120" s="637"/>
      <c r="G3120" s="637"/>
      <c r="H3120" s="637"/>
      <c r="I3120" s="169"/>
    </row>
    <row r="3121" spans="1:10" x14ac:dyDescent="0.15">
      <c r="B3121" s="11"/>
      <c r="C3121" s="11"/>
      <c r="D3121" s="1"/>
      <c r="E3121" s="153"/>
      <c r="F3121" s="153"/>
      <c r="G3121" s="153"/>
      <c r="H3121" s="153"/>
      <c r="I3121" s="169"/>
    </row>
    <row r="3122" spans="1:10" x14ac:dyDescent="0.15">
      <c r="B3122" s="11"/>
      <c r="C3122" s="11"/>
      <c r="D3122" s="1"/>
      <c r="E3122" s="153"/>
      <c r="F3122" s="153"/>
      <c r="G3122" s="153"/>
      <c r="H3122" s="153"/>
      <c r="I3122" s="169"/>
    </row>
    <row r="3123" spans="1:10" x14ac:dyDescent="0.15">
      <c r="B3123" s="11"/>
      <c r="C3123" s="11"/>
      <c r="D3123" s="1"/>
      <c r="E3123" s="153"/>
      <c r="F3123" s="153"/>
      <c r="G3123" s="153"/>
      <c r="H3123" s="153"/>
      <c r="I3123" s="169"/>
    </row>
    <row r="3124" spans="1:10" x14ac:dyDescent="0.15">
      <c r="B3124" s="11"/>
      <c r="C3124" s="11"/>
      <c r="D3124" s="1"/>
      <c r="E3124" s="153"/>
      <c r="F3124" s="153"/>
      <c r="G3124" s="153"/>
      <c r="H3124" s="153"/>
      <c r="I3124" s="169"/>
    </row>
    <row r="3125" spans="1:10" x14ac:dyDescent="0.15">
      <c r="B3125" s="11"/>
      <c r="C3125" s="11"/>
      <c r="D3125" s="1"/>
      <c r="E3125" s="153"/>
      <c r="F3125" s="153"/>
      <c r="G3125" s="153"/>
      <c r="H3125" s="153"/>
      <c r="I3125" s="169"/>
    </row>
    <row r="3126" spans="1:10" x14ac:dyDescent="0.15">
      <c r="B3126" s="11"/>
      <c r="C3126" s="11"/>
      <c r="D3126" s="1"/>
      <c r="E3126" s="153"/>
      <c r="F3126" s="153"/>
      <c r="G3126" s="153"/>
      <c r="H3126" s="153"/>
      <c r="I3126" s="169"/>
    </row>
    <row r="3127" spans="1:10" ht="14" x14ac:dyDescent="0.15">
      <c r="A3127" s="85"/>
      <c r="B3127" s="83"/>
      <c r="C3127" s="83"/>
      <c r="D3127" s="84"/>
      <c r="E3127" s="83"/>
      <c r="F3127" s="154"/>
      <c r="G3127" s="155"/>
      <c r="H3127" s="156"/>
      <c r="I3127" s="157"/>
      <c r="J3127" s="85"/>
    </row>
    <row r="3129" spans="1:10" ht="15" thickBot="1" x14ac:dyDescent="0.2">
      <c r="B3129" s="83"/>
      <c r="C3129" s="11"/>
      <c r="D3129" s="11"/>
      <c r="E3129" s="11"/>
      <c r="F3129" s="691"/>
      <c r="G3129" s="691"/>
      <c r="H3129" s="691"/>
      <c r="I3129" s="691"/>
    </row>
    <row r="3130" spans="1:10" ht="21" customHeight="1" x14ac:dyDescent="0.15">
      <c r="B3130" s="607" t="s">
        <v>1065</v>
      </c>
      <c r="C3130" s="608"/>
      <c r="D3130" s="608"/>
      <c r="E3130" s="608"/>
      <c r="F3130" s="609"/>
      <c r="G3130" s="1"/>
      <c r="H3130" s="638" t="s">
        <v>20</v>
      </c>
      <c r="I3130" s="639"/>
    </row>
    <row r="3131" spans="1:10" ht="16.5" customHeight="1" x14ac:dyDescent="0.15">
      <c r="B3131" s="604" t="s">
        <v>446</v>
      </c>
      <c r="C3131" s="605"/>
      <c r="D3131" s="605"/>
      <c r="E3131" s="605"/>
      <c r="F3131" s="606"/>
      <c r="G3131" s="63"/>
      <c r="H3131" s="640"/>
      <c r="I3131" s="641"/>
    </row>
    <row r="3132" spans="1:10" ht="12.75" customHeight="1" x14ac:dyDescent="0.15">
      <c r="B3132" s="610" t="s">
        <v>447</v>
      </c>
      <c r="C3132" s="611"/>
      <c r="D3132" s="611"/>
      <c r="E3132" s="611"/>
      <c r="F3132" s="612"/>
      <c r="G3132" s="63"/>
      <c r="H3132" s="642"/>
      <c r="I3132" s="643"/>
    </row>
    <row r="3133" spans="1:10" ht="16.5" customHeight="1" thickBot="1" x14ac:dyDescent="0.2">
      <c r="B3133" s="613"/>
      <c r="C3133" s="614"/>
      <c r="D3133" s="614"/>
      <c r="E3133" s="614"/>
      <c r="F3133" s="615"/>
      <c r="G3133" s="1"/>
      <c r="H3133" s="685" t="s">
        <v>1008</v>
      </c>
      <c r="I3133" s="686"/>
    </row>
    <row r="3134" spans="1:10" ht="14" thickBot="1" x14ac:dyDescent="0.2">
      <c r="B3134" s="15"/>
      <c r="C3134" s="16"/>
      <c r="D3134" s="1"/>
      <c r="E3134" s="1"/>
      <c r="F3134" s="1"/>
      <c r="G3134" s="1"/>
      <c r="H3134" s="687"/>
      <c r="I3134" s="688"/>
    </row>
    <row r="3135" spans="1:10" ht="12.75" customHeight="1" x14ac:dyDescent="0.15">
      <c r="B3135" s="650" t="s">
        <v>890</v>
      </c>
      <c r="C3135" s="651"/>
      <c r="D3135" s="651"/>
      <c r="E3135" s="651"/>
      <c r="F3135" s="652"/>
      <c r="G3135" s="1"/>
      <c r="H3135" s="687"/>
      <c r="I3135" s="688"/>
    </row>
    <row r="3136" spans="1:10" ht="12.75" customHeight="1" x14ac:dyDescent="0.15">
      <c r="B3136" s="653"/>
      <c r="C3136" s="654"/>
      <c r="D3136" s="654"/>
      <c r="E3136" s="654"/>
      <c r="F3136" s="655"/>
      <c r="H3136" s="687"/>
      <c r="I3136" s="688"/>
    </row>
    <row r="3137" spans="2:9" ht="13.5" customHeight="1" x14ac:dyDescent="0.15">
      <c r="B3137" s="653"/>
      <c r="C3137" s="654"/>
      <c r="D3137" s="654"/>
      <c r="E3137" s="654"/>
      <c r="F3137" s="655"/>
      <c r="G3137" s="11"/>
      <c r="H3137" s="689"/>
      <c r="I3137" s="690"/>
    </row>
    <row r="3138" spans="2:9" ht="21.75" customHeight="1" thickBot="1" x14ac:dyDescent="0.2">
      <c r="B3138" s="656"/>
      <c r="C3138" s="657"/>
      <c r="D3138" s="657"/>
      <c r="E3138" s="657"/>
      <c r="F3138" s="658"/>
      <c r="H3138" s="64" t="s">
        <v>45</v>
      </c>
      <c r="I3138" s="17" t="s">
        <v>316</v>
      </c>
    </row>
    <row r="3139" spans="2:9" x14ac:dyDescent="0.15">
      <c r="B3139" s="18"/>
      <c r="C3139" s="18"/>
      <c r="D3139" s="1"/>
      <c r="E3139" s="18"/>
      <c r="F3139" s="18"/>
      <c r="G3139" s="18"/>
      <c r="H3139" s="18"/>
      <c r="I3139" s="1"/>
    </row>
    <row r="3140" spans="2:9" ht="14" thickBot="1" x14ac:dyDescent="0.2">
      <c r="B3140" s="12" t="s">
        <v>21</v>
      </c>
      <c r="C3140" s="12"/>
      <c r="D3140" s="1"/>
      <c r="E3140" s="1"/>
      <c r="F3140" s="1"/>
      <c r="G3140" s="1"/>
      <c r="H3140" s="1"/>
      <c r="I3140" s="1"/>
    </row>
    <row r="3141" spans="2:9" x14ac:dyDescent="0.15">
      <c r="B3141" s="628" t="s">
        <v>22</v>
      </c>
      <c r="C3141" s="629"/>
      <c r="D3141" s="630"/>
      <c r="E3141" s="205" t="s">
        <v>23</v>
      </c>
      <c r="F3141" s="19" t="s">
        <v>47</v>
      </c>
      <c r="G3141" s="205" t="s">
        <v>24</v>
      </c>
      <c r="H3141" s="204" t="s">
        <v>25</v>
      </c>
      <c r="I3141" s="43"/>
    </row>
    <row r="3142" spans="2:9" x14ac:dyDescent="0.15">
      <c r="B3142" s="631" t="s">
        <v>56</v>
      </c>
      <c r="C3142" s="632"/>
      <c r="D3142" s="633"/>
      <c r="E3142" s="5"/>
      <c r="F3142" s="160"/>
      <c r="G3142" s="58"/>
      <c r="H3142" s="160">
        <f>I3166*0.05</f>
        <v>1744.1637500000002</v>
      </c>
      <c r="I3142" s="44"/>
    </row>
    <row r="3143" spans="2:9" ht="14" thickBot="1" x14ac:dyDescent="0.2">
      <c r="B3143" s="634"/>
      <c r="C3143" s="635"/>
      <c r="D3143" s="636"/>
      <c r="E3143" s="21"/>
      <c r="F3143" s="22"/>
      <c r="G3143" s="23"/>
      <c r="H3143" s="47"/>
      <c r="I3143" s="48"/>
    </row>
    <row r="3144" spans="2:9" ht="14" thickBot="1" x14ac:dyDescent="0.2">
      <c r="B3144" s="1"/>
      <c r="C3144" s="1"/>
      <c r="D3144" s="1"/>
      <c r="E3144" s="1"/>
      <c r="F3144" s="1"/>
      <c r="G3144" s="1"/>
      <c r="H3144" s="37" t="s">
        <v>26</v>
      </c>
      <c r="I3144" s="161">
        <f>SUM(H3142)</f>
        <v>1744.1637500000002</v>
      </c>
    </row>
    <row r="3145" spans="2:9" ht="14" thickBot="1" x14ac:dyDescent="0.2">
      <c r="B3145" s="12" t="s">
        <v>27</v>
      </c>
      <c r="C3145" s="12"/>
      <c r="D3145" s="1"/>
      <c r="E3145" s="1"/>
      <c r="F3145" s="1"/>
      <c r="G3145" s="1"/>
      <c r="H3145" s="1"/>
      <c r="I3145" s="1"/>
    </row>
    <row r="3146" spans="2:9" x14ac:dyDescent="0.15">
      <c r="B3146" s="628" t="s">
        <v>22</v>
      </c>
      <c r="C3146" s="629"/>
      <c r="D3146" s="630"/>
      <c r="E3146" s="205" t="s">
        <v>28</v>
      </c>
      <c r="F3146" s="205" t="s">
        <v>29</v>
      </c>
      <c r="G3146" s="205" t="s">
        <v>30</v>
      </c>
      <c r="H3146" s="204" t="s">
        <v>25</v>
      </c>
      <c r="I3146" s="43"/>
    </row>
    <row r="3147" spans="2:9" x14ac:dyDescent="0.15">
      <c r="B3147" s="4" t="s">
        <v>78</v>
      </c>
      <c r="C3147" s="24"/>
      <c r="D3147" s="6"/>
      <c r="E3147" s="3" t="s">
        <v>193</v>
      </c>
      <c r="F3147" s="162">
        <f>MATERIALES!C97</f>
        <v>27510</v>
      </c>
      <c r="G3147" s="65">
        <v>3</v>
      </c>
      <c r="H3147" s="163">
        <f t="shared" ref="H3147:H3152" si="19">G3147*F3147</f>
        <v>82530</v>
      </c>
      <c r="I3147" s="44"/>
    </row>
    <row r="3148" spans="2:9" x14ac:dyDescent="0.15">
      <c r="B3148" s="4" t="s">
        <v>173</v>
      </c>
      <c r="C3148" s="24"/>
      <c r="D3148" s="6"/>
      <c r="E3148" s="3" t="s">
        <v>316</v>
      </c>
      <c r="F3148" s="162">
        <f>MATERIALES!C98</f>
        <v>14280</v>
      </c>
      <c r="G3148" s="65">
        <v>0.2</v>
      </c>
      <c r="H3148" s="163">
        <f t="shared" si="19"/>
        <v>2856</v>
      </c>
      <c r="I3148" s="44"/>
    </row>
    <row r="3149" spans="2:9" x14ac:dyDescent="0.15">
      <c r="B3149" s="4" t="s">
        <v>174</v>
      </c>
      <c r="C3149" s="24"/>
      <c r="D3149" s="6"/>
      <c r="E3149" s="3" t="s">
        <v>316</v>
      </c>
      <c r="F3149" s="162">
        <f>MATERIALES!C99</f>
        <v>22260</v>
      </c>
      <c r="G3149" s="65">
        <v>0.2</v>
      </c>
      <c r="H3149" s="163">
        <f t="shared" si="19"/>
        <v>4452</v>
      </c>
      <c r="I3149" s="44"/>
    </row>
    <row r="3150" spans="2:9" x14ac:dyDescent="0.15">
      <c r="B3150" s="4" t="s">
        <v>175</v>
      </c>
      <c r="C3150" s="24"/>
      <c r="D3150" s="6"/>
      <c r="E3150" s="3" t="s">
        <v>316</v>
      </c>
      <c r="F3150" s="162">
        <f>MATERIALES!C100</f>
        <v>39060</v>
      </c>
      <c r="G3150" s="65">
        <v>0.2</v>
      </c>
      <c r="H3150" s="163">
        <f t="shared" si="19"/>
        <v>7812</v>
      </c>
      <c r="I3150" s="44"/>
    </row>
    <row r="3151" spans="2:9" x14ac:dyDescent="0.15">
      <c r="B3151" s="4" t="s">
        <v>301</v>
      </c>
      <c r="C3151" s="24"/>
      <c r="D3151" s="6"/>
      <c r="E3151" s="3" t="s">
        <v>316</v>
      </c>
      <c r="F3151" s="162">
        <f>MATERIALES!C101</f>
        <v>4480</v>
      </c>
      <c r="G3151" s="65">
        <v>0.1</v>
      </c>
      <c r="H3151" s="163">
        <f t="shared" si="19"/>
        <v>448</v>
      </c>
      <c r="I3151" s="44"/>
    </row>
    <row r="3152" spans="2:9" x14ac:dyDescent="0.15">
      <c r="B3152" s="4" t="s">
        <v>135</v>
      </c>
      <c r="C3152" s="24"/>
      <c r="D3152" s="6"/>
      <c r="E3152" s="3" t="s">
        <v>77</v>
      </c>
      <c r="F3152" s="162">
        <f>MATERIALES!C27</f>
        <v>286200</v>
      </c>
      <c r="G3152" s="65">
        <v>0.02</v>
      </c>
      <c r="H3152" s="163">
        <f t="shared" si="19"/>
        <v>5724</v>
      </c>
      <c r="I3152" s="44"/>
    </row>
    <row r="3153" spans="2:9" ht="14" thickBot="1" x14ac:dyDescent="0.2">
      <c r="B3153" s="25"/>
      <c r="C3153" s="26"/>
      <c r="D3153" s="27"/>
      <c r="E3153" s="21"/>
      <c r="F3153" s="22"/>
      <c r="G3153" s="165"/>
      <c r="H3153" s="47"/>
      <c r="I3153" s="48"/>
    </row>
    <row r="3154" spans="2:9" ht="14" thickBot="1" x14ac:dyDescent="0.2">
      <c r="B3154" s="1"/>
      <c r="C3154" s="1"/>
      <c r="D3154" s="1"/>
      <c r="E3154" s="1"/>
      <c r="F3154" s="1"/>
      <c r="G3154" s="1"/>
      <c r="H3154" s="37" t="s">
        <v>26</v>
      </c>
      <c r="I3154" s="161">
        <f>SUM(H3147:H3152)</f>
        <v>103822</v>
      </c>
    </row>
    <row r="3155" spans="2:9" ht="14" thickBot="1" x14ac:dyDescent="0.2">
      <c r="B3155" s="28" t="s">
        <v>31</v>
      </c>
      <c r="C3155" s="28"/>
      <c r="D3155" s="26"/>
      <c r="E3155" s="1"/>
      <c r="F3155" s="1"/>
      <c r="G3155" s="1"/>
      <c r="H3155" s="1"/>
      <c r="I3155" s="1"/>
    </row>
    <row r="3156" spans="2:9" x14ac:dyDescent="0.15">
      <c r="B3156" s="51" t="s">
        <v>32</v>
      </c>
      <c r="C3156" s="52"/>
      <c r="D3156" s="96" t="s">
        <v>33</v>
      </c>
      <c r="E3156" s="205" t="s">
        <v>34</v>
      </c>
      <c r="F3156" s="205" t="s">
        <v>35</v>
      </c>
      <c r="G3156" s="205" t="s">
        <v>36</v>
      </c>
      <c r="H3156" s="59" t="s">
        <v>25</v>
      </c>
      <c r="I3156" s="43"/>
    </row>
    <row r="3157" spans="2:9" x14ac:dyDescent="0.15">
      <c r="B3157" s="4" t="s">
        <v>79</v>
      </c>
      <c r="C3157" s="6"/>
      <c r="D3157" s="53">
        <v>0.2</v>
      </c>
      <c r="E3157" s="2">
        <v>15</v>
      </c>
      <c r="F3157" s="2">
        <f>E3157*D3157</f>
        <v>3</v>
      </c>
      <c r="G3157" s="65">
        <v>1100</v>
      </c>
      <c r="H3157" s="20">
        <f>G3157*F3157</f>
        <v>3300</v>
      </c>
      <c r="I3157" s="44"/>
    </row>
    <row r="3158" spans="2:9" x14ac:dyDescent="0.15">
      <c r="B3158" s="106"/>
      <c r="C3158" s="66"/>
      <c r="D3158" s="67"/>
      <c r="E3158" s="68"/>
      <c r="F3158" s="68"/>
      <c r="G3158" s="69"/>
      <c r="H3158" s="65"/>
      <c r="I3158" s="44"/>
    </row>
    <row r="3159" spans="2:9" ht="14" thickBot="1" x14ac:dyDescent="0.2">
      <c r="B3159" s="33"/>
      <c r="C3159" s="54"/>
      <c r="D3159" s="21"/>
      <c r="E3159" s="22"/>
      <c r="F3159" s="23"/>
      <c r="G3159" s="47"/>
      <c r="H3159" s="21"/>
      <c r="I3159" s="48"/>
    </row>
    <row r="3160" spans="2:9" ht="14" thickBot="1" x14ac:dyDescent="0.2">
      <c r="B3160" s="1"/>
      <c r="C3160" s="1"/>
      <c r="D3160" s="1"/>
      <c r="E3160" s="1"/>
      <c r="F3160" s="1"/>
      <c r="G3160" s="1"/>
      <c r="H3160" s="37" t="s">
        <v>26</v>
      </c>
      <c r="I3160" s="161">
        <f>SUM(H3157:H3159)</f>
        <v>3300</v>
      </c>
    </row>
    <row r="3161" spans="2:9" ht="14" thickBot="1" x14ac:dyDescent="0.2">
      <c r="B3161" s="28" t="s">
        <v>37</v>
      </c>
      <c r="C3161" s="28"/>
      <c r="D3161" s="1"/>
      <c r="E3161" s="1"/>
      <c r="F3161" s="1"/>
      <c r="G3161" s="1"/>
      <c r="H3161" s="1"/>
      <c r="I3161" s="1"/>
    </row>
    <row r="3162" spans="2:9" x14ac:dyDescent="0.15">
      <c r="B3162" s="51" t="s">
        <v>38</v>
      </c>
      <c r="C3162" s="86"/>
      <c r="D3162" s="31" t="s">
        <v>39</v>
      </c>
      <c r="E3162" s="205" t="s">
        <v>40</v>
      </c>
      <c r="F3162" s="19" t="s">
        <v>41</v>
      </c>
      <c r="G3162" s="31" t="s">
        <v>24</v>
      </c>
      <c r="H3162" s="204" t="s">
        <v>25</v>
      </c>
      <c r="I3162" s="43"/>
    </row>
    <row r="3163" spans="2:9" x14ac:dyDescent="0.15">
      <c r="B3163" s="4" t="s">
        <v>65</v>
      </c>
      <c r="C3163" s="24"/>
      <c r="D3163" s="32">
        <f>'MANO DE OBRA'!E15</f>
        <v>95333</v>
      </c>
      <c r="E3163" s="88">
        <v>1.75</v>
      </c>
      <c r="F3163" s="162">
        <f>+E3163*D3163</f>
        <v>166832.75</v>
      </c>
      <c r="G3163" s="79">
        <v>10</v>
      </c>
      <c r="H3163" s="167">
        <f>+F3163/G3163</f>
        <v>16683.275000000001</v>
      </c>
      <c r="I3163" s="44"/>
    </row>
    <row r="3164" spans="2:9" x14ac:dyDescent="0.15">
      <c r="B3164" s="80" t="s">
        <v>55</v>
      </c>
      <c r="C3164" s="24"/>
      <c r="D3164" s="32">
        <f>'MANO DE OBRA'!E14*2</f>
        <v>104000</v>
      </c>
      <c r="E3164" s="88">
        <v>1.75</v>
      </c>
      <c r="F3164" s="162">
        <f>+E3164*D3164</f>
        <v>182000</v>
      </c>
      <c r="G3164" s="79">
        <v>10</v>
      </c>
      <c r="H3164" s="167">
        <f>+F3164/G3164</f>
        <v>18200</v>
      </c>
      <c r="I3164" s="44"/>
    </row>
    <row r="3165" spans="2:9" ht="14" thickBot="1" x14ac:dyDescent="0.2">
      <c r="B3165" s="33"/>
      <c r="C3165" s="34"/>
      <c r="D3165" s="22"/>
      <c r="E3165" s="21"/>
      <c r="F3165" s="22"/>
      <c r="G3165" s="23"/>
      <c r="H3165" s="47"/>
      <c r="I3165" s="48"/>
    </row>
    <row r="3166" spans="2:9" ht="14" thickBot="1" x14ac:dyDescent="0.2">
      <c r="B3166" s="1"/>
      <c r="C3166" s="1"/>
      <c r="D3166" s="1"/>
      <c r="E3166" s="1"/>
      <c r="F3166" s="1"/>
      <c r="G3166" s="1"/>
      <c r="H3166" s="37" t="s">
        <v>26</v>
      </c>
      <c r="I3166" s="175">
        <f>SUM(H3163:H3165)</f>
        <v>34883.275000000001</v>
      </c>
    </row>
    <row r="3167" spans="2:9" ht="14" thickBot="1" x14ac:dyDescent="0.2">
      <c r="B3167" s="1"/>
      <c r="C3167" s="1"/>
      <c r="D3167" s="1"/>
      <c r="E3167" s="1"/>
      <c r="F3167" s="1"/>
      <c r="G3167" s="1"/>
      <c r="H3167" s="61"/>
      <c r="I3167" s="1"/>
    </row>
    <row r="3168" spans="2:9" ht="15" thickBot="1" x14ac:dyDescent="0.2">
      <c r="B3168" s="1"/>
      <c r="C3168" s="1"/>
      <c r="D3168" s="1"/>
      <c r="E3168" s="1"/>
      <c r="F3168" s="35" t="s">
        <v>43</v>
      </c>
      <c r="G3168" s="16"/>
      <c r="H3168" s="16"/>
      <c r="I3168" s="325">
        <f>ROUND((I3144+I3154+I3160+I3166),0)</f>
        <v>143749</v>
      </c>
    </row>
    <row r="3169" spans="2:9" x14ac:dyDescent="0.15">
      <c r="B3169" s="12"/>
      <c r="C3169" s="12"/>
      <c r="D3169" s="1"/>
      <c r="E3169" s="1"/>
      <c r="F3169" s="1"/>
      <c r="G3169" s="1"/>
      <c r="H3169" s="170"/>
      <c r="I3169" s="170"/>
    </row>
    <row r="3170" spans="2:9" x14ac:dyDescent="0.15">
      <c r="B3170" s="16"/>
      <c r="C3170" s="16"/>
      <c r="D3170" s="16"/>
      <c r="E3170" s="16"/>
      <c r="F3170" s="16"/>
      <c r="G3170" s="61"/>
      <c r="H3170" s="171"/>
      <c r="I3170" s="170"/>
    </row>
    <row r="3171" spans="2:9" x14ac:dyDescent="0.15">
      <c r="B3171" s="1"/>
      <c r="C3171" s="1"/>
      <c r="D3171" s="1"/>
      <c r="E3171" s="1"/>
      <c r="F3171" s="1"/>
      <c r="G3171" s="159"/>
      <c r="H3171" s="170"/>
      <c r="I3171" s="170"/>
    </row>
    <row r="3172" spans="2:9" x14ac:dyDescent="0.15">
      <c r="B3172" s="1"/>
      <c r="C3172" s="1"/>
      <c r="D3172" s="1"/>
      <c r="E3172" s="1"/>
      <c r="F3172" s="1"/>
      <c r="G3172" s="159"/>
      <c r="H3172" s="170"/>
      <c r="I3172" s="170"/>
    </row>
    <row r="3173" spans="2:9" x14ac:dyDescent="0.15">
      <c r="B3173" s="1"/>
      <c r="C3173" s="1"/>
      <c r="D3173" s="1"/>
      <c r="E3173" s="1"/>
      <c r="F3173" s="1"/>
      <c r="G3173" s="159"/>
      <c r="H3173" s="170"/>
      <c r="I3173" s="170"/>
    </row>
    <row r="3174" spans="2:9" x14ac:dyDescent="0.15">
      <c r="B3174" s="1"/>
      <c r="C3174" s="1"/>
      <c r="D3174" s="1"/>
      <c r="E3174" s="1"/>
      <c r="F3174" s="1"/>
      <c r="G3174" s="1"/>
      <c r="H3174" s="37"/>
      <c r="I3174" s="170"/>
    </row>
    <row r="3175" spans="2:9" x14ac:dyDescent="0.15">
      <c r="B3175" s="1"/>
      <c r="C3175" s="1"/>
      <c r="D3175" s="1"/>
      <c r="E3175" s="1"/>
      <c r="F3175" s="1"/>
      <c r="G3175" s="1"/>
      <c r="H3175" s="37"/>
      <c r="I3175" s="170"/>
    </row>
    <row r="3176" spans="2:9" x14ac:dyDescent="0.15">
      <c r="B3176" s="1"/>
      <c r="C3176" s="1"/>
      <c r="D3176" s="1"/>
      <c r="E3176" s="1"/>
      <c r="F3176" s="1"/>
      <c r="G3176" s="1"/>
      <c r="H3176" s="37"/>
      <c r="I3176" s="170"/>
    </row>
    <row r="3177" spans="2:9" x14ac:dyDescent="0.15">
      <c r="B3177" s="1"/>
      <c r="C3177" s="1"/>
      <c r="D3177" s="1"/>
      <c r="E3177" s="1"/>
      <c r="F3177" s="1"/>
      <c r="G3177" s="1"/>
      <c r="H3177" s="37"/>
      <c r="I3177" s="170"/>
    </row>
    <row r="3178" spans="2:9" x14ac:dyDescent="0.15">
      <c r="B3178" s="1"/>
      <c r="C3178" s="1"/>
      <c r="D3178" s="1"/>
      <c r="E3178" s="1"/>
      <c r="F3178" s="1"/>
      <c r="G3178" s="1"/>
      <c r="H3178" s="37"/>
      <c r="I3178" s="170"/>
    </row>
    <row r="3179" spans="2:9" x14ac:dyDescent="0.15">
      <c r="B3179" s="1"/>
      <c r="C3179" s="1"/>
      <c r="D3179" s="1"/>
      <c r="E3179" s="1"/>
      <c r="F3179" s="1"/>
      <c r="G3179" s="1"/>
      <c r="H3179" s="37"/>
      <c r="I3179" s="170"/>
    </row>
    <row r="3180" spans="2:9" ht="14" x14ac:dyDescent="0.15">
      <c r="B3180" s="101"/>
      <c r="C3180" s="1"/>
      <c r="D3180" s="1"/>
      <c r="E3180" s="1"/>
      <c r="F3180" s="1"/>
      <c r="G3180" s="1"/>
      <c r="H3180" s="1"/>
      <c r="I3180" s="170"/>
    </row>
    <row r="3181" spans="2:9" ht="14" x14ac:dyDescent="0.15">
      <c r="B3181" s="83"/>
      <c r="C3181" s="11"/>
      <c r="D3181" s="1"/>
      <c r="E3181" s="637"/>
      <c r="F3181" s="637"/>
      <c r="G3181" s="637"/>
      <c r="H3181" s="637"/>
      <c r="I3181" s="169"/>
    </row>
    <row r="3182" spans="2:9" x14ac:dyDescent="0.15">
      <c r="B3182" s="11"/>
      <c r="C3182" s="11"/>
      <c r="D3182" s="1"/>
      <c r="E3182" s="153"/>
      <c r="F3182" s="153"/>
      <c r="G3182" s="153"/>
      <c r="H3182" s="153"/>
      <c r="I3182" s="169"/>
    </row>
    <row r="3183" spans="2:9" x14ac:dyDescent="0.15">
      <c r="B3183" s="11"/>
      <c r="C3183" s="11"/>
      <c r="D3183" s="1"/>
      <c r="E3183" s="153"/>
      <c r="F3183" s="153"/>
      <c r="G3183" s="153"/>
      <c r="H3183" s="153"/>
      <c r="I3183" s="169"/>
    </row>
    <row r="3184" spans="2:9" x14ac:dyDescent="0.15">
      <c r="B3184" s="11"/>
      <c r="C3184" s="11"/>
      <c r="D3184" s="1"/>
      <c r="E3184" s="153"/>
      <c r="F3184" s="153"/>
      <c r="G3184" s="153"/>
      <c r="H3184" s="153"/>
      <c r="I3184" s="169"/>
    </row>
    <row r="3185" spans="1:10" x14ac:dyDescent="0.15">
      <c r="B3185" s="11"/>
      <c r="C3185" s="11"/>
      <c r="D3185" s="1"/>
      <c r="E3185" s="153"/>
      <c r="F3185" s="153"/>
      <c r="G3185" s="153"/>
      <c r="H3185" s="153"/>
      <c r="I3185" s="169"/>
    </row>
    <row r="3186" spans="1:10" x14ac:dyDescent="0.15">
      <c r="B3186" s="11"/>
      <c r="C3186" s="11"/>
      <c r="D3186" s="1"/>
      <c r="E3186" s="153"/>
      <c r="F3186" s="153"/>
      <c r="G3186" s="153"/>
      <c r="H3186" s="153"/>
      <c r="I3186" s="169"/>
    </row>
    <row r="3187" spans="1:10" x14ac:dyDescent="0.15">
      <c r="B3187" s="11"/>
      <c r="C3187" s="11"/>
      <c r="D3187" s="1"/>
      <c r="E3187" s="153"/>
      <c r="F3187" s="153"/>
      <c r="G3187" s="153"/>
      <c r="H3187" s="153"/>
      <c r="I3187" s="169"/>
    </row>
    <row r="3188" spans="1:10" ht="14" x14ac:dyDescent="0.15">
      <c r="A3188" s="85"/>
      <c r="B3188" s="83"/>
      <c r="C3188" s="83"/>
      <c r="D3188" s="84"/>
      <c r="E3188" s="83"/>
      <c r="F3188" s="154"/>
      <c r="G3188" s="155"/>
      <c r="H3188" s="156"/>
      <c r="I3188" s="157"/>
      <c r="J3188" s="85"/>
    </row>
    <row r="3190" spans="1:10" ht="15" thickBot="1" x14ac:dyDescent="0.2">
      <c r="B3190" s="83"/>
      <c r="C3190" s="11"/>
      <c r="D3190" s="11"/>
      <c r="E3190" s="11"/>
      <c r="F3190" s="691"/>
      <c r="G3190" s="691"/>
      <c r="H3190" s="691"/>
      <c r="I3190" s="691"/>
    </row>
    <row r="3191" spans="1:10" ht="21" customHeight="1" x14ac:dyDescent="0.15">
      <c r="B3191" s="607" t="s">
        <v>1065</v>
      </c>
      <c r="C3191" s="608"/>
      <c r="D3191" s="608"/>
      <c r="E3191" s="608"/>
      <c r="F3191" s="609"/>
      <c r="G3191" s="1"/>
      <c r="H3191" s="638" t="s">
        <v>20</v>
      </c>
      <c r="I3191" s="639"/>
    </row>
    <row r="3192" spans="1:10" ht="16.5" customHeight="1" x14ac:dyDescent="0.15">
      <c r="B3192" s="604" t="s">
        <v>446</v>
      </c>
      <c r="C3192" s="605"/>
      <c r="D3192" s="605"/>
      <c r="E3192" s="605"/>
      <c r="F3192" s="606"/>
      <c r="G3192" s="63"/>
      <c r="H3192" s="640"/>
      <c r="I3192" s="641"/>
    </row>
    <row r="3193" spans="1:10" ht="12.75" customHeight="1" x14ac:dyDescent="0.15">
      <c r="B3193" s="610" t="s">
        <v>447</v>
      </c>
      <c r="C3193" s="611"/>
      <c r="D3193" s="611"/>
      <c r="E3193" s="611"/>
      <c r="F3193" s="612"/>
      <c r="G3193" s="63"/>
      <c r="H3193" s="642"/>
      <c r="I3193" s="643"/>
    </row>
    <row r="3194" spans="1:10" ht="16.5" customHeight="1" thickBot="1" x14ac:dyDescent="0.2">
      <c r="B3194" s="613"/>
      <c r="C3194" s="614"/>
      <c r="D3194" s="614"/>
      <c r="E3194" s="614"/>
      <c r="F3194" s="615"/>
      <c r="G3194" s="1"/>
      <c r="H3194" s="685" t="s">
        <v>1009</v>
      </c>
      <c r="I3194" s="686"/>
    </row>
    <row r="3195" spans="1:10" ht="14" thickBot="1" x14ac:dyDescent="0.2">
      <c r="B3195" s="15"/>
      <c r="C3195" s="16"/>
      <c r="D3195" s="1"/>
      <c r="E3195" s="1"/>
      <c r="F3195" s="1"/>
      <c r="G3195" s="1"/>
      <c r="H3195" s="687"/>
      <c r="I3195" s="688"/>
    </row>
    <row r="3196" spans="1:10" ht="12.75" customHeight="1" x14ac:dyDescent="0.15">
      <c r="B3196" s="650" t="s">
        <v>890</v>
      </c>
      <c r="C3196" s="651"/>
      <c r="D3196" s="651"/>
      <c r="E3196" s="651"/>
      <c r="F3196" s="652"/>
      <c r="G3196" s="1"/>
      <c r="H3196" s="687"/>
      <c r="I3196" s="688"/>
    </row>
    <row r="3197" spans="1:10" ht="12.75" customHeight="1" x14ac:dyDescent="0.15">
      <c r="B3197" s="653"/>
      <c r="C3197" s="654"/>
      <c r="D3197" s="654"/>
      <c r="E3197" s="654"/>
      <c r="F3197" s="655"/>
      <c r="H3197" s="687"/>
      <c r="I3197" s="688"/>
    </row>
    <row r="3198" spans="1:10" ht="13.5" customHeight="1" x14ac:dyDescent="0.15">
      <c r="B3198" s="653"/>
      <c r="C3198" s="654"/>
      <c r="D3198" s="654"/>
      <c r="E3198" s="654"/>
      <c r="F3198" s="655"/>
      <c r="G3198" s="11"/>
      <c r="H3198" s="689"/>
      <c r="I3198" s="690"/>
    </row>
    <row r="3199" spans="1:10" ht="21.75" customHeight="1" thickBot="1" x14ac:dyDescent="0.2">
      <c r="B3199" s="656"/>
      <c r="C3199" s="657"/>
      <c r="D3199" s="657"/>
      <c r="E3199" s="657"/>
      <c r="F3199" s="658"/>
      <c r="H3199" s="64" t="s">
        <v>45</v>
      </c>
      <c r="I3199" s="17" t="s">
        <v>193</v>
      </c>
    </row>
    <row r="3200" spans="1:10" x14ac:dyDescent="0.15">
      <c r="B3200" s="18"/>
      <c r="C3200" s="18"/>
      <c r="D3200" s="1"/>
      <c r="E3200" s="18"/>
      <c r="F3200" s="18"/>
      <c r="G3200" s="18"/>
      <c r="H3200" s="18"/>
      <c r="I3200" s="1"/>
    </row>
    <row r="3201" spans="2:9" ht="14" thickBot="1" x14ac:dyDescent="0.2">
      <c r="B3201" s="12" t="s">
        <v>21</v>
      </c>
      <c r="C3201" s="12"/>
      <c r="D3201" s="1"/>
      <c r="E3201" s="1"/>
      <c r="F3201" s="1"/>
      <c r="G3201" s="1"/>
      <c r="H3201" s="1"/>
      <c r="I3201" s="1"/>
    </row>
    <row r="3202" spans="2:9" x14ac:dyDescent="0.15">
      <c r="B3202" s="628" t="s">
        <v>22</v>
      </c>
      <c r="C3202" s="629"/>
      <c r="D3202" s="630"/>
      <c r="E3202" s="205" t="s">
        <v>23</v>
      </c>
      <c r="F3202" s="19" t="s">
        <v>47</v>
      </c>
      <c r="G3202" s="205" t="s">
        <v>24</v>
      </c>
      <c r="H3202" s="204" t="s">
        <v>25</v>
      </c>
      <c r="I3202" s="43"/>
    </row>
    <row r="3203" spans="2:9" x14ac:dyDescent="0.15">
      <c r="B3203" s="631" t="s">
        <v>56</v>
      </c>
      <c r="C3203" s="632"/>
      <c r="D3203" s="633"/>
      <c r="E3203" s="5"/>
      <c r="F3203" s="160"/>
      <c r="G3203" s="58"/>
      <c r="H3203" s="160">
        <f>I3227*0.05</f>
        <v>697.66550000000007</v>
      </c>
      <c r="I3203" s="44"/>
    </row>
    <row r="3204" spans="2:9" ht="14" thickBot="1" x14ac:dyDescent="0.2">
      <c r="B3204" s="634"/>
      <c r="C3204" s="635"/>
      <c r="D3204" s="636"/>
      <c r="E3204" s="21"/>
      <c r="F3204" s="22"/>
      <c r="G3204" s="23"/>
      <c r="H3204" s="47"/>
      <c r="I3204" s="48"/>
    </row>
    <row r="3205" spans="2:9" ht="14" thickBot="1" x14ac:dyDescent="0.2">
      <c r="B3205" s="1"/>
      <c r="C3205" s="1"/>
      <c r="D3205" s="1"/>
      <c r="E3205" s="1"/>
      <c r="F3205" s="1"/>
      <c r="G3205" s="1"/>
      <c r="H3205" s="37" t="s">
        <v>26</v>
      </c>
      <c r="I3205" s="161">
        <f>SUM(H3203:H3204)</f>
        <v>697.66550000000007</v>
      </c>
    </row>
    <row r="3206" spans="2:9" ht="14" thickBot="1" x14ac:dyDescent="0.2">
      <c r="B3206" s="12" t="s">
        <v>27</v>
      </c>
      <c r="C3206" s="12"/>
      <c r="D3206" s="1"/>
      <c r="E3206" s="1"/>
      <c r="F3206" s="1"/>
      <c r="G3206" s="1"/>
      <c r="H3206" s="1"/>
      <c r="I3206" s="1"/>
    </row>
    <row r="3207" spans="2:9" x14ac:dyDescent="0.15">
      <c r="B3207" s="628" t="s">
        <v>22</v>
      </c>
      <c r="C3207" s="629"/>
      <c r="D3207" s="630"/>
      <c r="E3207" s="205" t="s">
        <v>28</v>
      </c>
      <c r="F3207" s="205" t="s">
        <v>29</v>
      </c>
      <c r="G3207" s="205" t="s">
        <v>30</v>
      </c>
      <c r="H3207" s="204" t="s">
        <v>25</v>
      </c>
      <c r="I3207" s="43"/>
    </row>
    <row r="3208" spans="2:9" x14ac:dyDescent="0.15">
      <c r="B3208" s="4" t="s">
        <v>289</v>
      </c>
      <c r="C3208" s="24"/>
      <c r="D3208" s="6"/>
      <c r="E3208" s="3" t="s">
        <v>193</v>
      </c>
      <c r="F3208" s="162">
        <f>MATERIALES!C85</f>
        <v>11650</v>
      </c>
      <c r="G3208" s="65">
        <v>1</v>
      </c>
      <c r="H3208" s="163">
        <f t="shared" ref="H3208:H3213" si="20">G3208*F3208</f>
        <v>11650</v>
      </c>
      <c r="I3208" s="44"/>
    </row>
    <row r="3209" spans="2:9" x14ac:dyDescent="0.15">
      <c r="B3209" s="4" t="s">
        <v>290</v>
      </c>
      <c r="C3209" s="24"/>
      <c r="D3209" s="6"/>
      <c r="E3209" s="3" t="s">
        <v>316</v>
      </c>
      <c r="F3209" s="162">
        <f>MATERIALES!C86</f>
        <v>4050</v>
      </c>
      <c r="G3209" s="65">
        <v>7.4999999999999997E-2</v>
      </c>
      <c r="H3209" s="163">
        <f t="shared" si="20"/>
        <v>303.75</v>
      </c>
      <c r="I3209" s="44"/>
    </row>
    <row r="3210" spans="2:9" x14ac:dyDescent="0.15">
      <c r="B3210" s="4" t="s">
        <v>291</v>
      </c>
      <c r="C3210" s="24"/>
      <c r="D3210" s="6"/>
      <c r="E3210" s="3" t="s">
        <v>316</v>
      </c>
      <c r="F3210" s="162">
        <f>MATERIALES!C87</f>
        <v>3990</v>
      </c>
      <c r="G3210" s="65">
        <v>7.4999999999999997E-2</v>
      </c>
      <c r="H3210" s="163">
        <f t="shared" si="20"/>
        <v>299.25</v>
      </c>
      <c r="I3210" s="44"/>
    </row>
    <row r="3211" spans="2:9" x14ac:dyDescent="0.15">
      <c r="B3211" s="4" t="s">
        <v>834</v>
      </c>
      <c r="C3211" s="24"/>
      <c r="D3211" s="6"/>
      <c r="E3211" s="3" t="s">
        <v>316</v>
      </c>
      <c r="F3211" s="162">
        <f>MATERIALES!C88</f>
        <v>2086</v>
      </c>
      <c r="G3211" s="65">
        <v>7.4999999999999997E-2</v>
      </c>
      <c r="H3211" s="163">
        <f t="shared" si="20"/>
        <v>156.44999999999999</v>
      </c>
      <c r="I3211" s="44"/>
    </row>
    <row r="3212" spans="2:9" x14ac:dyDescent="0.15">
      <c r="B3212" s="4" t="s">
        <v>835</v>
      </c>
      <c r="C3212" s="24"/>
      <c r="D3212" s="6"/>
      <c r="E3212" s="3" t="s">
        <v>316</v>
      </c>
      <c r="F3212" s="162">
        <f>MATERIALES!C89</f>
        <v>12460</v>
      </c>
      <c r="G3212" s="65">
        <v>7.4999999999999997E-2</v>
      </c>
      <c r="H3212" s="163">
        <f t="shared" si="20"/>
        <v>934.5</v>
      </c>
      <c r="I3212" s="44"/>
    </row>
    <row r="3213" spans="2:9" x14ac:dyDescent="0.15">
      <c r="B3213" s="4" t="s">
        <v>135</v>
      </c>
      <c r="C3213" s="24"/>
      <c r="D3213" s="6"/>
      <c r="E3213" s="3" t="s">
        <v>77</v>
      </c>
      <c r="F3213" s="162">
        <f>MATERIALES!C27</f>
        <v>286200</v>
      </c>
      <c r="G3213" s="65">
        <v>0.01</v>
      </c>
      <c r="H3213" s="163">
        <f t="shared" si="20"/>
        <v>2862</v>
      </c>
      <c r="I3213" s="44"/>
    </row>
    <row r="3214" spans="2:9" ht="14" thickBot="1" x14ac:dyDescent="0.2">
      <c r="B3214" s="25"/>
      <c r="C3214" s="26"/>
      <c r="D3214" s="27"/>
      <c r="E3214" s="21"/>
      <c r="F3214" s="22"/>
      <c r="G3214" s="165"/>
      <c r="H3214" s="47"/>
      <c r="I3214" s="48"/>
    </row>
    <row r="3215" spans="2:9" ht="14" thickBot="1" x14ac:dyDescent="0.2">
      <c r="B3215" s="1"/>
      <c r="C3215" s="1"/>
      <c r="D3215" s="1"/>
      <c r="E3215" s="1"/>
      <c r="F3215" s="1"/>
      <c r="G3215" s="1"/>
      <c r="H3215" s="37" t="s">
        <v>26</v>
      </c>
      <c r="I3215" s="161">
        <f>SUM(H3208:H3214)</f>
        <v>16205.95</v>
      </c>
    </row>
    <row r="3216" spans="2:9" ht="14" thickBot="1" x14ac:dyDescent="0.2">
      <c r="B3216" s="28" t="s">
        <v>31</v>
      </c>
      <c r="C3216" s="28"/>
      <c r="D3216" s="26"/>
      <c r="E3216" s="1"/>
      <c r="F3216" s="1"/>
      <c r="G3216" s="1"/>
      <c r="H3216" s="1"/>
      <c r="I3216" s="1"/>
    </row>
    <row r="3217" spans="2:9" x14ac:dyDescent="0.15">
      <c r="B3217" s="51" t="s">
        <v>32</v>
      </c>
      <c r="C3217" s="52"/>
      <c r="D3217" s="96" t="s">
        <v>33</v>
      </c>
      <c r="E3217" s="205" t="s">
        <v>34</v>
      </c>
      <c r="F3217" s="205" t="s">
        <v>35</v>
      </c>
      <c r="G3217" s="205" t="s">
        <v>36</v>
      </c>
      <c r="H3217" s="59" t="s">
        <v>25</v>
      </c>
      <c r="I3217" s="43"/>
    </row>
    <row r="3218" spans="2:9" x14ac:dyDescent="0.15">
      <c r="B3218" s="4" t="s">
        <v>79</v>
      </c>
      <c r="C3218" s="6"/>
      <c r="D3218" s="53">
        <v>0.1</v>
      </c>
      <c r="E3218" s="2">
        <v>15</v>
      </c>
      <c r="F3218" s="2">
        <f>E3218*D3218</f>
        <v>1.5</v>
      </c>
      <c r="G3218" s="65">
        <v>1100</v>
      </c>
      <c r="H3218" s="20">
        <f>G3218*F3218</f>
        <v>1650</v>
      </c>
      <c r="I3218" s="44"/>
    </row>
    <row r="3219" spans="2:9" x14ac:dyDescent="0.15">
      <c r="B3219" s="106"/>
      <c r="C3219" s="66"/>
      <c r="D3219" s="67"/>
      <c r="E3219" s="68"/>
      <c r="F3219" s="68"/>
      <c r="G3219" s="69"/>
      <c r="H3219" s="65"/>
      <c r="I3219" s="44"/>
    </row>
    <row r="3220" spans="2:9" ht="14" thickBot="1" x14ac:dyDescent="0.2">
      <c r="B3220" s="33"/>
      <c r="C3220" s="54"/>
      <c r="D3220" s="21"/>
      <c r="E3220" s="22"/>
      <c r="F3220" s="23"/>
      <c r="G3220" s="47"/>
      <c r="H3220" s="21"/>
      <c r="I3220" s="48"/>
    </row>
    <row r="3221" spans="2:9" ht="14" thickBot="1" x14ac:dyDescent="0.2">
      <c r="B3221" s="1"/>
      <c r="C3221" s="1"/>
      <c r="D3221" s="1"/>
      <c r="E3221" s="1"/>
      <c r="F3221" s="1"/>
      <c r="G3221" s="1"/>
      <c r="H3221" s="37" t="s">
        <v>26</v>
      </c>
      <c r="I3221" s="161">
        <f>SUM(H3218:H3220)</f>
        <v>1650</v>
      </c>
    </row>
    <row r="3222" spans="2:9" ht="14" thickBot="1" x14ac:dyDescent="0.2">
      <c r="B3222" s="28" t="s">
        <v>37</v>
      </c>
      <c r="C3222" s="28"/>
      <c r="D3222" s="1"/>
      <c r="E3222" s="1"/>
      <c r="F3222" s="1"/>
      <c r="G3222" s="1"/>
      <c r="H3222" s="1"/>
      <c r="I3222" s="1"/>
    </row>
    <row r="3223" spans="2:9" x14ac:dyDescent="0.15">
      <c r="B3223" s="51" t="s">
        <v>38</v>
      </c>
      <c r="C3223" s="86"/>
      <c r="D3223" s="31" t="s">
        <v>39</v>
      </c>
      <c r="E3223" s="205" t="s">
        <v>40</v>
      </c>
      <c r="F3223" s="19" t="s">
        <v>41</v>
      </c>
      <c r="G3223" s="31" t="s">
        <v>24</v>
      </c>
      <c r="H3223" s="204" t="s">
        <v>25</v>
      </c>
      <c r="I3223" s="43"/>
    </row>
    <row r="3224" spans="2:9" x14ac:dyDescent="0.15">
      <c r="B3224" s="4" t="s">
        <v>65</v>
      </c>
      <c r="C3224" s="24"/>
      <c r="D3224" s="32">
        <f>'MANO DE OBRA'!E15</f>
        <v>95333</v>
      </c>
      <c r="E3224" s="88">
        <v>1.75</v>
      </c>
      <c r="F3224" s="162">
        <f>+E3224*D3224</f>
        <v>166832.75</v>
      </c>
      <c r="G3224" s="79">
        <v>25</v>
      </c>
      <c r="H3224" s="167">
        <f>+F3224/G3224</f>
        <v>6673.31</v>
      </c>
      <c r="I3224" s="44"/>
    </row>
    <row r="3225" spans="2:9" x14ac:dyDescent="0.15">
      <c r="B3225" s="80" t="s">
        <v>55</v>
      </c>
      <c r="C3225" s="24"/>
      <c r="D3225" s="32">
        <f>'MANO DE OBRA'!E14*2</f>
        <v>104000</v>
      </c>
      <c r="E3225" s="88">
        <v>1.75</v>
      </c>
      <c r="F3225" s="162">
        <f>+E3225*D3225</f>
        <v>182000</v>
      </c>
      <c r="G3225" s="79">
        <v>25</v>
      </c>
      <c r="H3225" s="167">
        <f>+F3225/G3225</f>
        <v>7280</v>
      </c>
      <c r="I3225" s="44"/>
    </row>
    <row r="3226" spans="2:9" ht="14" thickBot="1" x14ac:dyDescent="0.2">
      <c r="B3226" s="33"/>
      <c r="C3226" s="34"/>
      <c r="D3226" s="22"/>
      <c r="E3226" s="21"/>
      <c r="F3226" s="22"/>
      <c r="G3226" s="23"/>
      <c r="H3226" s="47"/>
      <c r="I3226" s="48"/>
    </row>
    <row r="3227" spans="2:9" ht="14" thickBot="1" x14ac:dyDescent="0.2">
      <c r="B3227" s="1"/>
      <c r="C3227" s="1"/>
      <c r="D3227" s="1"/>
      <c r="E3227" s="1"/>
      <c r="F3227" s="1"/>
      <c r="G3227" s="1"/>
      <c r="H3227" s="37" t="s">
        <v>26</v>
      </c>
      <c r="I3227" s="175">
        <f>SUM(H3224:H3226)</f>
        <v>13953.310000000001</v>
      </c>
    </row>
    <row r="3228" spans="2:9" ht="14" thickBot="1" x14ac:dyDescent="0.2">
      <c r="B3228" s="1"/>
      <c r="C3228" s="1"/>
      <c r="D3228" s="1"/>
      <c r="E3228" s="1"/>
      <c r="F3228" s="1"/>
      <c r="G3228" s="1"/>
      <c r="H3228" s="61"/>
      <c r="I3228" s="1"/>
    </row>
    <row r="3229" spans="2:9" ht="15" thickBot="1" x14ac:dyDescent="0.2">
      <c r="B3229" s="1"/>
      <c r="C3229" s="1"/>
      <c r="D3229" s="1"/>
      <c r="E3229" s="1"/>
      <c r="F3229" s="35" t="s">
        <v>43</v>
      </c>
      <c r="G3229" s="16"/>
      <c r="H3229" s="16"/>
      <c r="I3229" s="325">
        <f>ROUND((I3205+I3215+I3221+I3227),0)</f>
        <v>32507</v>
      </c>
    </row>
    <row r="3230" spans="2:9" x14ac:dyDescent="0.15">
      <c r="B3230" s="12"/>
      <c r="C3230" s="12"/>
      <c r="D3230" s="1"/>
      <c r="E3230" s="1"/>
      <c r="F3230" s="1"/>
      <c r="G3230" s="1"/>
      <c r="H3230" s="170"/>
      <c r="I3230" s="170"/>
    </row>
    <row r="3231" spans="2:9" x14ac:dyDescent="0.15">
      <c r="B3231" s="16"/>
      <c r="C3231" s="16"/>
      <c r="D3231" s="16"/>
      <c r="E3231" s="16"/>
      <c r="F3231" s="16"/>
      <c r="G3231" s="61"/>
      <c r="H3231" s="171"/>
      <c r="I3231" s="170"/>
    </row>
    <row r="3232" spans="2:9" x14ac:dyDescent="0.15">
      <c r="B3232" s="1"/>
      <c r="C3232" s="1"/>
      <c r="D3232" s="1"/>
      <c r="E3232" s="1"/>
      <c r="F3232" s="1"/>
      <c r="G3232" s="159"/>
      <c r="H3232" s="170"/>
      <c r="I3232" s="170"/>
    </row>
    <row r="3233" spans="1:10" x14ac:dyDescent="0.15">
      <c r="B3233" s="1"/>
      <c r="C3233" s="1"/>
      <c r="D3233" s="1"/>
      <c r="E3233" s="1"/>
      <c r="F3233" s="1"/>
      <c r="G3233" s="159"/>
      <c r="H3233" s="170"/>
      <c r="I3233" s="170"/>
    </row>
    <row r="3234" spans="1:10" x14ac:dyDescent="0.15">
      <c r="B3234" s="1"/>
      <c r="C3234" s="1"/>
      <c r="D3234" s="1"/>
      <c r="E3234" s="1"/>
      <c r="F3234" s="1"/>
      <c r="G3234" s="159"/>
      <c r="H3234" s="170"/>
      <c r="I3234" s="170"/>
    </row>
    <row r="3235" spans="1:10" x14ac:dyDescent="0.15">
      <c r="B3235" s="1"/>
      <c r="C3235" s="1"/>
      <c r="D3235" s="1"/>
      <c r="E3235" s="1"/>
      <c r="F3235" s="1"/>
      <c r="G3235" s="1"/>
      <c r="H3235" s="37"/>
      <c r="I3235" s="170"/>
    </row>
    <row r="3236" spans="1:10" ht="14" x14ac:dyDescent="0.15">
      <c r="B3236" s="101"/>
      <c r="C3236" s="1"/>
      <c r="D3236" s="1"/>
      <c r="E3236" s="1"/>
      <c r="F3236" s="1"/>
      <c r="G3236" s="1"/>
      <c r="H3236" s="1"/>
      <c r="I3236" s="170"/>
    </row>
    <row r="3237" spans="1:10" ht="14" x14ac:dyDescent="0.15">
      <c r="B3237" s="101"/>
      <c r="C3237" s="1"/>
      <c r="D3237" s="1"/>
      <c r="E3237" s="1"/>
      <c r="F3237" s="1"/>
      <c r="G3237" s="1"/>
      <c r="H3237" s="1"/>
      <c r="I3237" s="170"/>
    </row>
    <row r="3238" spans="1:10" ht="14" x14ac:dyDescent="0.15">
      <c r="B3238" s="101"/>
      <c r="C3238" s="1"/>
      <c r="D3238" s="1"/>
      <c r="E3238" s="1"/>
      <c r="F3238" s="1"/>
      <c r="G3238" s="1"/>
      <c r="H3238" s="1"/>
      <c r="I3238" s="170"/>
    </row>
    <row r="3239" spans="1:10" ht="14" x14ac:dyDescent="0.15">
      <c r="B3239" s="101"/>
      <c r="C3239" s="1"/>
      <c r="D3239" s="1"/>
      <c r="E3239" s="1"/>
      <c r="F3239" s="1"/>
      <c r="G3239" s="1"/>
      <c r="H3239" s="1"/>
      <c r="I3239" s="170"/>
    </row>
    <row r="3240" spans="1:10" ht="14" x14ac:dyDescent="0.15">
      <c r="B3240" s="101"/>
      <c r="C3240" s="1"/>
      <c r="D3240" s="1"/>
      <c r="E3240" s="1"/>
      <c r="F3240" s="1"/>
      <c r="G3240" s="1"/>
      <c r="H3240" s="1"/>
      <c r="I3240" s="170"/>
    </row>
    <row r="3241" spans="1:10" ht="14" x14ac:dyDescent="0.15">
      <c r="B3241" s="101"/>
      <c r="C3241" s="1"/>
      <c r="D3241" s="1"/>
      <c r="E3241" s="1"/>
      <c r="F3241" s="1"/>
      <c r="G3241" s="1"/>
      <c r="H3241" s="1"/>
      <c r="I3241" s="170"/>
    </row>
    <row r="3242" spans="1:10" ht="14" x14ac:dyDescent="0.15">
      <c r="B3242" s="83"/>
      <c r="C3242" s="11"/>
      <c r="D3242" s="1"/>
      <c r="E3242" s="637"/>
      <c r="F3242" s="637"/>
      <c r="G3242" s="637"/>
      <c r="H3242" s="637"/>
      <c r="I3242" s="169"/>
    </row>
    <row r="3243" spans="1:10" x14ac:dyDescent="0.15">
      <c r="B3243" s="11"/>
      <c r="C3243" s="11"/>
      <c r="D3243" s="1"/>
      <c r="E3243" s="153"/>
      <c r="F3243" s="153"/>
      <c r="G3243" s="153"/>
      <c r="H3243" s="153"/>
      <c r="I3243" s="169"/>
    </row>
    <row r="3244" spans="1:10" x14ac:dyDescent="0.15">
      <c r="B3244" s="11"/>
      <c r="C3244" s="11"/>
      <c r="D3244" s="1"/>
      <c r="E3244" s="153"/>
      <c r="F3244" s="153"/>
      <c r="G3244" s="153"/>
      <c r="H3244" s="153"/>
      <c r="I3244" s="169"/>
    </row>
    <row r="3245" spans="1:10" x14ac:dyDescent="0.15">
      <c r="B3245" s="11"/>
      <c r="C3245" s="11"/>
      <c r="D3245" s="1"/>
      <c r="E3245" s="153"/>
      <c r="F3245" s="153"/>
      <c r="G3245" s="153"/>
      <c r="H3245" s="153"/>
      <c r="I3245" s="169"/>
    </row>
    <row r="3246" spans="1:10" ht="14" x14ac:dyDescent="0.15">
      <c r="A3246" s="85"/>
      <c r="B3246" s="101"/>
      <c r="C3246" s="83"/>
      <c r="D3246" s="84"/>
      <c r="E3246" s="83"/>
      <c r="F3246" s="158"/>
      <c r="G3246" s="155"/>
      <c r="H3246" s="83"/>
      <c r="I3246" s="83"/>
      <c r="J3246" s="85"/>
    </row>
    <row r="3247" spans="1:10" ht="14" x14ac:dyDescent="0.15">
      <c r="A3247" s="85"/>
      <c r="B3247" s="101"/>
      <c r="C3247" s="83"/>
      <c r="D3247" s="84"/>
      <c r="E3247" s="83"/>
      <c r="F3247" s="158"/>
      <c r="G3247" s="155"/>
      <c r="H3247" s="83"/>
      <c r="I3247" s="83"/>
      <c r="J3247" s="85"/>
    </row>
    <row r="3248" spans="1:10" ht="14" x14ac:dyDescent="0.15">
      <c r="A3248" s="85"/>
      <c r="B3248" s="83"/>
      <c r="C3248" s="83"/>
      <c r="D3248" s="84"/>
      <c r="E3248" s="83"/>
      <c r="F3248" s="154"/>
      <c r="G3248" s="155"/>
      <c r="H3248" s="156"/>
      <c r="I3248" s="157"/>
      <c r="J3248" s="85"/>
    </row>
    <row r="3249" spans="2:9" ht="14" x14ac:dyDescent="0.15">
      <c r="B3249" s="83"/>
      <c r="C3249" s="11"/>
      <c r="D3249" s="11"/>
      <c r="E3249" s="11"/>
      <c r="F3249" s="691"/>
      <c r="G3249" s="691"/>
      <c r="H3249" s="691"/>
      <c r="I3249" s="691"/>
    </row>
    <row r="3250" spans="2:9" ht="14" thickBot="1" x14ac:dyDescent="0.2"/>
    <row r="3251" spans="2:9" ht="21" customHeight="1" x14ac:dyDescent="0.15">
      <c r="B3251" s="607" t="s">
        <v>1065</v>
      </c>
      <c r="C3251" s="608"/>
      <c r="D3251" s="608"/>
      <c r="E3251" s="608"/>
      <c r="F3251" s="609"/>
      <c r="G3251" s="1"/>
      <c r="H3251" s="638" t="s">
        <v>20</v>
      </c>
      <c r="I3251" s="639"/>
    </row>
    <row r="3252" spans="2:9" ht="16.5" customHeight="1" x14ac:dyDescent="0.15">
      <c r="B3252" s="604" t="s">
        <v>446</v>
      </c>
      <c r="C3252" s="605"/>
      <c r="D3252" s="605"/>
      <c r="E3252" s="605"/>
      <c r="F3252" s="606"/>
      <c r="G3252" s="63"/>
      <c r="H3252" s="640"/>
      <c r="I3252" s="641"/>
    </row>
    <row r="3253" spans="2:9" ht="12.75" customHeight="1" x14ac:dyDescent="0.15">
      <c r="B3253" s="610" t="s">
        <v>447</v>
      </c>
      <c r="C3253" s="611"/>
      <c r="D3253" s="611"/>
      <c r="E3253" s="611"/>
      <c r="F3253" s="612"/>
      <c r="G3253" s="63"/>
      <c r="H3253" s="642"/>
      <c r="I3253" s="643"/>
    </row>
    <row r="3254" spans="2:9" ht="16.5" customHeight="1" thickBot="1" x14ac:dyDescent="0.2">
      <c r="B3254" s="613"/>
      <c r="C3254" s="614"/>
      <c r="D3254" s="614"/>
      <c r="E3254" s="614"/>
      <c r="F3254" s="615"/>
      <c r="G3254" s="1"/>
      <c r="H3254" s="685" t="s">
        <v>1010</v>
      </c>
      <c r="I3254" s="686"/>
    </row>
    <row r="3255" spans="2:9" ht="13.5" customHeight="1" thickBot="1" x14ac:dyDescent="0.2">
      <c r="B3255" s="15"/>
      <c r="C3255" s="16"/>
      <c r="D3255" s="1"/>
      <c r="E3255" s="1"/>
      <c r="F3255" s="1"/>
      <c r="G3255" s="1"/>
      <c r="H3255" s="687"/>
      <c r="I3255" s="688"/>
    </row>
    <row r="3256" spans="2:9" ht="12.75" customHeight="1" x14ac:dyDescent="0.15">
      <c r="B3256" s="650" t="s">
        <v>890</v>
      </c>
      <c r="C3256" s="651"/>
      <c r="D3256" s="651"/>
      <c r="E3256" s="651"/>
      <c r="F3256" s="652"/>
      <c r="G3256" s="1"/>
      <c r="H3256" s="687"/>
      <c r="I3256" s="688"/>
    </row>
    <row r="3257" spans="2:9" ht="12.75" customHeight="1" x14ac:dyDescent="0.15">
      <c r="B3257" s="653"/>
      <c r="C3257" s="654"/>
      <c r="D3257" s="654"/>
      <c r="E3257" s="654"/>
      <c r="F3257" s="655"/>
      <c r="H3257" s="687"/>
      <c r="I3257" s="688"/>
    </row>
    <row r="3258" spans="2:9" ht="13.5" customHeight="1" x14ac:dyDescent="0.15">
      <c r="B3258" s="653"/>
      <c r="C3258" s="654"/>
      <c r="D3258" s="654"/>
      <c r="E3258" s="654"/>
      <c r="F3258" s="655"/>
      <c r="G3258" s="11"/>
      <c r="H3258" s="689"/>
      <c r="I3258" s="690"/>
    </row>
    <row r="3259" spans="2:9" ht="21.75" customHeight="1" thickBot="1" x14ac:dyDescent="0.2">
      <c r="B3259" s="656"/>
      <c r="C3259" s="657"/>
      <c r="D3259" s="657"/>
      <c r="E3259" s="657"/>
      <c r="F3259" s="658"/>
      <c r="H3259" s="64" t="s">
        <v>45</v>
      </c>
      <c r="I3259" s="17" t="s">
        <v>193</v>
      </c>
    </row>
    <row r="3260" spans="2:9" x14ac:dyDescent="0.15">
      <c r="B3260" s="18"/>
      <c r="C3260" s="18"/>
      <c r="D3260" s="1"/>
      <c r="E3260" s="18"/>
      <c r="F3260" s="18"/>
      <c r="G3260" s="18"/>
      <c r="H3260" s="18"/>
      <c r="I3260" s="1"/>
    </row>
    <row r="3261" spans="2:9" ht="14" thickBot="1" x14ac:dyDescent="0.2">
      <c r="B3261" s="12" t="s">
        <v>21</v>
      </c>
      <c r="C3261" s="12"/>
      <c r="D3261" s="1"/>
      <c r="E3261" s="1"/>
      <c r="F3261" s="1"/>
      <c r="G3261" s="1"/>
      <c r="H3261" s="1"/>
      <c r="I3261" s="1"/>
    </row>
    <row r="3262" spans="2:9" x14ac:dyDescent="0.15">
      <c r="B3262" s="628" t="s">
        <v>22</v>
      </c>
      <c r="C3262" s="629"/>
      <c r="D3262" s="630"/>
      <c r="E3262" s="205" t="s">
        <v>23</v>
      </c>
      <c r="F3262" s="19" t="s">
        <v>47</v>
      </c>
      <c r="G3262" s="205" t="s">
        <v>24</v>
      </c>
      <c r="H3262" s="204" t="s">
        <v>25</v>
      </c>
      <c r="I3262" s="43"/>
    </row>
    <row r="3263" spans="2:9" x14ac:dyDescent="0.15">
      <c r="B3263" s="631" t="s">
        <v>56</v>
      </c>
      <c r="C3263" s="632"/>
      <c r="D3263" s="633"/>
      <c r="E3263" s="5"/>
      <c r="F3263" s="160"/>
      <c r="G3263" s="58"/>
      <c r="H3263" s="160">
        <f>I3287*0.05</f>
        <v>697.66550000000007</v>
      </c>
      <c r="I3263" s="44"/>
    </row>
    <row r="3264" spans="2:9" ht="14" thickBot="1" x14ac:dyDescent="0.2">
      <c r="B3264" s="634"/>
      <c r="C3264" s="635"/>
      <c r="D3264" s="636"/>
      <c r="E3264" s="21"/>
      <c r="F3264" s="22"/>
      <c r="G3264" s="23"/>
      <c r="H3264" s="47"/>
      <c r="I3264" s="48"/>
    </row>
    <row r="3265" spans="2:9" ht="14" thickBot="1" x14ac:dyDescent="0.2">
      <c r="B3265" s="1"/>
      <c r="C3265" s="1"/>
      <c r="D3265" s="1"/>
      <c r="E3265" s="1"/>
      <c r="F3265" s="1"/>
      <c r="G3265" s="1"/>
      <c r="H3265" s="37" t="s">
        <v>26</v>
      </c>
      <c r="I3265" s="161">
        <f>SUM(H3263:H3264)</f>
        <v>697.66550000000007</v>
      </c>
    </row>
    <row r="3266" spans="2:9" ht="14" thickBot="1" x14ac:dyDescent="0.2">
      <c r="B3266" s="12" t="s">
        <v>27</v>
      </c>
      <c r="C3266" s="12"/>
      <c r="D3266" s="1"/>
      <c r="E3266" s="1"/>
      <c r="F3266" s="1"/>
      <c r="G3266" s="1"/>
      <c r="H3266" s="1"/>
      <c r="I3266" s="1"/>
    </row>
    <row r="3267" spans="2:9" x14ac:dyDescent="0.15">
      <c r="B3267" s="628" t="s">
        <v>22</v>
      </c>
      <c r="C3267" s="629"/>
      <c r="D3267" s="630"/>
      <c r="E3267" s="205" t="s">
        <v>28</v>
      </c>
      <c r="F3267" s="205" t="s">
        <v>29</v>
      </c>
      <c r="G3267" s="205" t="s">
        <v>30</v>
      </c>
      <c r="H3267" s="204" t="s">
        <v>25</v>
      </c>
      <c r="I3267" s="43"/>
    </row>
    <row r="3268" spans="2:9" x14ac:dyDescent="0.15">
      <c r="B3268" s="4" t="s">
        <v>294</v>
      </c>
      <c r="C3268" s="24"/>
      <c r="D3268" s="6"/>
      <c r="E3268" s="3" t="s">
        <v>193</v>
      </c>
      <c r="F3268" s="162">
        <f>MATERIALES!C90</f>
        <v>17500</v>
      </c>
      <c r="G3268" s="65">
        <v>1</v>
      </c>
      <c r="H3268" s="163">
        <f t="shared" ref="H3268:H3273" si="21">G3268*F3268</f>
        <v>17500</v>
      </c>
      <c r="I3268" s="44"/>
    </row>
    <row r="3269" spans="2:9" x14ac:dyDescent="0.15">
      <c r="B3269" s="4" t="s">
        <v>295</v>
      </c>
      <c r="C3269" s="24"/>
      <c r="D3269" s="6"/>
      <c r="E3269" s="3" t="s">
        <v>316</v>
      </c>
      <c r="F3269" s="162">
        <f>MATERIALES!C91</f>
        <v>8120</v>
      </c>
      <c r="G3269" s="65">
        <v>7.4999999999999997E-2</v>
      </c>
      <c r="H3269" s="163">
        <f t="shared" si="21"/>
        <v>609</v>
      </c>
      <c r="I3269" s="44"/>
    </row>
    <row r="3270" spans="2:9" x14ac:dyDescent="0.15">
      <c r="B3270" s="4" t="s">
        <v>296</v>
      </c>
      <c r="C3270" s="24"/>
      <c r="D3270" s="6"/>
      <c r="E3270" s="3" t="s">
        <v>316</v>
      </c>
      <c r="F3270" s="162">
        <f>MATERIALES!C92</f>
        <v>13860</v>
      </c>
      <c r="G3270" s="65">
        <v>7.4999999999999997E-2</v>
      </c>
      <c r="H3270" s="163">
        <f t="shared" si="21"/>
        <v>1039.5</v>
      </c>
      <c r="I3270" s="44"/>
    </row>
    <row r="3271" spans="2:9" x14ac:dyDescent="0.15">
      <c r="B3271" s="4" t="s">
        <v>298</v>
      </c>
      <c r="C3271" s="24"/>
      <c r="D3271" s="6"/>
      <c r="E3271" s="3" t="s">
        <v>316</v>
      </c>
      <c r="F3271" s="162">
        <f>MATERIALES!C94</f>
        <v>2660</v>
      </c>
      <c r="G3271" s="65">
        <v>7.4999999999999997E-2</v>
      </c>
      <c r="H3271" s="163">
        <f t="shared" si="21"/>
        <v>199.5</v>
      </c>
      <c r="I3271" s="44"/>
    </row>
    <row r="3272" spans="2:9" x14ac:dyDescent="0.15">
      <c r="B3272" s="4" t="s">
        <v>299</v>
      </c>
      <c r="C3272" s="24"/>
      <c r="D3272" s="6"/>
      <c r="E3272" s="3" t="s">
        <v>316</v>
      </c>
      <c r="F3272" s="162">
        <f>MATERIALES!C95</f>
        <v>19460</v>
      </c>
      <c r="G3272" s="65">
        <v>7.4999999999999997E-2</v>
      </c>
      <c r="H3272" s="163">
        <f t="shared" si="21"/>
        <v>1459.5</v>
      </c>
      <c r="I3272" s="44"/>
    </row>
    <row r="3273" spans="2:9" x14ac:dyDescent="0.15">
      <c r="B3273" s="4" t="s">
        <v>135</v>
      </c>
      <c r="C3273" s="24"/>
      <c r="D3273" s="6"/>
      <c r="E3273" s="3" t="s">
        <v>77</v>
      </c>
      <c r="F3273" s="162">
        <f>MATERIALES!C27</f>
        <v>286200</v>
      </c>
      <c r="G3273" s="65">
        <v>0.01</v>
      </c>
      <c r="H3273" s="163">
        <f t="shared" si="21"/>
        <v>2862</v>
      </c>
      <c r="I3273" s="44"/>
    </row>
    <row r="3274" spans="2:9" ht="14" thickBot="1" x14ac:dyDescent="0.2">
      <c r="B3274" s="25"/>
      <c r="C3274" s="26"/>
      <c r="D3274" s="27"/>
      <c r="E3274" s="21"/>
      <c r="F3274" s="22"/>
      <c r="G3274" s="165"/>
      <c r="H3274" s="47"/>
      <c r="I3274" s="48"/>
    </row>
    <row r="3275" spans="2:9" ht="14" thickBot="1" x14ac:dyDescent="0.2">
      <c r="B3275" s="1"/>
      <c r="C3275" s="1"/>
      <c r="D3275" s="1"/>
      <c r="E3275" s="1"/>
      <c r="F3275" s="1"/>
      <c r="G3275" s="1"/>
      <c r="H3275" s="37" t="s">
        <v>26</v>
      </c>
      <c r="I3275" s="161">
        <f>SUM(H3268:H3273)</f>
        <v>23669.5</v>
      </c>
    </row>
    <row r="3276" spans="2:9" ht="14" thickBot="1" x14ac:dyDescent="0.2">
      <c r="B3276" s="28" t="s">
        <v>31</v>
      </c>
      <c r="C3276" s="28"/>
      <c r="D3276" s="26"/>
      <c r="E3276" s="1"/>
      <c r="F3276" s="1"/>
      <c r="G3276" s="1"/>
      <c r="H3276" s="1"/>
      <c r="I3276" s="1"/>
    </row>
    <row r="3277" spans="2:9" x14ac:dyDescent="0.15">
      <c r="B3277" s="51" t="s">
        <v>32</v>
      </c>
      <c r="C3277" s="52"/>
      <c r="D3277" s="96" t="s">
        <v>33</v>
      </c>
      <c r="E3277" s="205" t="s">
        <v>34</v>
      </c>
      <c r="F3277" s="205" t="s">
        <v>35</v>
      </c>
      <c r="G3277" s="205" t="s">
        <v>36</v>
      </c>
      <c r="H3277" s="59" t="s">
        <v>25</v>
      </c>
      <c r="I3277" s="43"/>
    </row>
    <row r="3278" spans="2:9" x14ac:dyDescent="0.15">
      <c r="B3278" s="4" t="s">
        <v>79</v>
      </c>
      <c r="C3278" s="6"/>
      <c r="D3278" s="53">
        <v>0.12</v>
      </c>
      <c r="E3278" s="2">
        <v>15</v>
      </c>
      <c r="F3278" s="2">
        <f>E3278*D3278</f>
        <v>1.7999999999999998</v>
      </c>
      <c r="G3278" s="65">
        <v>1100</v>
      </c>
      <c r="H3278" s="20">
        <f>G3278*F3278</f>
        <v>1979.9999999999998</v>
      </c>
      <c r="I3278" s="44"/>
    </row>
    <row r="3279" spans="2:9" x14ac:dyDescent="0.15">
      <c r="B3279" s="106"/>
      <c r="C3279" s="66"/>
      <c r="D3279" s="67"/>
      <c r="E3279" s="68"/>
      <c r="F3279" s="68"/>
      <c r="G3279" s="69"/>
      <c r="H3279" s="65"/>
      <c r="I3279" s="44"/>
    </row>
    <row r="3280" spans="2:9" ht="14" thickBot="1" x14ac:dyDescent="0.2">
      <c r="B3280" s="33"/>
      <c r="C3280" s="54"/>
      <c r="D3280" s="21"/>
      <c r="E3280" s="22"/>
      <c r="F3280" s="23"/>
      <c r="G3280" s="47"/>
      <c r="H3280" s="21"/>
      <c r="I3280" s="48"/>
    </row>
    <row r="3281" spans="2:9" ht="14" thickBot="1" x14ac:dyDescent="0.2">
      <c r="B3281" s="1"/>
      <c r="C3281" s="1"/>
      <c r="D3281" s="1"/>
      <c r="E3281" s="1"/>
      <c r="F3281" s="1"/>
      <c r="G3281" s="1"/>
      <c r="H3281" s="37" t="s">
        <v>26</v>
      </c>
      <c r="I3281" s="161">
        <f>SUM(H3278:H3280)</f>
        <v>1979.9999999999998</v>
      </c>
    </row>
    <row r="3282" spans="2:9" ht="14" thickBot="1" x14ac:dyDescent="0.2">
      <c r="B3282" s="28" t="s">
        <v>37</v>
      </c>
      <c r="C3282" s="28"/>
      <c r="D3282" s="1"/>
      <c r="E3282" s="1"/>
      <c r="F3282" s="1"/>
      <c r="G3282" s="1"/>
      <c r="H3282" s="1"/>
      <c r="I3282" s="1"/>
    </row>
    <row r="3283" spans="2:9" x14ac:dyDescent="0.15">
      <c r="B3283" s="51" t="s">
        <v>38</v>
      </c>
      <c r="C3283" s="86"/>
      <c r="D3283" s="31" t="s">
        <v>39</v>
      </c>
      <c r="E3283" s="205" t="s">
        <v>40</v>
      </c>
      <c r="F3283" s="19" t="s">
        <v>41</v>
      </c>
      <c r="G3283" s="31" t="s">
        <v>24</v>
      </c>
      <c r="H3283" s="204" t="s">
        <v>25</v>
      </c>
      <c r="I3283" s="43"/>
    </row>
    <row r="3284" spans="2:9" x14ac:dyDescent="0.15">
      <c r="B3284" s="4" t="s">
        <v>65</v>
      </c>
      <c r="C3284" s="24"/>
      <c r="D3284" s="32">
        <f>'MANO DE OBRA'!E15</f>
        <v>95333</v>
      </c>
      <c r="E3284" s="88">
        <v>1.75</v>
      </c>
      <c r="F3284" s="162">
        <f>+E3284*D3284</f>
        <v>166832.75</v>
      </c>
      <c r="G3284" s="79">
        <v>25</v>
      </c>
      <c r="H3284" s="167">
        <f>+F3284/G3284</f>
        <v>6673.31</v>
      </c>
      <c r="I3284" s="44"/>
    </row>
    <row r="3285" spans="2:9" x14ac:dyDescent="0.15">
      <c r="B3285" s="80" t="s">
        <v>55</v>
      </c>
      <c r="C3285" s="24"/>
      <c r="D3285" s="32">
        <f>'MANO DE OBRA'!E14*2</f>
        <v>104000</v>
      </c>
      <c r="E3285" s="88">
        <v>1.75</v>
      </c>
      <c r="F3285" s="162">
        <f>+E3285*D3285</f>
        <v>182000</v>
      </c>
      <c r="G3285" s="79">
        <v>25</v>
      </c>
      <c r="H3285" s="167">
        <f>+F3285/G3285</f>
        <v>7280</v>
      </c>
      <c r="I3285" s="44"/>
    </row>
    <row r="3286" spans="2:9" ht="14" thickBot="1" x14ac:dyDescent="0.2">
      <c r="B3286" s="33"/>
      <c r="C3286" s="34"/>
      <c r="D3286" s="22"/>
      <c r="E3286" s="21"/>
      <c r="F3286" s="22"/>
      <c r="G3286" s="23"/>
      <c r="H3286" s="47"/>
      <c r="I3286" s="48"/>
    </row>
    <row r="3287" spans="2:9" ht="14" thickBot="1" x14ac:dyDescent="0.2">
      <c r="B3287" s="1"/>
      <c r="C3287" s="1"/>
      <c r="D3287" s="1"/>
      <c r="E3287" s="1"/>
      <c r="F3287" s="1"/>
      <c r="G3287" s="1"/>
      <c r="H3287" s="37" t="s">
        <v>26</v>
      </c>
      <c r="I3287" s="175">
        <f>SUM(H3284:H3286)</f>
        <v>13953.310000000001</v>
      </c>
    </row>
    <row r="3288" spans="2:9" ht="14" thickBot="1" x14ac:dyDescent="0.2">
      <c r="B3288" s="1"/>
      <c r="C3288" s="1"/>
      <c r="D3288" s="1"/>
      <c r="E3288" s="1"/>
      <c r="F3288" s="1"/>
      <c r="G3288" s="1"/>
      <c r="H3288" s="61"/>
      <c r="I3288" s="1"/>
    </row>
    <row r="3289" spans="2:9" ht="15" thickBot="1" x14ac:dyDescent="0.2">
      <c r="B3289" s="1"/>
      <c r="C3289" s="1"/>
      <c r="D3289" s="1"/>
      <c r="E3289" s="1"/>
      <c r="F3289" s="35" t="s">
        <v>43</v>
      </c>
      <c r="G3289" s="16"/>
      <c r="H3289" s="16"/>
      <c r="I3289" s="325">
        <f>ROUND((I3265+I3275+I3281+I3287),0)</f>
        <v>40300</v>
      </c>
    </row>
    <row r="3290" spans="2:9" x14ac:dyDescent="0.15">
      <c r="B3290" s="12"/>
      <c r="C3290" s="12"/>
      <c r="D3290" s="1"/>
      <c r="E3290" s="1"/>
      <c r="F3290" s="1"/>
      <c r="G3290" s="1"/>
      <c r="H3290" s="170"/>
      <c r="I3290" s="170"/>
    </row>
    <row r="3291" spans="2:9" x14ac:dyDescent="0.15">
      <c r="B3291" s="16"/>
      <c r="C3291" s="16"/>
      <c r="D3291" s="16"/>
      <c r="E3291" s="16"/>
      <c r="F3291" s="16"/>
      <c r="G3291" s="61"/>
      <c r="H3291" s="171"/>
      <c r="I3291" s="170"/>
    </row>
    <row r="3292" spans="2:9" x14ac:dyDescent="0.15">
      <c r="B3292" s="1"/>
      <c r="C3292" s="1"/>
      <c r="D3292" s="1"/>
      <c r="E3292" s="1"/>
      <c r="F3292" s="1"/>
      <c r="G3292" s="159"/>
      <c r="H3292" s="170"/>
      <c r="I3292" s="170"/>
    </row>
    <row r="3293" spans="2:9" x14ac:dyDescent="0.15">
      <c r="B3293" s="1"/>
      <c r="C3293" s="1"/>
      <c r="D3293" s="1"/>
      <c r="E3293" s="1"/>
      <c r="F3293" s="1"/>
      <c r="G3293" s="159"/>
      <c r="H3293" s="170"/>
      <c r="I3293" s="170"/>
    </row>
    <row r="3294" spans="2:9" x14ac:dyDescent="0.15">
      <c r="B3294" s="1"/>
      <c r="C3294" s="1"/>
      <c r="D3294" s="1"/>
      <c r="E3294" s="1"/>
      <c r="F3294" s="1"/>
      <c r="G3294" s="159"/>
      <c r="H3294" s="170"/>
      <c r="I3294" s="170"/>
    </row>
    <row r="3295" spans="2:9" x14ac:dyDescent="0.15">
      <c r="B3295" s="1"/>
      <c r="C3295" s="1"/>
      <c r="D3295" s="1"/>
      <c r="E3295" s="1"/>
      <c r="F3295" s="1"/>
      <c r="G3295" s="1"/>
      <c r="H3295" s="37"/>
      <c r="I3295" s="170"/>
    </row>
    <row r="3296" spans="2:9" x14ac:dyDescent="0.15">
      <c r="B3296" s="1"/>
      <c r="C3296" s="1"/>
      <c r="D3296" s="1"/>
      <c r="E3296" s="1"/>
      <c r="F3296" s="1"/>
      <c r="G3296" s="1"/>
      <c r="H3296" s="37"/>
      <c r="I3296" s="170"/>
    </row>
    <row r="3297" spans="1:10" ht="14" x14ac:dyDescent="0.15">
      <c r="B3297" s="101"/>
      <c r="C3297" s="1"/>
      <c r="D3297" s="1"/>
      <c r="E3297" s="1"/>
      <c r="F3297" s="1"/>
      <c r="G3297" s="1"/>
      <c r="H3297" s="1"/>
      <c r="I3297" s="170"/>
    </row>
    <row r="3298" spans="1:10" ht="14" x14ac:dyDescent="0.15">
      <c r="B3298" s="101"/>
      <c r="C3298" s="1"/>
      <c r="D3298" s="1"/>
      <c r="E3298" s="1"/>
      <c r="F3298" s="1"/>
      <c r="G3298" s="1"/>
      <c r="H3298" s="1"/>
      <c r="I3298" s="170"/>
    </row>
    <row r="3299" spans="1:10" ht="14" x14ac:dyDescent="0.15">
      <c r="B3299" s="101"/>
      <c r="C3299" s="1"/>
      <c r="D3299" s="1"/>
      <c r="E3299" s="1"/>
      <c r="F3299" s="1"/>
      <c r="G3299" s="1"/>
      <c r="H3299" s="1"/>
      <c r="I3299" s="170"/>
    </row>
    <row r="3300" spans="1:10" ht="14" x14ac:dyDescent="0.15">
      <c r="B3300" s="101"/>
      <c r="C3300" s="1"/>
      <c r="D3300" s="1"/>
      <c r="E3300" s="1"/>
      <c r="F3300" s="1"/>
      <c r="G3300" s="1"/>
      <c r="H3300" s="1"/>
      <c r="I3300" s="170"/>
    </row>
    <row r="3301" spans="1:10" ht="14" x14ac:dyDescent="0.15">
      <c r="B3301" s="101"/>
      <c r="C3301" s="1"/>
      <c r="D3301" s="1"/>
      <c r="E3301" s="1"/>
      <c r="F3301" s="1"/>
      <c r="G3301" s="1"/>
      <c r="H3301" s="1"/>
      <c r="I3301" s="170"/>
    </row>
    <row r="3302" spans="1:10" ht="14" x14ac:dyDescent="0.15">
      <c r="B3302" s="83"/>
      <c r="C3302" s="11"/>
      <c r="D3302" s="1"/>
      <c r="E3302" s="637"/>
      <c r="F3302" s="637"/>
      <c r="G3302" s="637"/>
      <c r="H3302" s="637"/>
      <c r="I3302" s="169"/>
    </row>
    <row r="3303" spans="1:10" x14ac:dyDescent="0.15">
      <c r="B3303" s="11"/>
      <c r="C3303" s="11"/>
      <c r="D3303" s="1"/>
      <c r="E3303" s="153"/>
      <c r="F3303" s="153"/>
      <c r="G3303" s="153"/>
      <c r="H3303" s="153"/>
      <c r="I3303" s="169"/>
    </row>
    <row r="3304" spans="1:10" ht="14" x14ac:dyDescent="0.15">
      <c r="A3304" s="85"/>
      <c r="B3304" s="101"/>
      <c r="C3304" s="83"/>
      <c r="D3304" s="84"/>
      <c r="E3304" s="83"/>
      <c r="F3304" s="158"/>
      <c r="G3304" s="155"/>
      <c r="H3304" s="83"/>
      <c r="I3304" s="83"/>
      <c r="J3304" s="85"/>
    </row>
    <row r="3305" spans="1:10" ht="14" x14ac:dyDescent="0.15">
      <c r="A3305" s="85"/>
      <c r="B3305" s="101"/>
      <c r="C3305" s="83"/>
      <c r="D3305" s="84"/>
      <c r="E3305" s="83"/>
      <c r="F3305" s="158"/>
      <c r="G3305" s="155"/>
      <c r="H3305" s="83"/>
      <c r="I3305" s="83"/>
      <c r="J3305" s="85"/>
    </row>
    <row r="3306" spans="1:10" ht="14" x14ac:dyDescent="0.15">
      <c r="A3306" s="85"/>
      <c r="B3306" s="83"/>
      <c r="C3306" s="83"/>
      <c r="D3306" s="84"/>
      <c r="E3306" s="83"/>
      <c r="F3306" s="154"/>
      <c r="G3306" s="155"/>
      <c r="H3306" s="156"/>
      <c r="I3306" s="157"/>
      <c r="J3306" s="85"/>
    </row>
    <row r="3307" spans="1:10" ht="14" x14ac:dyDescent="0.15">
      <c r="A3307" s="85"/>
      <c r="B3307" s="83"/>
      <c r="C3307" s="83"/>
      <c r="D3307" s="84"/>
      <c r="E3307" s="83"/>
      <c r="F3307" s="154"/>
      <c r="G3307" s="155"/>
      <c r="H3307" s="156"/>
      <c r="I3307" s="157"/>
      <c r="J3307" s="85"/>
    </row>
    <row r="3308" spans="1:10" ht="14" x14ac:dyDescent="0.15">
      <c r="B3308" s="83"/>
      <c r="C3308" s="11"/>
      <c r="D3308" s="11"/>
      <c r="E3308" s="11"/>
      <c r="F3308" s="691"/>
      <c r="G3308" s="691"/>
      <c r="H3308" s="691"/>
      <c r="I3308" s="691"/>
    </row>
    <row r="3309" spans="1:10" ht="14" thickBot="1" x14ac:dyDescent="0.2"/>
    <row r="3310" spans="1:10" ht="21" customHeight="1" x14ac:dyDescent="0.15">
      <c r="B3310" s="607" t="s">
        <v>1065</v>
      </c>
      <c r="C3310" s="608"/>
      <c r="D3310" s="608"/>
      <c r="E3310" s="608"/>
      <c r="F3310" s="609"/>
      <c r="G3310" s="1"/>
      <c r="H3310" s="638" t="s">
        <v>20</v>
      </c>
      <c r="I3310" s="639"/>
    </row>
    <row r="3311" spans="1:10" ht="16.5" customHeight="1" x14ac:dyDescent="0.15">
      <c r="B3311" s="604" t="s">
        <v>446</v>
      </c>
      <c r="C3311" s="605"/>
      <c r="D3311" s="605"/>
      <c r="E3311" s="605"/>
      <c r="F3311" s="606"/>
      <c r="G3311" s="63"/>
      <c r="H3311" s="640"/>
      <c r="I3311" s="641"/>
    </row>
    <row r="3312" spans="1:10" ht="12.75" customHeight="1" x14ac:dyDescent="0.15">
      <c r="B3312" s="610" t="s">
        <v>447</v>
      </c>
      <c r="C3312" s="611"/>
      <c r="D3312" s="611"/>
      <c r="E3312" s="611"/>
      <c r="F3312" s="612"/>
      <c r="G3312" s="63"/>
      <c r="H3312" s="642"/>
      <c r="I3312" s="643"/>
    </row>
    <row r="3313" spans="2:9" ht="16.5" customHeight="1" thickBot="1" x14ac:dyDescent="0.2">
      <c r="B3313" s="613"/>
      <c r="C3313" s="614"/>
      <c r="D3313" s="614"/>
      <c r="E3313" s="614"/>
      <c r="F3313" s="615"/>
      <c r="G3313" s="1"/>
      <c r="H3313" s="676" t="s">
        <v>1011</v>
      </c>
      <c r="I3313" s="716"/>
    </row>
    <row r="3314" spans="2:9" ht="14" thickBot="1" x14ac:dyDescent="0.2">
      <c r="B3314" s="15"/>
      <c r="C3314" s="16"/>
      <c r="D3314" s="1"/>
      <c r="E3314" s="1"/>
      <c r="F3314" s="1"/>
      <c r="G3314" s="1"/>
      <c r="H3314" s="717"/>
      <c r="I3314" s="718"/>
    </row>
    <row r="3315" spans="2:9" ht="12.75" customHeight="1" x14ac:dyDescent="0.15">
      <c r="B3315" s="650" t="s">
        <v>890</v>
      </c>
      <c r="C3315" s="651"/>
      <c r="D3315" s="651"/>
      <c r="E3315" s="651"/>
      <c r="F3315" s="652"/>
      <c r="G3315" s="1"/>
      <c r="H3315" s="717"/>
      <c r="I3315" s="718"/>
    </row>
    <row r="3316" spans="2:9" ht="12.75" customHeight="1" x14ac:dyDescent="0.15">
      <c r="B3316" s="653"/>
      <c r="C3316" s="654"/>
      <c r="D3316" s="654"/>
      <c r="E3316" s="654"/>
      <c r="F3316" s="655"/>
      <c r="H3316" s="717"/>
      <c r="I3316" s="718"/>
    </row>
    <row r="3317" spans="2:9" ht="13.5" customHeight="1" x14ac:dyDescent="0.15">
      <c r="B3317" s="653"/>
      <c r="C3317" s="654"/>
      <c r="D3317" s="654"/>
      <c r="E3317" s="654"/>
      <c r="F3317" s="655"/>
      <c r="G3317" s="11"/>
      <c r="H3317" s="719"/>
      <c r="I3317" s="720"/>
    </row>
    <row r="3318" spans="2:9" ht="21.75" customHeight="1" thickBot="1" x14ac:dyDescent="0.2">
      <c r="B3318" s="656"/>
      <c r="C3318" s="657"/>
      <c r="D3318" s="657"/>
      <c r="E3318" s="657"/>
      <c r="F3318" s="658"/>
      <c r="H3318" s="64" t="s">
        <v>45</v>
      </c>
      <c r="I3318" s="17" t="s">
        <v>193</v>
      </c>
    </row>
    <row r="3319" spans="2:9" x14ac:dyDescent="0.15">
      <c r="B3319" s="18"/>
      <c r="C3319" s="18"/>
      <c r="D3319" s="1"/>
      <c r="E3319" s="18"/>
      <c r="F3319" s="18"/>
      <c r="G3319" s="18"/>
      <c r="H3319" s="18"/>
      <c r="I3319" s="1"/>
    </row>
    <row r="3320" spans="2:9" ht="14" thickBot="1" x14ac:dyDescent="0.2">
      <c r="B3320" s="12" t="s">
        <v>21</v>
      </c>
      <c r="C3320" s="12"/>
      <c r="D3320" s="1"/>
      <c r="E3320" s="1"/>
      <c r="F3320" s="1"/>
      <c r="G3320" s="1"/>
      <c r="H3320" s="1"/>
      <c r="I3320" s="1"/>
    </row>
    <row r="3321" spans="2:9" x14ac:dyDescent="0.15">
      <c r="B3321" s="628" t="s">
        <v>22</v>
      </c>
      <c r="C3321" s="629"/>
      <c r="D3321" s="630"/>
      <c r="E3321" s="205" t="s">
        <v>23</v>
      </c>
      <c r="F3321" s="19" t="s">
        <v>47</v>
      </c>
      <c r="G3321" s="205" t="s">
        <v>24</v>
      </c>
      <c r="H3321" s="204" t="s">
        <v>25</v>
      </c>
      <c r="I3321" s="43"/>
    </row>
    <row r="3322" spans="2:9" x14ac:dyDescent="0.15">
      <c r="B3322" s="631" t="s">
        <v>56</v>
      </c>
      <c r="C3322" s="632"/>
      <c r="D3322" s="633"/>
      <c r="E3322" s="5"/>
      <c r="F3322" s="160"/>
      <c r="G3322" s="58"/>
      <c r="H3322" s="160">
        <f>I3346*0.05</f>
        <v>697.66550000000007</v>
      </c>
      <c r="I3322" s="44"/>
    </row>
    <row r="3323" spans="2:9" ht="14" thickBot="1" x14ac:dyDescent="0.2">
      <c r="B3323" s="634"/>
      <c r="C3323" s="635"/>
      <c r="D3323" s="636"/>
      <c r="E3323" s="21"/>
      <c r="F3323" s="22"/>
      <c r="G3323" s="23"/>
      <c r="H3323" s="47"/>
      <c r="I3323" s="48"/>
    </row>
    <row r="3324" spans="2:9" ht="14" thickBot="1" x14ac:dyDescent="0.2">
      <c r="B3324" s="1"/>
      <c r="C3324" s="1"/>
      <c r="D3324" s="1"/>
      <c r="E3324" s="1"/>
      <c r="F3324" s="1"/>
      <c r="G3324" s="1"/>
      <c r="H3324" s="37" t="s">
        <v>26</v>
      </c>
      <c r="I3324" s="161">
        <f>SUM(H3322:H3323)</f>
        <v>697.66550000000007</v>
      </c>
    </row>
    <row r="3325" spans="2:9" ht="14" thickBot="1" x14ac:dyDescent="0.2">
      <c r="B3325" s="12" t="s">
        <v>27</v>
      </c>
      <c r="C3325" s="12"/>
      <c r="D3325" s="1"/>
      <c r="E3325" s="1"/>
      <c r="F3325" s="1"/>
      <c r="G3325" s="1"/>
      <c r="H3325" s="1"/>
      <c r="I3325" s="1"/>
    </row>
    <row r="3326" spans="2:9" x14ac:dyDescent="0.15">
      <c r="B3326" s="628" t="s">
        <v>22</v>
      </c>
      <c r="C3326" s="629"/>
      <c r="D3326" s="630"/>
      <c r="E3326" s="205" t="s">
        <v>28</v>
      </c>
      <c r="F3326" s="205" t="s">
        <v>29</v>
      </c>
      <c r="G3326" s="205" t="s">
        <v>30</v>
      </c>
      <c r="H3326" s="204" t="s">
        <v>25</v>
      </c>
      <c r="I3326" s="43"/>
    </row>
    <row r="3327" spans="2:9" x14ac:dyDescent="0.15">
      <c r="B3327" s="4" t="s">
        <v>289</v>
      </c>
      <c r="C3327" s="24"/>
      <c r="D3327" s="6"/>
      <c r="E3327" s="3" t="s">
        <v>193</v>
      </c>
      <c r="F3327" s="162">
        <f>MATERIALES!C85</f>
        <v>11650</v>
      </c>
      <c r="G3327" s="65">
        <v>1</v>
      </c>
      <c r="H3327" s="163">
        <f t="shared" ref="H3327:H3332" si="22">G3327*F3327</f>
        <v>11650</v>
      </c>
      <c r="I3327" s="44"/>
    </row>
    <row r="3328" spans="2:9" x14ac:dyDescent="0.15">
      <c r="B3328" s="4" t="s">
        <v>290</v>
      </c>
      <c r="C3328" s="24"/>
      <c r="D3328" s="6"/>
      <c r="E3328" s="3" t="s">
        <v>316</v>
      </c>
      <c r="F3328" s="162">
        <f>MATERIALES!C86</f>
        <v>4050</v>
      </c>
      <c r="G3328" s="65">
        <v>7.4999999999999997E-2</v>
      </c>
      <c r="H3328" s="163">
        <f t="shared" si="22"/>
        <v>303.75</v>
      </c>
      <c r="I3328" s="44"/>
    </row>
    <row r="3329" spans="2:9" x14ac:dyDescent="0.15">
      <c r="B3329" s="4" t="s">
        <v>291</v>
      </c>
      <c r="C3329" s="24"/>
      <c r="D3329" s="6"/>
      <c r="E3329" s="3" t="s">
        <v>316</v>
      </c>
      <c r="F3329" s="162">
        <f>MATERIALES!C87</f>
        <v>3990</v>
      </c>
      <c r="G3329" s="65">
        <v>7.4999999999999997E-2</v>
      </c>
      <c r="H3329" s="163">
        <f t="shared" si="22"/>
        <v>299.25</v>
      </c>
      <c r="I3329" s="44"/>
    </row>
    <row r="3330" spans="2:9" x14ac:dyDescent="0.15">
      <c r="B3330" s="4" t="s">
        <v>834</v>
      </c>
      <c r="C3330" s="24"/>
      <c r="D3330" s="6"/>
      <c r="E3330" s="3" t="s">
        <v>316</v>
      </c>
      <c r="F3330" s="162">
        <f>MATERIALES!C88</f>
        <v>2086</v>
      </c>
      <c r="G3330" s="65">
        <v>7.4999999999999997E-2</v>
      </c>
      <c r="H3330" s="163">
        <f t="shared" si="22"/>
        <v>156.44999999999999</v>
      </c>
      <c r="I3330" s="44"/>
    </row>
    <row r="3331" spans="2:9" x14ac:dyDescent="0.15">
      <c r="B3331" s="4" t="s">
        <v>835</v>
      </c>
      <c r="C3331" s="24"/>
      <c r="D3331" s="6"/>
      <c r="E3331" s="3" t="s">
        <v>316</v>
      </c>
      <c r="F3331" s="162">
        <f>MATERIALES!C89</f>
        <v>12460</v>
      </c>
      <c r="G3331" s="65">
        <v>7.4999999999999997E-2</v>
      </c>
      <c r="H3331" s="163">
        <f t="shared" si="22"/>
        <v>934.5</v>
      </c>
      <c r="I3331" s="44"/>
    </row>
    <row r="3332" spans="2:9" x14ac:dyDescent="0.15">
      <c r="B3332" s="4" t="s">
        <v>135</v>
      </c>
      <c r="C3332" s="24"/>
      <c r="D3332" s="6"/>
      <c r="E3332" s="3" t="s">
        <v>77</v>
      </c>
      <c r="F3332" s="162">
        <f>MATERIALES!C27</f>
        <v>286200</v>
      </c>
      <c r="G3332" s="65">
        <v>0.01</v>
      </c>
      <c r="H3332" s="163">
        <f t="shared" si="22"/>
        <v>2862</v>
      </c>
      <c r="I3332" s="44"/>
    </row>
    <row r="3333" spans="2:9" ht="14" thickBot="1" x14ac:dyDescent="0.2">
      <c r="B3333" s="25"/>
      <c r="C3333" s="26"/>
      <c r="D3333" s="27"/>
      <c r="E3333" s="21"/>
      <c r="F3333" s="22"/>
      <c r="G3333" s="165"/>
      <c r="H3333" s="47"/>
      <c r="I3333" s="48"/>
    </row>
    <row r="3334" spans="2:9" ht="14" thickBot="1" x14ac:dyDescent="0.2">
      <c r="B3334" s="1"/>
      <c r="C3334" s="1"/>
      <c r="D3334" s="1"/>
      <c r="E3334" s="1"/>
      <c r="F3334" s="1"/>
      <c r="G3334" s="1"/>
      <c r="H3334" s="37" t="s">
        <v>26</v>
      </c>
      <c r="I3334" s="161">
        <f>SUM(H3327:H3333)</f>
        <v>16205.95</v>
      </c>
    </row>
    <row r="3335" spans="2:9" ht="14" thickBot="1" x14ac:dyDescent="0.2">
      <c r="B3335" s="28" t="s">
        <v>31</v>
      </c>
      <c r="C3335" s="28"/>
      <c r="D3335" s="26"/>
      <c r="E3335" s="1"/>
      <c r="F3335" s="1"/>
      <c r="G3335" s="1"/>
      <c r="H3335" s="1"/>
      <c r="I3335" s="1"/>
    </row>
    <row r="3336" spans="2:9" x14ac:dyDescent="0.15">
      <c r="B3336" s="51" t="s">
        <v>32</v>
      </c>
      <c r="C3336" s="52"/>
      <c r="D3336" s="96" t="s">
        <v>33</v>
      </c>
      <c r="E3336" s="205" t="s">
        <v>34</v>
      </c>
      <c r="F3336" s="205" t="s">
        <v>35</v>
      </c>
      <c r="G3336" s="205" t="s">
        <v>36</v>
      </c>
      <c r="H3336" s="59" t="s">
        <v>25</v>
      </c>
      <c r="I3336" s="43"/>
    </row>
    <row r="3337" spans="2:9" x14ac:dyDescent="0.15">
      <c r="B3337" s="4" t="s">
        <v>79</v>
      </c>
      <c r="C3337" s="6"/>
      <c r="D3337" s="53">
        <v>0.1</v>
      </c>
      <c r="E3337" s="2">
        <v>15</v>
      </c>
      <c r="F3337" s="2">
        <f>E3337*D3337</f>
        <v>1.5</v>
      </c>
      <c r="G3337" s="65">
        <v>1100</v>
      </c>
      <c r="H3337" s="20">
        <f>G3337*F3337</f>
        <v>1650</v>
      </c>
      <c r="I3337" s="44"/>
    </row>
    <row r="3338" spans="2:9" x14ac:dyDescent="0.15">
      <c r="B3338" s="106"/>
      <c r="C3338" s="66"/>
      <c r="D3338" s="67"/>
      <c r="E3338" s="68"/>
      <c r="F3338" s="68"/>
      <c r="G3338" s="69"/>
      <c r="H3338" s="65"/>
      <c r="I3338" s="44"/>
    </row>
    <row r="3339" spans="2:9" ht="14" thickBot="1" x14ac:dyDescent="0.2">
      <c r="B3339" s="33"/>
      <c r="C3339" s="54"/>
      <c r="D3339" s="21"/>
      <c r="E3339" s="22"/>
      <c r="F3339" s="23"/>
      <c r="G3339" s="47"/>
      <c r="H3339" s="21"/>
      <c r="I3339" s="48"/>
    </row>
    <row r="3340" spans="2:9" ht="14" thickBot="1" x14ac:dyDescent="0.2">
      <c r="B3340" s="1"/>
      <c r="C3340" s="1"/>
      <c r="D3340" s="1"/>
      <c r="E3340" s="1"/>
      <c r="F3340" s="1"/>
      <c r="G3340" s="1"/>
      <c r="H3340" s="37" t="s">
        <v>26</v>
      </c>
      <c r="I3340" s="161">
        <f>SUM(H3337:H3339)</f>
        <v>1650</v>
      </c>
    </row>
    <row r="3341" spans="2:9" ht="14" thickBot="1" x14ac:dyDescent="0.2">
      <c r="B3341" s="28" t="s">
        <v>37</v>
      </c>
      <c r="C3341" s="28"/>
      <c r="D3341" s="1"/>
      <c r="E3341" s="1"/>
      <c r="F3341" s="1"/>
      <c r="G3341" s="1"/>
      <c r="H3341" s="1"/>
      <c r="I3341" s="1"/>
    </row>
    <row r="3342" spans="2:9" x14ac:dyDescent="0.15">
      <c r="B3342" s="51" t="s">
        <v>38</v>
      </c>
      <c r="C3342" s="86"/>
      <c r="D3342" s="31" t="s">
        <v>39</v>
      </c>
      <c r="E3342" s="205" t="s">
        <v>40</v>
      </c>
      <c r="F3342" s="19" t="s">
        <v>41</v>
      </c>
      <c r="G3342" s="31" t="s">
        <v>24</v>
      </c>
      <c r="H3342" s="204" t="s">
        <v>25</v>
      </c>
      <c r="I3342" s="43"/>
    </row>
    <row r="3343" spans="2:9" x14ac:dyDescent="0.15">
      <c r="B3343" s="4" t="s">
        <v>65</v>
      </c>
      <c r="C3343" s="24"/>
      <c r="D3343" s="32">
        <f>'MANO DE OBRA'!E15</f>
        <v>95333</v>
      </c>
      <c r="E3343" s="88">
        <v>1.75</v>
      </c>
      <c r="F3343" s="162">
        <f>+E3343*D3343</f>
        <v>166832.75</v>
      </c>
      <c r="G3343" s="79">
        <v>25</v>
      </c>
      <c r="H3343" s="167">
        <f>+F3343/G3343</f>
        <v>6673.31</v>
      </c>
      <c r="I3343" s="44"/>
    </row>
    <row r="3344" spans="2:9" x14ac:dyDescent="0.15">
      <c r="B3344" s="80" t="s">
        <v>55</v>
      </c>
      <c r="C3344" s="24"/>
      <c r="D3344" s="32">
        <f>'MANO DE OBRA'!E14*2</f>
        <v>104000</v>
      </c>
      <c r="E3344" s="88">
        <v>1.75</v>
      </c>
      <c r="F3344" s="162">
        <f>+E3344*D3344</f>
        <v>182000</v>
      </c>
      <c r="G3344" s="79">
        <v>25</v>
      </c>
      <c r="H3344" s="167">
        <f>+F3344/G3344</f>
        <v>7280</v>
      </c>
      <c r="I3344" s="44"/>
    </row>
    <row r="3345" spans="2:9" ht="14" thickBot="1" x14ac:dyDescent="0.2">
      <c r="B3345" s="33"/>
      <c r="C3345" s="34"/>
      <c r="D3345" s="22"/>
      <c r="E3345" s="21"/>
      <c r="F3345" s="22"/>
      <c r="G3345" s="23"/>
      <c r="H3345" s="47"/>
      <c r="I3345" s="48"/>
    </row>
    <row r="3346" spans="2:9" ht="14" thickBot="1" x14ac:dyDescent="0.2">
      <c r="B3346" s="1"/>
      <c r="C3346" s="1"/>
      <c r="D3346" s="1"/>
      <c r="E3346" s="1"/>
      <c r="F3346" s="1"/>
      <c r="G3346" s="1"/>
      <c r="H3346" s="37" t="s">
        <v>26</v>
      </c>
      <c r="I3346" s="175">
        <f>SUM(H3343:H3345)</f>
        <v>13953.310000000001</v>
      </c>
    </row>
    <row r="3347" spans="2:9" ht="14" thickBot="1" x14ac:dyDescent="0.2">
      <c r="B3347" s="1"/>
      <c r="C3347" s="1"/>
      <c r="D3347" s="1"/>
      <c r="E3347" s="1"/>
      <c r="F3347" s="1"/>
      <c r="G3347" s="1"/>
      <c r="H3347" s="61"/>
      <c r="I3347" s="1"/>
    </row>
    <row r="3348" spans="2:9" ht="15" thickBot="1" x14ac:dyDescent="0.2">
      <c r="B3348" s="1"/>
      <c r="C3348" s="1"/>
      <c r="D3348" s="1"/>
      <c r="E3348" s="1"/>
      <c r="F3348" s="35" t="s">
        <v>43</v>
      </c>
      <c r="G3348" s="16"/>
      <c r="H3348" s="16"/>
      <c r="I3348" s="325">
        <f>ROUND((I3324+I3334+I3340+I3346),0)</f>
        <v>32507</v>
      </c>
    </row>
    <row r="3349" spans="2:9" x14ac:dyDescent="0.15">
      <c r="B3349" s="12"/>
      <c r="C3349" s="12"/>
      <c r="D3349" s="1"/>
      <c r="E3349" s="1"/>
      <c r="F3349" s="1"/>
      <c r="G3349" s="1"/>
      <c r="H3349" s="170"/>
      <c r="I3349" s="170"/>
    </row>
    <row r="3350" spans="2:9" x14ac:dyDescent="0.15">
      <c r="B3350" s="16"/>
      <c r="C3350" s="16"/>
      <c r="D3350" s="16"/>
      <c r="E3350" s="16"/>
      <c r="F3350" s="16"/>
      <c r="G3350" s="61"/>
      <c r="H3350" s="171"/>
      <c r="I3350" s="170"/>
    </row>
    <row r="3351" spans="2:9" x14ac:dyDescent="0.15">
      <c r="B3351" s="1"/>
      <c r="C3351" s="1"/>
      <c r="D3351" s="1"/>
      <c r="E3351" s="1"/>
      <c r="F3351" s="1"/>
      <c r="G3351" s="159"/>
      <c r="H3351" s="170"/>
      <c r="I3351" s="170"/>
    </row>
    <row r="3352" spans="2:9" x14ac:dyDescent="0.15">
      <c r="B3352" s="1"/>
      <c r="C3352" s="1"/>
      <c r="D3352" s="1"/>
      <c r="E3352" s="1"/>
      <c r="F3352" s="1"/>
      <c r="G3352" s="159"/>
      <c r="H3352" s="170"/>
      <c r="I3352" s="170"/>
    </row>
    <row r="3353" spans="2:9" x14ac:dyDescent="0.15">
      <c r="B3353" s="1"/>
      <c r="C3353" s="1"/>
      <c r="D3353" s="1"/>
      <c r="E3353" s="1"/>
      <c r="F3353" s="1"/>
      <c r="G3353" s="159"/>
      <c r="H3353" s="170"/>
      <c r="I3353" s="170"/>
    </row>
    <row r="3354" spans="2:9" x14ac:dyDescent="0.15">
      <c r="B3354" s="1"/>
      <c r="C3354" s="1"/>
      <c r="D3354" s="1"/>
      <c r="E3354" s="1"/>
      <c r="F3354" s="1"/>
      <c r="G3354" s="159"/>
      <c r="H3354" s="170"/>
      <c r="I3354" s="170"/>
    </row>
    <row r="3355" spans="2:9" x14ac:dyDescent="0.15">
      <c r="B3355" s="1"/>
      <c r="C3355" s="1"/>
      <c r="D3355" s="1"/>
      <c r="E3355" s="1"/>
      <c r="F3355" s="1"/>
      <c r="G3355" s="1"/>
      <c r="H3355" s="37"/>
      <c r="I3355" s="170"/>
    </row>
    <row r="3356" spans="2:9" ht="14" x14ac:dyDescent="0.15">
      <c r="B3356" s="101"/>
      <c r="C3356" s="1"/>
      <c r="D3356" s="1"/>
      <c r="E3356" s="1"/>
      <c r="F3356" s="1"/>
      <c r="G3356" s="1"/>
      <c r="H3356" s="1"/>
      <c r="I3356" s="170"/>
    </row>
    <row r="3357" spans="2:9" ht="14" x14ac:dyDescent="0.15">
      <c r="B3357" s="83"/>
      <c r="C3357" s="11"/>
      <c r="D3357" s="1"/>
      <c r="E3357" s="637"/>
      <c r="F3357" s="637"/>
      <c r="G3357" s="637"/>
      <c r="H3357" s="637"/>
      <c r="I3357" s="169"/>
    </row>
    <row r="3358" spans="2:9" ht="14" x14ac:dyDescent="0.15">
      <c r="B3358" s="83"/>
      <c r="C3358" s="11"/>
      <c r="D3358" s="1"/>
      <c r="E3358" s="153"/>
      <c r="F3358" s="153"/>
      <c r="G3358" s="153"/>
      <c r="H3358" s="153"/>
      <c r="I3358" s="169"/>
    </row>
    <row r="3359" spans="2:9" ht="14" x14ac:dyDescent="0.15">
      <c r="B3359" s="83"/>
      <c r="C3359" s="11"/>
      <c r="D3359" s="1"/>
      <c r="E3359" s="153"/>
      <c r="F3359" s="153"/>
      <c r="G3359" s="153"/>
      <c r="H3359" s="153"/>
      <c r="I3359" s="169"/>
    </row>
    <row r="3360" spans="2:9" ht="14" x14ac:dyDescent="0.15">
      <c r="B3360" s="83"/>
      <c r="C3360" s="11"/>
      <c r="D3360" s="1"/>
      <c r="E3360" s="153"/>
      <c r="F3360" s="153"/>
      <c r="G3360" s="153"/>
      <c r="H3360" s="153"/>
      <c r="I3360" s="169"/>
    </row>
    <row r="3361" spans="1:10" ht="14" x14ac:dyDescent="0.15">
      <c r="B3361" s="83"/>
      <c r="C3361" s="11"/>
      <c r="D3361" s="1"/>
      <c r="E3361" s="153"/>
      <c r="F3361" s="153"/>
      <c r="G3361" s="153"/>
      <c r="H3361" s="153"/>
      <c r="I3361" s="169"/>
    </row>
    <row r="3362" spans="1:10" ht="14" x14ac:dyDescent="0.15">
      <c r="B3362" s="83"/>
      <c r="C3362" s="11"/>
      <c r="D3362" s="1"/>
      <c r="E3362" s="153"/>
      <c r="F3362" s="153"/>
      <c r="G3362" s="153"/>
      <c r="H3362" s="153"/>
      <c r="I3362" s="169"/>
    </row>
    <row r="3363" spans="1:10" x14ac:dyDescent="0.15">
      <c r="B3363" s="11"/>
      <c r="C3363" s="11"/>
      <c r="D3363" s="1"/>
      <c r="E3363" s="153"/>
      <c r="F3363" s="153"/>
      <c r="G3363" s="153"/>
      <c r="H3363" s="153"/>
      <c r="I3363" s="169"/>
    </row>
    <row r="3364" spans="1:10" x14ac:dyDescent="0.15">
      <c r="B3364" s="11"/>
      <c r="C3364" s="11"/>
      <c r="D3364" s="1"/>
      <c r="E3364" s="153"/>
      <c r="F3364" s="153"/>
      <c r="G3364" s="153"/>
      <c r="H3364" s="153"/>
      <c r="I3364" s="169"/>
    </row>
    <row r="3365" spans="1:10" x14ac:dyDescent="0.15">
      <c r="B3365" s="11"/>
      <c r="C3365" s="11"/>
      <c r="D3365" s="1"/>
      <c r="E3365" s="153"/>
      <c r="F3365" s="153"/>
      <c r="G3365" s="153"/>
      <c r="H3365" s="153"/>
      <c r="I3365" s="169"/>
    </row>
    <row r="3366" spans="1:10" ht="14" x14ac:dyDescent="0.15">
      <c r="A3366" s="85"/>
      <c r="B3366" s="101"/>
      <c r="C3366" s="83"/>
      <c r="D3366" s="84"/>
      <c r="E3366" s="83"/>
      <c r="F3366" s="158"/>
      <c r="G3366" s="155"/>
      <c r="H3366" s="83"/>
      <c r="I3366" s="83"/>
      <c r="J3366" s="85"/>
    </row>
    <row r="3367" spans="1:10" ht="14" x14ac:dyDescent="0.15">
      <c r="A3367" s="85"/>
      <c r="B3367" s="83"/>
      <c r="C3367" s="83"/>
      <c r="D3367" s="84"/>
      <c r="E3367" s="83"/>
      <c r="F3367" s="154"/>
      <c r="G3367" s="155"/>
      <c r="H3367" s="156"/>
      <c r="I3367" s="157"/>
      <c r="J3367" s="85"/>
    </row>
    <row r="3368" spans="1:10" ht="14" x14ac:dyDescent="0.15">
      <c r="B3368" s="83"/>
      <c r="C3368" s="11"/>
      <c r="D3368" s="11"/>
      <c r="E3368" s="11"/>
      <c r="F3368" s="691"/>
      <c r="G3368" s="691"/>
      <c r="H3368" s="691"/>
      <c r="I3368" s="691"/>
    </row>
    <row r="3369" spans="1:10" ht="14" thickBot="1" x14ac:dyDescent="0.2"/>
    <row r="3370" spans="1:10" ht="21" customHeight="1" x14ac:dyDescent="0.15">
      <c r="B3370" s="607" t="s">
        <v>1065</v>
      </c>
      <c r="C3370" s="608"/>
      <c r="D3370" s="608"/>
      <c r="E3370" s="608"/>
      <c r="F3370" s="609"/>
      <c r="G3370" s="1"/>
      <c r="H3370" s="638" t="s">
        <v>20</v>
      </c>
      <c r="I3370" s="639"/>
    </row>
    <row r="3371" spans="1:10" ht="16.5" customHeight="1" x14ac:dyDescent="0.15">
      <c r="B3371" s="604" t="s">
        <v>446</v>
      </c>
      <c r="C3371" s="605"/>
      <c r="D3371" s="605"/>
      <c r="E3371" s="605"/>
      <c r="F3371" s="606"/>
      <c r="G3371" s="63"/>
      <c r="H3371" s="640"/>
      <c r="I3371" s="641"/>
    </row>
    <row r="3372" spans="1:10" ht="12.75" customHeight="1" x14ac:dyDescent="0.15">
      <c r="B3372" s="610" t="s">
        <v>447</v>
      </c>
      <c r="C3372" s="611"/>
      <c r="D3372" s="611"/>
      <c r="E3372" s="611"/>
      <c r="F3372" s="612"/>
      <c r="G3372" s="63"/>
      <c r="H3372" s="642"/>
      <c r="I3372" s="643"/>
    </row>
    <row r="3373" spans="1:10" ht="16.5" customHeight="1" thickBot="1" x14ac:dyDescent="0.2">
      <c r="B3373" s="613"/>
      <c r="C3373" s="614"/>
      <c r="D3373" s="614"/>
      <c r="E3373" s="614"/>
      <c r="F3373" s="615"/>
      <c r="G3373" s="1"/>
      <c r="H3373" s="676" t="s">
        <v>1012</v>
      </c>
      <c r="I3373" s="716"/>
    </row>
    <row r="3374" spans="1:10" ht="14" thickBot="1" x14ac:dyDescent="0.2">
      <c r="B3374" s="15"/>
      <c r="C3374" s="16"/>
      <c r="D3374" s="1"/>
      <c r="E3374" s="1"/>
      <c r="F3374" s="1"/>
      <c r="G3374" s="1"/>
      <c r="H3374" s="717"/>
      <c r="I3374" s="718"/>
    </row>
    <row r="3375" spans="1:10" ht="12.75" customHeight="1" x14ac:dyDescent="0.15">
      <c r="B3375" s="650" t="s">
        <v>890</v>
      </c>
      <c r="C3375" s="651"/>
      <c r="D3375" s="651"/>
      <c r="E3375" s="651"/>
      <c r="F3375" s="652"/>
      <c r="G3375" s="1"/>
      <c r="H3375" s="717"/>
      <c r="I3375" s="718"/>
    </row>
    <row r="3376" spans="1:10" ht="12.75" customHeight="1" x14ac:dyDescent="0.15">
      <c r="B3376" s="653"/>
      <c r="C3376" s="654"/>
      <c r="D3376" s="654"/>
      <c r="E3376" s="654"/>
      <c r="F3376" s="655"/>
      <c r="H3376" s="717"/>
      <c r="I3376" s="718"/>
    </row>
    <row r="3377" spans="2:9" ht="13.5" customHeight="1" x14ac:dyDescent="0.15">
      <c r="B3377" s="653"/>
      <c r="C3377" s="654"/>
      <c r="D3377" s="654"/>
      <c r="E3377" s="654"/>
      <c r="F3377" s="655"/>
      <c r="G3377" s="11"/>
      <c r="H3377" s="719"/>
      <c r="I3377" s="720"/>
    </row>
    <row r="3378" spans="2:9" ht="21.75" customHeight="1" thickBot="1" x14ac:dyDescent="0.2">
      <c r="B3378" s="656"/>
      <c r="C3378" s="657"/>
      <c r="D3378" s="657"/>
      <c r="E3378" s="657"/>
      <c r="F3378" s="658"/>
      <c r="H3378" s="64" t="s">
        <v>45</v>
      </c>
      <c r="I3378" s="17" t="s">
        <v>193</v>
      </c>
    </row>
    <row r="3379" spans="2:9" x14ac:dyDescent="0.15">
      <c r="B3379" s="18"/>
      <c r="C3379" s="18"/>
      <c r="D3379" s="1"/>
      <c r="E3379" s="18"/>
      <c r="F3379" s="18"/>
      <c r="G3379" s="18"/>
      <c r="H3379" s="18"/>
      <c r="I3379" s="1"/>
    </row>
    <row r="3380" spans="2:9" ht="14" thickBot="1" x14ac:dyDescent="0.2">
      <c r="B3380" s="12" t="s">
        <v>21</v>
      </c>
      <c r="C3380" s="12"/>
      <c r="D3380" s="1"/>
      <c r="E3380" s="1"/>
      <c r="F3380" s="1"/>
      <c r="G3380" s="1"/>
      <c r="H3380" s="1"/>
      <c r="I3380" s="1"/>
    </row>
    <row r="3381" spans="2:9" x14ac:dyDescent="0.15">
      <c r="B3381" s="628" t="s">
        <v>22</v>
      </c>
      <c r="C3381" s="629"/>
      <c r="D3381" s="630"/>
      <c r="E3381" s="205" t="s">
        <v>23</v>
      </c>
      <c r="F3381" s="19" t="s">
        <v>47</v>
      </c>
      <c r="G3381" s="205" t="s">
        <v>24</v>
      </c>
      <c r="H3381" s="204" t="s">
        <v>25</v>
      </c>
      <c r="I3381" s="43"/>
    </row>
    <row r="3382" spans="2:9" x14ac:dyDescent="0.15">
      <c r="B3382" s="631" t="s">
        <v>56</v>
      </c>
      <c r="C3382" s="632"/>
      <c r="D3382" s="633"/>
      <c r="E3382" s="5"/>
      <c r="F3382" s="160"/>
      <c r="G3382" s="58"/>
      <c r="H3382" s="160">
        <f>I3406*0.05</f>
        <v>697.66550000000007</v>
      </c>
      <c r="I3382" s="44"/>
    </row>
    <row r="3383" spans="2:9" ht="14" thickBot="1" x14ac:dyDescent="0.2">
      <c r="B3383" s="634"/>
      <c r="C3383" s="635"/>
      <c r="D3383" s="636"/>
      <c r="E3383" s="21"/>
      <c r="F3383" s="22"/>
      <c r="G3383" s="23"/>
      <c r="H3383" s="47"/>
      <c r="I3383" s="48"/>
    </row>
    <row r="3384" spans="2:9" ht="14" thickBot="1" x14ac:dyDescent="0.2">
      <c r="B3384" s="1"/>
      <c r="C3384" s="1"/>
      <c r="D3384" s="1"/>
      <c r="E3384" s="1"/>
      <c r="F3384" s="1"/>
      <c r="G3384" s="1"/>
      <c r="H3384" s="37" t="s">
        <v>26</v>
      </c>
      <c r="I3384" s="161">
        <f>SUM(H3382:H3383)</f>
        <v>697.66550000000007</v>
      </c>
    </row>
    <row r="3385" spans="2:9" ht="14" thickBot="1" x14ac:dyDescent="0.2">
      <c r="B3385" s="12" t="s">
        <v>27</v>
      </c>
      <c r="C3385" s="12"/>
      <c r="D3385" s="1"/>
      <c r="E3385" s="1"/>
      <c r="F3385" s="1"/>
      <c r="G3385" s="1"/>
      <c r="H3385" s="1"/>
      <c r="I3385" s="1"/>
    </row>
    <row r="3386" spans="2:9" x14ac:dyDescent="0.15">
      <c r="B3386" s="628" t="s">
        <v>22</v>
      </c>
      <c r="C3386" s="629"/>
      <c r="D3386" s="630"/>
      <c r="E3386" s="205" t="s">
        <v>28</v>
      </c>
      <c r="F3386" s="205" t="s">
        <v>29</v>
      </c>
      <c r="G3386" s="205" t="s">
        <v>30</v>
      </c>
      <c r="H3386" s="204" t="s">
        <v>25</v>
      </c>
      <c r="I3386" s="43"/>
    </row>
    <row r="3387" spans="2:9" x14ac:dyDescent="0.15">
      <c r="B3387" s="4" t="s">
        <v>78</v>
      </c>
      <c r="C3387" s="24"/>
      <c r="D3387" s="6"/>
      <c r="E3387" s="3" t="s">
        <v>193</v>
      </c>
      <c r="F3387" s="162">
        <f>MATERIALES!C97</f>
        <v>27510</v>
      </c>
      <c r="G3387" s="65">
        <v>1</v>
      </c>
      <c r="H3387" s="163">
        <f t="shared" ref="H3387:H3392" si="23">G3387*F3387</f>
        <v>27510</v>
      </c>
      <c r="I3387" s="44"/>
    </row>
    <row r="3388" spans="2:9" x14ac:dyDescent="0.15">
      <c r="B3388" s="4" t="s">
        <v>173</v>
      </c>
      <c r="C3388" s="24"/>
      <c r="D3388" s="6"/>
      <c r="E3388" s="3" t="s">
        <v>316</v>
      </c>
      <c r="F3388" s="162">
        <f>MATERIALES!C98</f>
        <v>14280</v>
      </c>
      <c r="G3388" s="65">
        <v>7.4999999999999997E-2</v>
      </c>
      <c r="H3388" s="163">
        <f t="shared" si="23"/>
        <v>1071</v>
      </c>
      <c r="I3388" s="44"/>
    </row>
    <row r="3389" spans="2:9" x14ac:dyDescent="0.15">
      <c r="B3389" s="4" t="s">
        <v>174</v>
      </c>
      <c r="C3389" s="24"/>
      <c r="D3389" s="6"/>
      <c r="E3389" s="3" t="s">
        <v>316</v>
      </c>
      <c r="F3389" s="162">
        <f>MATERIALES!C99</f>
        <v>22260</v>
      </c>
      <c r="G3389" s="65">
        <v>7.4999999999999997E-2</v>
      </c>
      <c r="H3389" s="163">
        <f t="shared" si="23"/>
        <v>1669.5</v>
      </c>
      <c r="I3389" s="44"/>
    </row>
    <row r="3390" spans="2:9" x14ac:dyDescent="0.15">
      <c r="B3390" s="4" t="s">
        <v>175</v>
      </c>
      <c r="C3390" s="24"/>
      <c r="D3390" s="6"/>
      <c r="E3390" s="3" t="s">
        <v>316</v>
      </c>
      <c r="F3390" s="162">
        <f>MATERIALES!C100</f>
        <v>39060</v>
      </c>
      <c r="G3390" s="65">
        <v>7.4999999999999997E-2</v>
      </c>
      <c r="H3390" s="163">
        <f t="shared" si="23"/>
        <v>2929.5</v>
      </c>
      <c r="I3390" s="44"/>
    </row>
    <row r="3391" spans="2:9" x14ac:dyDescent="0.15">
      <c r="B3391" s="4" t="s">
        <v>301</v>
      </c>
      <c r="C3391" s="24"/>
      <c r="D3391" s="6"/>
      <c r="E3391" s="3" t="s">
        <v>316</v>
      </c>
      <c r="F3391" s="162">
        <f>MATERIALES!C101</f>
        <v>4480</v>
      </c>
      <c r="G3391" s="65">
        <v>7.4999999999999997E-2</v>
      </c>
      <c r="H3391" s="163">
        <f t="shared" si="23"/>
        <v>336</v>
      </c>
      <c r="I3391" s="44"/>
    </row>
    <row r="3392" spans="2:9" x14ac:dyDescent="0.15">
      <c r="B3392" s="4" t="s">
        <v>135</v>
      </c>
      <c r="C3392" s="24"/>
      <c r="D3392" s="6"/>
      <c r="E3392" s="3" t="s">
        <v>77</v>
      </c>
      <c r="F3392" s="162">
        <f>MATERIALES!C27</f>
        <v>286200</v>
      </c>
      <c r="G3392" s="65">
        <v>0.01</v>
      </c>
      <c r="H3392" s="163">
        <f t="shared" si="23"/>
        <v>2862</v>
      </c>
      <c r="I3392" s="44"/>
    </row>
    <row r="3393" spans="2:9" ht="14" thickBot="1" x14ac:dyDescent="0.2">
      <c r="B3393" s="25"/>
      <c r="C3393" s="26"/>
      <c r="D3393" s="27"/>
      <c r="E3393" s="21"/>
      <c r="F3393" s="22"/>
      <c r="G3393" s="165"/>
      <c r="H3393" s="47"/>
      <c r="I3393" s="48"/>
    </row>
    <row r="3394" spans="2:9" ht="14" thickBot="1" x14ac:dyDescent="0.2">
      <c r="B3394" s="1"/>
      <c r="C3394" s="1"/>
      <c r="D3394" s="1"/>
      <c r="E3394" s="1"/>
      <c r="F3394" s="1"/>
      <c r="G3394" s="1"/>
      <c r="H3394" s="37" t="s">
        <v>26</v>
      </c>
      <c r="I3394" s="161">
        <f>SUM(H3387:H3392)</f>
        <v>36378</v>
      </c>
    </row>
    <row r="3395" spans="2:9" ht="14" thickBot="1" x14ac:dyDescent="0.2">
      <c r="B3395" s="28" t="s">
        <v>31</v>
      </c>
      <c r="C3395" s="28"/>
      <c r="D3395" s="26"/>
      <c r="E3395" s="1"/>
      <c r="F3395" s="1"/>
      <c r="G3395" s="1"/>
      <c r="H3395" s="1"/>
      <c r="I3395" s="1"/>
    </row>
    <row r="3396" spans="2:9" x14ac:dyDescent="0.15">
      <c r="B3396" s="51" t="s">
        <v>32</v>
      </c>
      <c r="C3396" s="52"/>
      <c r="D3396" s="96" t="s">
        <v>33</v>
      </c>
      <c r="E3396" s="205" t="s">
        <v>34</v>
      </c>
      <c r="F3396" s="205" t="s">
        <v>35</v>
      </c>
      <c r="G3396" s="205" t="s">
        <v>36</v>
      </c>
      <c r="H3396" s="59" t="s">
        <v>25</v>
      </c>
      <c r="I3396" s="43"/>
    </row>
    <row r="3397" spans="2:9" x14ac:dyDescent="0.15">
      <c r="B3397" s="4" t="s">
        <v>79</v>
      </c>
      <c r="C3397" s="6"/>
      <c r="D3397" s="53">
        <v>0.2</v>
      </c>
      <c r="E3397" s="2">
        <v>15</v>
      </c>
      <c r="F3397" s="2">
        <f>E3397*D3397</f>
        <v>3</v>
      </c>
      <c r="G3397" s="160">
        <v>1100</v>
      </c>
      <c r="H3397" s="20">
        <f>G3397*F3397</f>
        <v>3300</v>
      </c>
      <c r="I3397" s="44"/>
    </row>
    <row r="3398" spans="2:9" x14ac:dyDescent="0.15">
      <c r="B3398" s="106"/>
      <c r="C3398" s="66"/>
      <c r="D3398" s="67"/>
      <c r="E3398" s="68"/>
      <c r="F3398" s="68"/>
      <c r="G3398" s="69"/>
      <c r="H3398" s="65"/>
      <c r="I3398" s="44"/>
    </row>
    <row r="3399" spans="2:9" ht="14" thickBot="1" x14ac:dyDescent="0.2">
      <c r="B3399" s="33"/>
      <c r="C3399" s="54"/>
      <c r="D3399" s="21"/>
      <c r="E3399" s="22"/>
      <c r="F3399" s="23"/>
      <c r="G3399" s="47"/>
      <c r="H3399" s="21"/>
      <c r="I3399" s="48"/>
    </row>
    <row r="3400" spans="2:9" ht="14" thickBot="1" x14ac:dyDescent="0.2">
      <c r="B3400" s="1"/>
      <c r="C3400" s="1"/>
      <c r="D3400" s="1"/>
      <c r="E3400" s="1"/>
      <c r="F3400" s="1"/>
      <c r="G3400" s="1"/>
      <c r="H3400" s="37" t="s">
        <v>26</v>
      </c>
      <c r="I3400" s="161">
        <f>SUM(H3397:H3399)</f>
        <v>3300</v>
      </c>
    </row>
    <row r="3401" spans="2:9" ht="14" thickBot="1" x14ac:dyDescent="0.2">
      <c r="B3401" s="28" t="s">
        <v>37</v>
      </c>
      <c r="C3401" s="28"/>
      <c r="D3401" s="1"/>
      <c r="E3401" s="1"/>
      <c r="F3401" s="1"/>
      <c r="G3401" s="1"/>
      <c r="H3401" s="1"/>
      <c r="I3401" s="1"/>
    </row>
    <row r="3402" spans="2:9" x14ac:dyDescent="0.15">
      <c r="B3402" s="51" t="s">
        <v>38</v>
      </c>
      <c r="C3402" s="86"/>
      <c r="D3402" s="31" t="s">
        <v>39</v>
      </c>
      <c r="E3402" s="205" t="s">
        <v>40</v>
      </c>
      <c r="F3402" s="19" t="s">
        <v>41</v>
      </c>
      <c r="G3402" s="31" t="s">
        <v>24</v>
      </c>
      <c r="H3402" s="204" t="s">
        <v>25</v>
      </c>
      <c r="I3402" s="43"/>
    </row>
    <row r="3403" spans="2:9" x14ac:dyDescent="0.15">
      <c r="B3403" s="4" t="s">
        <v>65</v>
      </c>
      <c r="C3403" s="24"/>
      <c r="D3403" s="32">
        <f>'MANO DE OBRA'!E15</f>
        <v>95333</v>
      </c>
      <c r="E3403" s="88">
        <v>1.75</v>
      </c>
      <c r="F3403" s="162">
        <f>+E3403*D3403</f>
        <v>166832.75</v>
      </c>
      <c r="G3403" s="79">
        <v>25</v>
      </c>
      <c r="H3403" s="167">
        <f>+F3403/G3403</f>
        <v>6673.31</v>
      </c>
      <c r="I3403" s="44"/>
    </row>
    <row r="3404" spans="2:9" x14ac:dyDescent="0.15">
      <c r="B3404" s="80" t="s">
        <v>55</v>
      </c>
      <c r="C3404" s="24"/>
      <c r="D3404" s="32">
        <f>'MANO DE OBRA'!E14*2</f>
        <v>104000</v>
      </c>
      <c r="E3404" s="88">
        <v>1.75</v>
      </c>
      <c r="F3404" s="162">
        <f>+E3404*D3404</f>
        <v>182000</v>
      </c>
      <c r="G3404" s="79">
        <v>25</v>
      </c>
      <c r="H3404" s="167">
        <f>+F3404/G3404</f>
        <v>7280</v>
      </c>
      <c r="I3404" s="44"/>
    </row>
    <row r="3405" spans="2:9" ht="14" thickBot="1" x14ac:dyDescent="0.2">
      <c r="B3405" s="33"/>
      <c r="C3405" s="34"/>
      <c r="D3405" s="22"/>
      <c r="E3405" s="21"/>
      <c r="F3405" s="22"/>
      <c r="G3405" s="23"/>
      <c r="H3405" s="47"/>
      <c r="I3405" s="48"/>
    </row>
    <row r="3406" spans="2:9" ht="14" thickBot="1" x14ac:dyDescent="0.2">
      <c r="B3406" s="1"/>
      <c r="C3406" s="1"/>
      <c r="D3406" s="1"/>
      <c r="E3406" s="1"/>
      <c r="F3406" s="1"/>
      <c r="G3406" s="1"/>
      <c r="H3406" s="37" t="s">
        <v>26</v>
      </c>
      <c r="I3406" s="175">
        <f>SUM(H3403:H3405)</f>
        <v>13953.310000000001</v>
      </c>
    </row>
    <row r="3407" spans="2:9" ht="14" thickBot="1" x14ac:dyDescent="0.2">
      <c r="B3407" s="1"/>
      <c r="C3407" s="1"/>
      <c r="D3407" s="1"/>
      <c r="E3407" s="1"/>
      <c r="F3407" s="1"/>
      <c r="G3407" s="1"/>
      <c r="H3407" s="61"/>
      <c r="I3407" s="1"/>
    </row>
    <row r="3408" spans="2:9" ht="15" thickBot="1" x14ac:dyDescent="0.2">
      <c r="B3408" s="1"/>
      <c r="C3408" s="1"/>
      <c r="D3408" s="1"/>
      <c r="E3408" s="1"/>
      <c r="F3408" s="35" t="s">
        <v>43</v>
      </c>
      <c r="G3408" s="16"/>
      <c r="H3408" s="16"/>
      <c r="I3408" s="325">
        <f>ROUND((I3384+I3394+I3400+I3406),0)</f>
        <v>54329</v>
      </c>
    </row>
    <row r="3409" spans="1:10" x14ac:dyDescent="0.15">
      <c r="B3409" s="12"/>
      <c r="C3409" s="12"/>
      <c r="D3409" s="1"/>
      <c r="E3409" s="1"/>
      <c r="F3409" s="1"/>
      <c r="G3409" s="1"/>
      <c r="H3409" s="170"/>
      <c r="I3409" s="170"/>
    </row>
    <row r="3410" spans="1:10" x14ac:dyDescent="0.15">
      <c r="B3410" s="16"/>
      <c r="C3410" s="16"/>
      <c r="D3410" s="16"/>
      <c r="E3410" s="16"/>
      <c r="F3410" s="16"/>
      <c r="G3410" s="61"/>
      <c r="H3410" s="171"/>
      <c r="I3410" s="170"/>
    </row>
    <row r="3411" spans="1:10" x14ac:dyDescent="0.15">
      <c r="B3411" s="1"/>
      <c r="C3411" s="1"/>
      <c r="D3411" s="1"/>
      <c r="E3411" s="1"/>
      <c r="F3411" s="1"/>
      <c r="G3411" s="159"/>
      <c r="H3411" s="170"/>
      <c r="I3411" s="170"/>
    </row>
    <row r="3412" spans="1:10" x14ac:dyDescent="0.15">
      <c r="B3412" s="1"/>
      <c r="C3412" s="1"/>
      <c r="D3412" s="1"/>
      <c r="E3412" s="1"/>
      <c r="F3412" s="1"/>
      <c r="G3412" s="159"/>
      <c r="H3412" s="170"/>
      <c r="I3412" s="170"/>
    </row>
    <row r="3413" spans="1:10" x14ac:dyDescent="0.15">
      <c r="B3413" s="1"/>
      <c r="C3413" s="1"/>
      <c r="D3413" s="1"/>
      <c r="E3413" s="1"/>
      <c r="F3413" s="1"/>
      <c r="G3413" s="159"/>
      <c r="H3413" s="170"/>
      <c r="I3413" s="170"/>
    </row>
    <row r="3414" spans="1:10" x14ac:dyDescent="0.15">
      <c r="B3414" s="1"/>
      <c r="C3414" s="1"/>
      <c r="D3414" s="1"/>
      <c r="E3414" s="1"/>
      <c r="F3414" s="1"/>
      <c r="G3414" s="159"/>
      <c r="H3414" s="170"/>
      <c r="I3414" s="170"/>
    </row>
    <row r="3415" spans="1:10" x14ac:dyDescent="0.15">
      <c r="B3415" s="1"/>
      <c r="C3415" s="1"/>
      <c r="D3415" s="1"/>
      <c r="E3415" s="1"/>
      <c r="F3415" s="1"/>
      <c r="G3415" s="1"/>
      <c r="H3415" s="37"/>
      <c r="I3415" s="170"/>
    </row>
    <row r="3416" spans="1:10" ht="14" x14ac:dyDescent="0.15">
      <c r="A3416" s="85"/>
      <c r="B3416" s="101"/>
      <c r="C3416" s="83"/>
      <c r="D3416" s="84"/>
      <c r="E3416" s="83"/>
      <c r="F3416" s="83"/>
      <c r="G3416" s="102"/>
      <c r="H3416" s="83"/>
      <c r="I3416" s="85"/>
      <c r="J3416" s="85"/>
    </row>
    <row r="3417" spans="1:10" ht="14" x14ac:dyDescent="0.15">
      <c r="A3417" s="85"/>
      <c r="B3417" s="83"/>
      <c r="C3417" s="83"/>
      <c r="D3417" s="84"/>
      <c r="E3417" s="83"/>
      <c r="F3417" s="83"/>
      <c r="G3417" s="103"/>
      <c r="H3417" s="83"/>
      <c r="I3417" s="85"/>
      <c r="J3417" s="85"/>
    </row>
    <row r="3418" spans="1:10" ht="14" x14ac:dyDescent="0.15">
      <c r="A3418" s="85"/>
      <c r="B3418" s="83"/>
      <c r="C3418" s="83"/>
      <c r="D3418" s="84"/>
      <c r="E3418" s="83"/>
      <c r="F3418" s="83"/>
      <c r="G3418" s="103"/>
      <c r="H3418" s="83"/>
      <c r="I3418" s="85"/>
      <c r="J3418" s="85"/>
    </row>
    <row r="3419" spans="1:10" ht="14" x14ac:dyDescent="0.15">
      <c r="A3419" s="85"/>
      <c r="B3419" s="83"/>
      <c r="C3419" s="83"/>
      <c r="D3419" s="84"/>
      <c r="E3419" s="83"/>
      <c r="F3419" s="83"/>
      <c r="G3419" s="103"/>
      <c r="H3419" s="83"/>
      <c r="I3419" s="85"/>
      <c r="J3419" s="85"/>
    </row>
    <row r="3420" spans="1:10" ht="14" x14ac:dyDescent="0.15">
      <c r="A3420" s="85"/>
      <c r="B3420" s="83"/>
      <c r="C3420" s="83"/>
      <c r="D3420" s="84"/>
      <c r="E3420" s="83"/>
      <c r="F3420" s="83"/>
      <c r="G3420" s="103"/>
      <c r="H3420" s="83"/>
      <c r="I3420" s="85"/>
      <c r="J3420" s="85"/>
    </row>
    <row r="3421" spans="1:10" ht="14" x14ac:dyDescent="0.15">
      <c r="A3421" s="85"/>
      <c r="B3421" s="83"/>
      <c r="C3421" s="83"/>
      <c r="D3421" s="84"/>
      <c r="E3421" s="83"/>
      <c r="F3421" s="83"/>
      <c r="G3421" s="103"/>
      <c r="H3421" s="83"/>
      <c r="I3421" s="85"/>
      <c r="J3421" s="85"/>
    </row>
    <row r="3422" spans="1:10" ht="14" x14ac:dyDescent="0.15">
      <c r="A3422" s="85"/>
      <c r="B3422" s="83"/>
      <c r="C3422" s="83"/>
      <c r="D3422" s="84"/>
      <c r="E3422" s="83"/>
      <c r="F3422" s="83"/>
      <c r="G3422" s="103"/>
      <c r="H3422" s="83"/>
      <c r="I3422" s="85"/>
      <c r="J3422" s="85"/>
    </row>
    <row r="3423" spans="1:10" x14ac:dyDescent="0.15">
      <c r="B3423" s="11"/>
      <c r="C3423" s="11"/>
      <c r="D3423" s="1"/>
      <c r="E3423" s="153"/>
      <c r="F3423" s="153"/>
      <c r="G3423" s="153"/>
      <c r="H3423" s="153"/>
      <c r="I3423" s="169"/>
    </row>
    <row r="3424" spans="1:10" x14ac:dyDescent="0.15">
      <c r="B3424" s="11"/>
      <c r="C3424" s="11"/>
      <c r="D3424" s="1"/>
      <c r="E3424" s="153"/>
      <c r="F3424" s="153"/>
      <c r="G3424" s="153"/>
      <c r="H3424" s="153"/>
      <c r="I3424" s="169"/>
    </row>
    <row r="3425" spans="2:9" x14ac:dyDescent="0.15">
      <c r="B3425" s="11"/>
      <c r="C3425" s="11"/>
      <c r="D3425" s="1"/>
      <c r="E3425" s="153"/>
      <c r="F3425" s="153"/>
      <c r="G3425" s="153"/>
      <c r="H3425" s="153"/>
      <c r="I3425" s="169"/>
    </row>
    <row r="3426" spans="2:9" x14ac:dyDescent="0.15">
      <c r="B3426" s="11"/>
      <c r="C3426" s="11"/>
      <c r="D3426" s="1"/>
      <c r="E3426" s="153"/>
      <c r="F3426" s="153"/>
      <c r="G3426" s="153"/>
      <c r="H3426" s="153"/>
      <c r="I3426" s="169"/>
    </row>
    <row r="3427" spans="2:9" x14ac:dyDescent="0.15">
      <c r="B3427" s="11"/>
      <c r="C3427" s="11"/>
      <c r="D3427" s="11"/>
      <c r="E3427" s="11"/>
      <c r="F3427" s="11"/>
      <c r="G3427" s="11"/>
      <c r="H3427" s="11"/>
      <c r="I3427" s="11"/>
    </row>
    <row r="3430" spans="2:9" ht="14" thickBot="1" x14ac:dyDescent="0.2"/>
    <row r="3431" spans="2:9" ht="21" customHeight="1" x14ac:dyDescent="0.15">
      <c r="B3431" s="607" t="s">
        <v>1065</v>
      </c>
      <c r="C3431" s="608"/>
      <c r="D3431" s="608"/>
      <c r="E3431" s="608"/>
      <c r="F3431" s="609"/>
      <c r="G3431" s="1"/>
      <c r="H3431" s="638" t="s">
        <v>20</v>
      </c>
      <c r="I3431" s="639"/>
    </row>
    <row r="3432" spans="2:9" ht="16.5" customHeight="1" x14ac:dyDescent="0.15">
      <c r="B3432" s="604" t="s">
        <v>446</v>
      </c>
      <c r="C3432" s="605"/>
      <c r="D3432" s="605"/>
      <c r="E3432" s="605"/>
      <c r="F3432" s="606"/>
      <c r="G3432" s="63"/>
      <c r="H3432" s="640"/>
      <c r="I3432" s="641"/>
    </row>
    <row r="3433" spans="2:9" ht="12.75" customHeight="1" x14ac:dyDescent="0.15">
      <c r="B3433" s="610" t="s">
        <v>447</v>
      </c>
      <c r="C3433" s="611"/>
      <c r="D3433" s="611"/>
      <c r="E3433" s="611"/>
      <c r="F3433" s="612"/>
      <c r="G3433" s="63"/>
      <c r="H3433" s="642"/>
      <c r="I3433" s="643"/>
    </row>
    <row r="3434" spans="2:9" ht="16.5" customHeight="1" thickBot="1" x14ac:dyDescent="0.2">
      <c r="B3434" s="613"/>
      <c r="C3434" s="614"/>
      <c r="D3434" s="614"/>
      <c r="E3434" s="614"/>
      <c r="F3434" s="615"/>
      <c r="G3434" s="1"/>
      <c r="H3434" s="685" t="s">
        <v>1013</v>
      </c>
      <c r="I3434" s="686"/>
    </row>
    <row r="3435" spans="2:9" ht="13.5" customHeight="1" thickBot="1" x14ac:dyDescent="0.2">
      <c r="B3435" s="15"/>
      <c r="C3435" s="16"/>
      <c r="D3435" s="1"/>
      <c r="E3435" s="1"/>
      <c r="F3435" s="1"/>
      <c r="G3435" s="1"/>
      <c r="H3435" s="687"/>
      <c r="I3435" s="688"/>
    </row>
    <row r="3436" spans="2:9" ht="12.75" customHeight="1" x14ac:dyDescent="0.15">
      <c r="B3436" s="650" t="s">
        <v>890</v>
      </c>
      <c r="C3436" s="651"/>
      <c r="D3436" s="651"/>
      <c r="E3436" s="651"/>
      <c r="F3436" s="652"/>
      <c r="G3436" s="1"/>
      <c r="H3436" s="687"/>
      <c r="I3436" s="688"/>
    </row>
    <row r="3437" spans="2:9" ht="12.75" customHeight="1" x14ac:dyDescent="0.15">
      <c r="B3437" s="653"/>
      <c r="C3437" s="654"/>
      <c r="D3437" s="654"/>
      <c r="E3437" s="654"/>
      <c r="F3437" s="655"/>
      <c r="H3437" s="687"/>
      <c r="I3437" s="688"/>
    </row>
    <row r="3438" spans="2:9" ht="13.5" customHeight="1" x14ac:dyDescent="0.15">
      <c r="B3438" s="653"/>
      <c r="C3438" s="654"/>
      <c r="D3438" s="654"/>
      <c r="E3438" s="654"/>
      <c r="F3438" s="655"/>
      <c r="G3438" s="11"/>
      <c r="H3438" s="689"/>
      <c r="I3438" s="690"/>
    </row>
    <row r="3439" spans="2:9" ht="21.75" customHeight="1" thickBot="1" x14ac:dyDescent="0.2">
      <c r="B3439" s="656"/>
      <c r="C3439" s="657"/>
      <c r="D3439" s="657"/>
      <c r="E3439" s="657"/>
      <c r="F3439" s="658"/>
      <c r="H3439" s="64" t="s">
        <v>45</v>
      </c>
      <c r="I3439" s="17" t="s">
        <v>316</v>
      </c>
    </row>
    <row r="3440" spans="2:9" x14ac:dyDescent="0.15">
      <c r="B3440" s="18"/>
      <c r="C3440" s="18"/>
      <c r="D3440" s="1"/>
      <c r="E3440" s="18"/>
      <c r="F3440" s="18"/>
      <c r="G3440" s="18"/>
      <c r="H3440" s="18"/>
      <c r="I3440" s="1"/>
    </row>
    <row r="3441" spans="2:9" ht="14" thickBot="1" x14ac:dyDescent="0.2">
      <c r="B3441" s="12" t="s">
        <v>21</v>
      </c>
      <c r="C3441" s="12"/>
      <c r="D3441" s="1"/>
      <c r="E3441" s="1"/>
      <c r="F3441" s="1"/>
      <c r="G3441" s="1"/>
      <c r="H3441" s="1"/>
      <c r="I3441" s="1"/>
    </row>
    <row r="3442" spans="2:9" x14ac:dyDescent="0.15">
      <c r="B3442" s="628" t="s">
        <v>22</v>
      </c>
      <c r="C3442" s="629"/>
      <c r="D3442" s="630"/>
      <c r="E3442" s="205" t="s">
        <v>23</v>
      </c>
      <c r="F3442" s="19" t="s">
        <v>47</v>
      </c>
      <c r="G3442" s="205" t="s">
        <v>24</v>
      </c>
      <c r="H3442" s="204" t="s">
        <v>25</v>
      </c>
      <c r="I3442" s="43"/>
    </row>
    <row r="3443" spans="2:9" x14ac:dyDescent="0.15">
      <c r="B3443" s="631" t="s">
        <v>56</v>
      </c>
      <c r="C3443" s="632"/>
      <c r="D3443" s="633"/>
      <c r="E3443" s="5"/>
      <c r="F3443" s="160"/>
      <c r="G3443" s="58"/>
      <c r="H3443" s="160">
        <f>I3462*0.05</f>
        <v>1466.1091666666669</v>
      </c>
      <c r="I3443" s="44"/>
    </row>
    <row r="3444" spans="2:9" ht="14" thickBot="1" x14ac:dyDescent="0.2">
      <c r="B3444" s="634"/>
      <c r="C3444" s="635"/>
      <c r="D3444" s="636"/>
      <c r="E3444" s="21"/>
      <c r="F3444" s="22"/>
      <c r="G3444" s="23"/>
      <c r="H3444" s="47"/>
      <c r="I3444" s="48"/>
    </row>
    <row r="3445" spans="2:9" ht="14" thickBot="1" x14ac:dyDescent="0.2">
      <c r="B3445" s="1"/>
      <c r="C3445" s="1"/>
      <c r="D3445" s="1"/>
      <c r="E3445" s="1"/>
      <c r="F3445" s="1"/>
      <c r="G3445" s="1"/>
      <c r="H3445" s="37" t="s">
        <v>26</v>
      </c>
      <c r="I3445" s="161">
        <f>SUM(H3443:H3444)</f>
        <v>1466.1091666666669</v>
      </c>
    </row>
    <row r="3446" spans="2:9" ht="14" thickBot="1" x14ac:dyDescent="0.2">
      <c r="B3446" s="12" t="s">
        <v>27</v>
      </c>
      <c r="C3446" s="12"/>
      <c r="D3446" s="1"/>
      <c r="E3446" s="1"/>
      <c r="F3446" s="1"/>
      <c r="G3446" s="1"/>
      <c r="H3446" s="1"/>
      <c r="I3446" s="1"/>
    </row>
    <row r="3447" spans="2:9" x14ac:dyDescent="0.15">
      <c r="B3447" s="628" t="s">
        <v>22</v>
      </c>
      <c r="C3447" s="629"/>
      <c r="D3447" s="630"/>
      <c r="E3447" s="205" t="s">
        <v>28</v>
      </c>
      <c r="F3447" s="205" t="s">
        <v>29</v>
      </c>
      <c r="G3447" s="205" t="s">
        <v>30</v>
      </c>
      <c r="H3447" s="204" t="s">
        <v>25</v>
      </c>
      <c r="I3447" s="43"/>
    </row>
    <row r="3448" spans="2:9" x14ac:dyDescent="0.15">
      <c r="B3448" s="4" t="s">
        <v>872</v>
      </c>
      <c r="C3448" s="24"/>
      <c r="D3448" s="6"/>
      <c r="E3448" s="74" t="s">
        <v>316</v>
      </c>
      <c r="F3448" s="164">
        <f>MATERIALES!C187</f>
        <v>243000.00000000003</v>
      </c>
      <c r="G3448" s="65">
        <v>1</v>
      </c>
      <c r="H3448" s="163">
        <f>G3448*F3448</f>
        <v>243000.00000000003</v>
      </c>
      <c r="I3448" s="44"/>
    </row>
    <row r="3449" spans="2:9" x14ac:dyDescent="0.15">
      <c r="B3449" s="4"/>
      <c r="C3449" s="24"/>
      <c r="D3449" s="6"/>
      <c r="E3449" s="3"/>
      <c r="F3449" s="162"/>
      <c r="G3449" s="65"/>
      <c r="H3449" s="163"/>
      <c r="I3449" s="44"/>
    </row>
    <row r="3450" spans="2:9" ht="14" thickBot="1" x14ac:dyDescent="0.2">
      <c r="B3450" s="25"/>
      <c r="C3450" s="26"/>
      <c r="D3450" s="27"/>
      <c r="E3450" s="21"/>
      <c r="F3450" s="22"/>
      <c r="G3450" s="165"/>
      <c r="H3450" s="47"/>
      <c r="I3450" s="48"/>
    </row>
    <row r="3451" spans="2:9" ht="14" thickBot="1" x14ac:dyDescent="0.2">
      <c r="B3451" s="1"/>
      <c r="C3451" s="1"/>
      <c r="D3451" s="1"/>
      <c r="E3451" s="1"/>
      <c r="F3451" s="1"/>
      <c r="G3451" s="1"/>
      <c r="H3451" s="37" t="s">
        <v>26</v>
      </c>
      <c r="I3451" s="161">
        <f>SUM(H3448:H3449)</f>
        <v>243000.00000000003</v>
      </c>
    </row>
    <row r="3452" spans="2:9" ht="14" thickBot="1" x14ac:dyDescent="0.2">
      <c r="B3452" s="28" t="s">
        <v>31</v>
      </c>
      <c r="C3452" s="28"/>
      <c r="D3452" s="26"/>
      <c r="E3452" s="1"/>
      <c r="F3452" s="1"/>
      <c r="G3452" s="1"/>
      <c r="H3452" s="1"/>
      <c r="I3452" s="1"/>
    </row>
    <row r="3453" spans="2:9" x14ac:dyDescent="0.15">
      <c r="B3453" s="51" t="s">
        <v>32</v>
      </c>
      <c r="C3453" s="52"/>
      <c r="D3453" s="96" t="s">
        <v>33</v>
      </c>
      <c r="E3453" s="205" t="s">
        <v>34</v>
      </c>
      <c r="F3453" s="205" t="s">
        <v>35</v>
      </c>
      <c r="G3453" s="205" t="s">
        <v>36</v>
      </c>
      <c r="H3453" s="59" t="s">
        <v>25</v>
      </c>
      <c r="I3453" s="43"/>
    </row>
    <row r="3454" spans="2:9" x14ac:dyDescent="0.15">
      <c r="B3454" s="4" t="s">
        <v>79</v>
      </c>
      <c r="C3454" s="6"/>
      <c r="D3454" s="53">
        <v>0.1</v>
      </c>
      <c r="E3454" s="2">
        <v>43</v>
      </c>
      <c r="F3454" s="2">
        <f>E3454*D3454</f>
        <v>4.3</v>
      </c>
      <c r="G3454" s="65">
        <v>1100</v>
      </c>
      <c r="H3454" s="20">
        <f>G3454*F3454</f>
        <v>4730</v>
      </c>
      <c r="I3454" s="44"/>
    </row>
    <row r="3455" spans="2:9" ht="14" thickBot="1" x14ac:dyDescent="0.2">
      <c r="B3455" s="33"/>
      <c r="C3455" s="54"/>
      <c r="D3455" s="21"/>
      <c r="E3455" s="22"/>
      <c r="F3455" s="23"/>
      <c r="G3455" s="47"/>
      <c r="H3455" s="21"/>
      <c r="I3455" s="48"/>
    </row>
    <row r="3456" spans="2:9" ht="14" thickBot="1" x14ac:dyDescent="0.2">
      <c r="B3456" s="1"/>
      <c r="C3456" s="1"/>
      <c r="D3456" s="1"/>
      <c r="E3456" s="1"/>
      <c r="F3456" s="1"/>
      <c r="G3456" s="1"/>
      <c r="H3456" s="37" t="s">
        <v>26</v>
      </c>
      <c r="I3456" s="161">
        <f>SUM(H3454:H3455)</f>
        <v>4730</v>
      </c>
    </row>
    <row r="3457" spans="2:9" ht="14" thickBot="1" x14ac:dyDescent="0.2">
      <c r="B3457" s="28" t="s">
        <v>37</v>
      </c>
      <c r="C3457" s="28"/>
      <c r="D3457" s="1"/>
      <c r="E3457" s="1"/>
      <c r="F3457" s="1"/>
      <c r="G3457" s="1"/>
      <c r="H3457" s="1"/>
      <c r="I3457" s="1"/>
    </row>
    <row r="3458" spans="2:9" x14ac:dyDescent="0.15">
      <c r="B3458" s="51" t="s">
        <v>38</v>
      </c>
      <c r="C3458" s="86"/>
      <c r="D3458" s="31" t="s">
        <v>39</v>
      </c>
      <c r="E3458" s="205" t="s">
        <v>40</v>
      </c>
      <c r="F3458" s="19" t="s">
        <v>41</v>
      </c>
      <c r="G3458" s="31" t="s">
        <v>24</v>
      </c>
      <c r="H3458" s="59" t="s">
        <v>25</v>
      </c>
      <c r="I3458" s="43"/>
    </row>
    <row r="3459" spans="2:9" x14ac:dyDescent="0.15">
      <c r="B3459" s="4" t="s">
        <v>65</v>
      </c>
      <c r="C3459" s="24"/>
      <c r="D3459" s="32">
        <f>'MANO DE OBRA'!E15</f>
        <v>95333</v>
      </c>
      <c r="E3459" s="88">
        <v>1.75</v>
      </c>
      <c r="F3459" s="162">
        <f>+E3459*D3459</f>
        <v>166832.75</v>
      </c>
      <c r="G3459" s="79">
        <v>15</v>
      </c>
      <c r="H3459" s="167">
        <f>+F3459/G3459</f>
        <v>11122.183333333332</v>
      </c>
      <c r="I3459" s="44"/>
    </row>
    <row r="3460" spans="2:9" x14ac:dyDescent="0.15">
      <c r="B3460" s="80" t="s">
        <v>64</v>
      </c>
      <c r="C3460" s="24"/>
      <c r="D3460" s="32">
        <f>'MANO DE OBRA'!E14*3</f>
        <v>156000</v>
      </c>
      <c r="E3460" s="88">
        <v>1.75</v>
      </c>
      <c r="F3460" s="162">
        <f>+E3460*D3460</f>
        <v>273000</v>
      </c>
      <c r="G3460" s="79">
        <v>15</v>
      </c>
      <c r="H3460" s="167">
        <f>+F3460/G3460</f>
        <v>18200</v>
      </c>
      <c r="I3460" s="44"/>
    </row>
    <row r="3461" spans="2:9" ht="14" thickBot="1" x14ac:dyDescent="0.2">
      <c r="B3461" s="33"/>
      <c r="C3461" s="34"/>
      <c r="D3461" s="22"/>
      <c r="E3461" s="21"/>
      <c r="F3461" s="22"/>
      <c r="G3461" s="23"/>
      <c r="H3461" s="87"/>
      <c r="I3461" s="44"/>
    </row>
    <row r="3462" spans="2:9" ht="14" thickBot="1" x14ac:dyDescent="0.2">
      <c r="B3462" s="1"/>
      <c r="C3462" s="1"/>
      <c r="D3462" s="1"/>
      <c r="E3462" s="1"/>
      <c r="F3462" s="1"/>
      <c r="G3462" s="1"/>
      <c r="H3462" s="37" t="s">
        <v>26</v>
      </c>
      <c r="I3462" s="161">
        <f>SUM(H3459:H3461)</f>
        <v>29322.183333333334</v>
      </c>
    </row>
    <row r="3463" spans="2:9" ht="14" thickBot="1" x14ac:dyDescent="0.2">
      <c r="B3463" s="1"/>
      <c r="C3463" s="1"/>
      <c r="D3463" s="1"/>
      <c r="E3463" s="1"/>
      <c r="F3463" s="1"/>
      <c r="G3463" s="1"/>
      <c r="H3463" s="61"/>
      <c r="I3463" s="1"/>
    </row>
    <row r="3464" spans="2:9" ht="15" thickBot="1" x14ac:dyDescent="0.2">
      <c r="B3464" s="1"/>
      <c r="C3464" s="1"/>
      <c r="D3464" s="1"/>
      <c r="E3464" s="1"/>
      <c r="F3464" s="35" t="s">
        <v>43</v>
      </c>
      <c r="G3464" s="16"/>
      <c r="H3464" s="16"/>
      <c r="I3464" s="325">
        <f>ROUND((I3445+I3451+I3456+I3462),0)</f>
        <v>278518</v>
      </c>
    </row>
    <row r="3465" spans="2:9" x14ac:dyDescent="0.15">
      <c r="B3465" s="12"/>
      <c r="C3465" s="12"/>
      <c r="D3465" s="1"/>
      <c r="E3465" s="1"/>
      <c r="F3465" s="1"/>
      <c r="G3465" s="1"/>
      <c r="H3465" s="170"/>
      <c r="I3465" s="170"/>
    </row>
    <row r="3466" spans="2:9" x14ac:dyDescent="0.15">
      <c r="B3466" s="16"/>
      <c r="C3466" s="16"/>
      <c r="D3466" s="16"/>
      <c r="E3466" s="16"/>
      <c r="F3466" s="16"/>
      <c r="G3466" s="61"/>
      <c r="H3466" s="171"/>
      <c r="I3466" s="170"/>
    </row>
    <row r="3467" spans="2:9" x14ac:dyDescent="0.15">
      <c r="B3467" s="1"/>
      <c r="C3467" s="1"/>
      <c r="D3467" s="1"/>
      <c r="E3467" s="1"/>
      <c r="F3467" s="1"/>
      <c r="G3467" s="159"/>
      <c r="H3467" s="170"/>
      <c r="I3467" s="170"/>
    </row>
    <row r="3468" spans="2:9" x14ac:dyDescent="0.15">
      <c r="B3468" s="1"/>
      <c r="C3468" s="1"/>
      <c r="D3468" s="1"/>
      <c r="E3468" s="1"/>
      <c r="F3468" s="1"/>
      <c r="G3468" s="159"/>
      <c r="H3468" s="170"/>
      <c r="I3468" s="170"/>
    </row>
    <row r="3469" spans="2:9" x14ac:dyDescent="0.15">
      <c r="B3469" s="1"/>
      <c r="C3469" s="1"/>
      <c r="D3469" s="1"/>
      <c r="E3469" s="1"/>
      <c r="F3469" s="1"/>
      <c r="G3469" s="159"/>
      <c r="H3469" s="170"/>
      <c r="I3469" s="170"/>
    </row>
    <row r="3470" spans="2:9" x14ac:dyDescent="0.15">
      <c r="B3470" s="1"/>
      <c r="C3470" s="1"/>
      <c r="D3470" s="1"/>
      <c r="E3470" s="1"/>
      <c r="F3470" s="1"/>
      <c r="G3470" s="1"/>
      <c r="H3470" s="37"/>
      <c r="I3470" s="170"/>
    </row>
    <row r="3471" spans="2:9" ht="14" x14ac:dyDescent="0.15">
      <c r="B3471" s="101"/>
      <c r="C3471" s="1"/>
      <c r="D3471" s="1"/>
      <c r="E3471" s="1"/>
      <c r="F3471" s="1"/>
      <c r="G3471" s="1"/>
      <c r="H3471" s="1"/>
      <c r="I3471" s="170"/>
    </row>
    <row r="3472" spans="2:9" ht="14" x14ac:dyDescent="0.15">
      <c r="B3472" s="83"/>
      <c r="C3472" s="11"/>
      <c r="D3472" s="1"/>
      <c r="E3472" s="637"/>
      <c r="F3472" s="637"/>
      <c r="G3472" s="637"/>
      <c r="H3472" s="637"/>
      <c r="I3472" s="169"/>
    </row>
    <row r="3473" spans="1:10" x14ac:dyDescent="0.15">
      <c r="B3473" s="11"/>
      <c r="C3473" s="11"/>
      <c r="D3473" s="1"/>
      <c r="E3473" s="153"/>
      <c r="F3473" s="153"/>
      <c r="G3473" s="153"/>
      <c r="H3473" s="153"/>
      <c r="I3473" s="169"/>
    </row>
    <row r="3474" spans="1:10" x14ac:dyDescent="0.15">
      <c r="B3474" s="11"/>
      <c r="C3474" s="11"/>
      <c r="D3474" s="1"/>
      <c r="E3474" s="153"/>
      <c r="F3474" s="153"/>
      <c r="G3474" s="153"/>
      <c r="H3474" s="153"/>
      <c r="I3474" s="169"/>
    </row>
    <row r="3475" spans="1:10" x14ac:dyDescent="0.15">
      <c r="B3475" s="11"/>
      <c r="C3475" s="11"/>
      <c r="D3475" s="1"/>
      <c r="E3475" s="153"/>
      <c r="F3475" s="153"/>
      <c r="G3475" s="153"/>
      <c r="H3475" s="153"/>
      <c r="I3475" s="169"/>
    </row>
    <row r="3476" spans="1:10" x14ac:dyDescent="0.15">
      <c r="B3476" s="11"/>
      <c r="C3476" s="11"/>
      <c r="D3476" s="1"/>
      <c r="E3476" s="153"/>
      <c r="F3476" s="153"/>
      <c r="G3476" s="153"/>
      <c r="H3476" s="153"/>
      <c r="I3476" s="169"/>
    </row>
    <row r="3477" spans="1:10" x14ac:dyDescent="0.15">
      <c r="B3477" s="11"/>
      <c r="C3477" s="11"/>
      <c r="D3477" s="1"/>
      <c r="E3477" s="153"/>
      <c r="F3477" s="153"/>
      <c r="G3477" s="153"/>
      <c r="H3477" s="153"/>
      <c r="I3477" s="169"/>
    </row>
    <row r="3478" spans="1:10" x14ac:dyDescent="0.15">
      <c r="B3478" s="11"/>
      <c r="C3478" s="11"/>
      <c r="D3478" s="1"/>
      <c r="E3478" s="153"/>
      <c r="F3478" s="153"/>
      <c r="G3478" s="153"/>
      <c r="H3478" s="153"/>
      <c r="I3478" s="169"/>
    </row>
    <row r="3479" spans="1:10" x14ac:dyDescent="0.15">
      <c r="B3479" s="11"/>
      <c r="C3479" s="11"/>
      <c r="D3479" s="1"/>
      <c r="E3479" s="153"/>
      <c r="F3479" s="153"/>
      <c r="G3479" s="153"/>
      <c r="H3479" s="153"/>
      <c r="I3479" s="169"/>
    </row>
    <row r="3480" spans="1:10" x14ac:dyDescent="0.15">
      <c r="B3480" s="11"/>
      <c r="C3480" s="11"/>
      <c r="D3480" s="1"/>
      <c r="E3480" s="153"/>
      <c r="F3480" s="153"/>
      <c r="G3480" s="153"/>
      <c r="H3480" s="153"/>
      <c r="I3480" s="169"/>
    </row>
    <row r="3481" spans="1:10" x14ac:dyDescent="0.15">
      <c r="B3481" s="11"/>
      <c r="C3481" s="11"/>
      <c r="D3481" s="1"/>
      <c r="E3481" s="153"/>
      <c r="F3481" s="153"/>
      <c r="G3481" s="153"/>
      <c r="H3481" s="153"/>
      <c r="I3481" s="169"/>
    </row>
    <row r="3482" spans="1:10" x14ac:dyDescent="0.15">
      <c r="B3482" s="11"/>
      <c r="C3482" s="11"/>
      <c r="D3482" s="1"/>
      <c r="E3482" s="153"/>
      <c r="F3482" s="153"/>
      <c r="G3482" s="153"/>
      <c r="H3482" s="153"/>
      <c r="I3482" s="169"/>
    </row>
    <row r="3483" spans="1:10" x14ac:dyDescent="0.15">
      <c r="B3483" s="11"/>
      <c r="C3483" s="11"/>
      <c r="D3483" s="1"/>
      <c r="E3483" s="153"/>
      <c r="F3483" s="153"/>
      <c r="G3483" s="153"/>
      <c r="H3483" s="153"/>
      <c r="I3483" s="169"/>
    </row>
    <row r="3484" spans="1:10" x14ac:dyDescent="0.15">
      <c r="B3484" s="11"/>
      <c r="C3484" s="11"/>
      <c r="D3484" s="1"/>
      <c r="E3484" s="153"/>
      <c r="F3484" s="153"/>
      <c r="G3484" s="153"/>
      <c r="H3484" s="153"/>
      <c r="I3484" s="169"/>
    </row>
    <row r="3485" spans="1:10" x14ac:dyDescent="0.15">
      <c r="B3485" s="11"/>
      <c r="C3485" s="11"/>
      <c r="D3485" s="1"/>
      <c r="E3485" s="153"/>
      <c r="F3485" s="153"/>
      <c r="G3485" s="153"/>
      <c r="H3485" s="153"/>
      <c r="I3485" s="169"/>
    </row>
    <row r="3486" spans="1:10" x14ac:dyDescent="0.15">
      <c r="B3486" s="11"/>
      <c r="C3486" s="11"/>
      <c r="D3486" s="1"/>
      <c r="E3486" s="153"/>
      <c r="F3486" s="153"/>
      <c r="G3486" s="153"/>
      <c r="H3486" s="153"/>
      <c r="I3486" s="169"/>
    </row>
    <row r="3487" spans="1:10" ht="14" x14ac:dyDescent="0.15">
      <c r="A3487" s="85"/>
      <c r="B3487" s="83"/>
      <c r="C3487" s="83"/>
      <c r="D3487" s="84"/>
      <c r="E3487" s="83"/>
      <c r="F3487" s="154"/>
      <c r="G3487" s="155"/>
      <c r="H3487" s="156"/>
      <c r="I3487" s="157"/>
      <c r="J3487" s="85"/>
    </row>
    <row r="3488" spans="1:10" ht="14" x14ac:dyDescent="0.15">
      <c r="B3488" s="83"/>
      <c r="C3488" s="11"/>
      <c r="D3488" s="11"/>
      <c r="E3488" s="11"/>
      <c r="F3488" s="691"/>
      <c r="G3488" s="691"/>
      <c r="H3488" s="691"/>
      <c r="I3488" s="691"/>
    </row>
    <row r="3489" spans="1:10" ht="14" x14ac:dyDescent="0.15">
      <c r="A3489" s="85"/>
      <c r="B3489" s="83"/>
      <c r="C3489" s="83"/>
      <c r="D3489" s="84"/>
      <c r="E3489" s="83"/>
      <c r="G3489" s="83"/>
      <c r="H3489" s="83"/>
      <c r="I3489" s="85"/>
      <c r="J3489" s="85"/>
    </row>
    <row r="3490" spans="1:10" x14ac:dyDescent="0.15">
      <c r="B3490" s="11"/>
      <c r="C3490" s="11"/>
      <c r="D3490" s="1"/>
      <c r="E3490" s="153"/>
      <c r="F3490" s="153"/>
      <c r="G3490" s="153"/>
      <c r="H3490" s="153"/>
      <c r="I3490" s="169"/>
    </row>
    <row r="3491" spans="1:10" ht="14" thickBot="1" x14ac:dyDescent="0.2">
      <c r="B3491" s="11"/>
      <c r="C3491" s="11"/>
      <c r="D3491" s="1"/>
      <c r="E3491" s="153"/>
      <c r="F3491" s="153"/>
      <c r="G3491" s="153"/>
      <c r="H3491" s="153"/>
      <c r="I3491" s="169"/>
    </row>
    <row r="3492" spans="1:10" ht="21" customHeight="1" x14ac:dyDescent="0.15">
      <c r="B3492" s="607" t="s">
        <v>1065</v>
      </c>
      <c r="C3492" s="608"/>
      <c r="D3492" s="608"/>
      <c r="E3492" s="608"/>
      <c r="F3492" s="609"/>
      <c r="G3492" s="1"/>
      <c r="H3492" s="638" t="s">
        <v>20</v>
      </c>
      <c r="I3492" s="639"/>
    </row>
    <row r="3493" spans="1:10" ht="16.5" customHeight="1" x14ac:dyDescent="0.15">
      <c r="B3493" s="604" t="s">
        <v>446</v>
      </c>
      <c r="C3493" s="605"/>
      <c r="D3493" s="605"/>
      <c r="E3493" s="605"/>
      <c r="F3493" s="606"/>
      <c r="G3493" s="63"/>
      <c r="H3493" s="640"/>
      <c r="I3493" s="641"/>
    </row>
    <row r="3494" spans="1:10" ht="12.75" customHeight="1" x14ac:dyDescent="0.15">
      <c r="B3494" s="610" t="s">
        <v>447</v>
      </c>
      <c r="C3494" s="611"/>
      <c r="D3494" s="611"/>
      <c r="E3494" s="611"/>
      <c r="F3494" s="612"/>
      <c r="G3494" s="63"/>
      <c r="H3494" s="642"/>
      <c r="I3494" s="643"/>
    </row>
    <row r="3495" spans="1:10" ht="16.5" customHeight="1" thickBot="1" x14ac:dyDescent="0.2">
      <c r="B3495" s="613"/>
      <c r="C3495" s="614"/>
      <c r="D3495" s="614"/>
      <c r="E3495" s="614"/>
      <c r="F3495" s="615"/>
      <c r="G3495" s="1"/>
      <c r="H3495" s="668" t="s">
        <v>839</v>
      </c>
      <c r="I3495" s="669"/>
    </row>
    <row r="3496" spans="1:10" ht="14" thickBot="1" x14ac:dyDescent="0.2">
      <c r="B3496" s="15"/>
      <c r="C3496" s="16"/>
      <c r="D3496" s="1"/>
      <c r="E3496" s="1"/>
      <c r="F3496" s="1"/>
      <c r="G3496" s="1"/>
      <c r="H3496" s="670"/>
      <c r="I3496" s="671"/>
    </row>
    <row r="3497" spans="1:10" ht="12.75" customHeight="1" x14ac:dyDescent="0.15">
      <c r="B3497" s="650" t="s">
        <v>890</v>
      </c>
      <c r="C3497" s="651"/>
      <c r="D3497" s="651"/>
      <c r="E3497" s="651"/>
      <c r="F3497" s="652"/>
      <c r="G3497" s="1"/>
      <c r="H3497" s="670"/>
      <c r="I3497" s="671"/>
    </row>
    <row r="3498" spans="1:10" ht="12.75" customHeight="1" x14ac:dyDescent="0.15">
      <c r="B3498" s="653"/>
      <c r="C3498" s="654"/>
      <c r="D3498" s="654"/>
      <c r="E3498" s="654"/>
      <c r="F3498" s="655"/>
      <c r="H3498" s="670"/>
      <c r="I3498" s="671"/>
    </row>
    <row r="3499" spans="1:10" ht="13.5" customHeight="1" x14ac:dyDescent="0.15">
      <c r="B3499" s="653"/>
      <c r="C3499" s="654"/>
      <c r="D3499" s="654"/>
      <c r="E3499" s="654"/>
      <c r="F3499" s="655"/>
      <c r="G3499" s="11"/>
      <c r="H3499" s="672"/>
      <c r="I3499" s="673"/>
    </row>
    <row r="3500" spans="1:10" ht="21.75" customHeight="1" thickBot="1" x14ac:dyDescent="0.2">
      <c r="B3500" s="656"/>
      <c r="C3500" s="657"/>
      <c r="D3500" s="657"/>
      <c r="E3500" s="657"/>
      <c r="F3500" s="658"/>
      <c r="H3500" s="64" t="s">
        <v>45</v>
      </c>
      <c r="I3500" s="17" t="s">
        <v>316</v>
      </c>
    </row>
    <row r="3501" spans="1:10" x14ac:dyDescent="0.15">
      <c r="B3501" s="18"/>
      <c r="C3501" s="18"/>
      <c r="D3501" s="1"/>
      <c r="E3501" s="18"/>
      <c r="F3501" s="18"/>
      <c r="G3501" s="18"/>
      <c r="H3501" s="18"/>
      <c r="I3501" s="1"/>
    </row>
    <row r="3502" spans="1:10" ht="14" thickBot="1" x14ac:dyDescent="0.2">
      <c r="B3502" s="12" t="s">
        <v>21</v>
      </c>
      <c r="C3502" s="12"/>
      <c r="D3502" s="1"/>
      <c r="E3502" s="1"/>
      <c r="F3502" s="1"/>
      <c r="G3502" s="1"/>
      <c r="H3502" s="1"/>
      <c r="I3502" s="1"/>
    </row>
    <row r="3503" spans="1:10" x14ac:dyDescent="0.15">
      <c r="B3503" s="628" t="s">
        <v>22</v>
      </c>
      <c r="C3503" s="629"/>
      <c r="D3503" s="630"/>
      <c r="E3503" s="205" t="s">
        <v>23</v>
      </c>
      <c r="F3503" s="19" t="s">
        <v>47</v>
      </c>
      <c r="G3503" s="205" t="s">
        <v>24</v>
      </c>
      <c r="H3503" s="204" t="s">
        <v>25</v>
      </c>
      <c r="I3503" s="43"/>
    </row>
    <row r="3504" spans="1:10" x14ac:dyDescent="0.15">
      <c r="B3504" s="631" t="s">
        <v>56</v>
      </c>
      <c r="C3504" s="632"/>
      <c r="D3504" s="633"/>
      <c r="E3504" s="5"/>
      <c r="F3504" s="160"/>
      <c r="G3504" s="392"/>
      <c r="H3504" s="163">
        <f>I3525*0.05</f>
        <v>8847.2124999999996</v>
      </c>
      <c r="I3504" s="44"/>
    </row>
    <row r="3505" spans="1:11" x14ac:dyDescent="0.15">
      <c r="B3505" s="631" t="s">
        <v>837</v>
      </c>
      <c r="C3505" s="632"/>
      <c r="D3505" s="633"/>
      <c r="E3505" s="5"/>
      <c r="F3505" s="160">
        <f>'HERRAMIENTAS Y EQUIPOS'!C25</f>
        <v>45000</v>
      </c>
      <c r="G3505" s="58">
        <v>3</v>
      </c>
      <c r="H3505" s="160">
        <f>F3505/G3505</f>
        <v>15000</v>
      </c>
      <c r="I3505" s="44"/>
      <c r="K3505" s="223"/>
    </row>
    <row r="3506" spans="1:11" ht="14" thickBot="1" x14ac:dyDescent="0.2">
      <c r="B3506" s="634"/>
      <c r="C3506" s="635"/>
      <c r="D3506" s="636"/>
      <c r="E3506" s="21"/>
      <c r="F3506" s="22"/>
      <c r="G3506" s="23"/>
      <c r="H3506" s="47"/>
      <c r="I3506" s="48"/>
    </row>
    <row r="3507" spans="1:11" ht="14" thickBot="1" x14ac:dyDescent="0.2">
      <c r="B3507" s="1"/>
      <c r="C3507" s="1"/>
      <c r="D3507" s="1"/>
      <c r="E3507" s="1"/>
      <c r="F3507" s="1"/>
      <c r="G3507" s="1"/>
      <c r="H3507" s="37" t="s">
        <v>26</v>
      </c>
      <c r="I3507" s="161">
        <f>SUM(H3504:H3506)</f>
        <v>23847.212500000001</v>
      </c>
    </row>
    <row r="3508" spans="1:11" ht="14" thickBot="1" x14ac:dyDescent="0.2">
      <c r="B3508" s="12" t="s">
        <v>27</v>
      </c>
      <c r="C3508" s="12"/>
      <c r="D3508" s="1"/>
      <c r="E3508" s="1"/>
      <c r="F3508" s="1"/>
      <c r="G3508" s="1"/>
      <c r="H3508" s="1"/>
      <c r="I3508" s="1"/>
    </row>
    <row r="3509" spans="1:11" x14ac:dyDescent="0.15">
      <c r="B3509" s="628" t="s">
        <v>22</v>
      </c>
      <c r="C3509" s="629"/>
      <c r="D3509" s="630"/>
      <c r="E3509" s="205" t="s">
        <v>28</v>
      </c>
      <c r="F3509" s="205" t="s">
        <v>29</v>
      </c>
      <c r="G3509" s="205" t="s">
        <v>30</v>
      </c>
      <c r="H3509" s="204" t="s">
        <v>25</v>
      </c>
      <c r="I3509" s="43"/>
    </row>
    <row r="3510" spans="1:11" x14ac:dyDescent="0.15">
      <c r="A3510" s="11"/>
      <c r="B3510" s="4" t="s">
        <v>67</v>
      </c>
      <c r="C3510" s="24"/>
      <c r="D3510" s="6"/>
      <c r="E3510" s="3" t="s">
        <v>58</v>
      </c>
      <c r="F3510" s="162">
        <f>'APU -BASICOS'!H260</f>
        <v>9182</v>
      </c>
      <c r="G3510" s="65">
        <f>(0.7*20*0.56)+(2*6*0.56)</f>
        <v>14.560000000000002</v>
      </c>
      <c r="H3510" s="163">
        <f>G3510*F3510</f>
        <v>133689.92000000001</v>
      </c>
      <c r="I3510" s="44"/>
      <c r="J3510" s="11"/>
    </row>
    <row r="3511" spans="1:11" x14ac:dyDescent="0.15">
      <c r="A3511" s="11"/>
      <c r="B3511" s="4" t="s">
        <v>63</v>
      </c>
      <c r="C3511" s="24"/>
      <c r="D3511" s="6"/>
      <c r="E3511" s="3" t="s">
        <v>6</v>
      </c>
      <c r="F3511" s="162">
        <f>'APU -BASICOS'!H96</f>
        <v>585821</v>
      </c>
      <c r="G3511" s="65">
        <f>(2.8*0.15*0.3)+(0.75*0.75*0.15*2)</f>
        <v>0.29474999999999996</v>
      </c>
      <c r="H3511" s="163">
        <f>G3511*F3511</f>
        <v>172670.73974999998</v>
      </c>
      <c r="I3511" s="44"/>
      <c r="J3511" s="11"/>
    </row>
    <row r="3512" spans="1:11" x14ac:dyDescent="0.15">
      <c r="B3512" s="4"/>
      <c r="C3512" s="24"/>
      <c r="D3512" s="6"/>
      <c r="E3512" s="3"/>
      <c r="F3512" s="162"/>
      <c r="G3512" s="65"/>
      <c r="H3512" s="163"/>
      <c r="I3512" s="44"/>
    </row>
    <row r="3513" spans="1:11" ht="14" thickBot="1" x14ac:dyDescent="0.2">
      <c r="B3513" s="25"/>
      <c r="C3513" s="26"/>
      <c r="D3513" s="27"/>
      <c r="E3513" s="21"/>
      <c r="F3513" s="22"/>
      <c r="G3513" s="165"/>
      <c r="H3513" s="47"/>
      <c r="I3513" s="48"/>
    </row>
    <row r="3514" spans="1:11" ht="14" thickBot="1" x14ac:dyDescent="0.2">
      <c r="B3514" s="1"/>
      <c r="C3514" s="1"/>
      <c r="D3514" s="1"/>
      <c r="E3514" s="1"/>
      <c r="F3514" s="1"/>
      <c r="G3514" s="1"/>
      <c r="H3514" s="37" t="s">
        <v>26</v>
      </c>
      <c r="I3514" s="161">
        <f>SUM(H3510:H3512)</f>
        <v>306360.65974999999</v>
      </c>
    </row>
    <row r="3515" spans="1:11" ht="14" thickBot="1" x14ac:dyDescent="0.2">
      <c r="B3515" s="28" t="s">
        <v>31</v>
      </c>
      <c r="C3515" s="28"/>
      <c r="D3515" s="26"/>
      <c r="E3515" s="1"/>
      <c r="F3515" s="1"/>
      <c r="G3515" s="1"/>
      <c r="H3515" s="1"/>
      <c r="I3515" s="1"/>
    </row>
    <row r="3516" spans="1:11" x14ac:dyDescent="0.15">
      <c r="B3516" s="51" t="s">
        <v>32</v>
      </c>
      <c r="C3516" s="52"/>
      <c r="D3516" s="96" t="s">
        <v>33</v>
      </c>
      <c r="E3516" s="205" t="s">
        <v>34</v>
      </c>
      <c r="F3516" s="205" t="s">
        <v>35</v>
      </c>
      <c r="G3516" s="205" t="s">
        <v>36</v>
      </c>
      <c r="H3516" s="59" t="s">
        <v>25</v>
      </c>
      <c r="I3516" s="43"/>
      <c r="K3516" s="105"/>
    </row>
    <row r="3517" spans="1:11" x14ac:dyDescent="0.15">
      <c r="B3517" s="4" t="s">
        <v>838</v>
      </c>
      <c r="C3517" s="6"/>
      <c r="D3517" s="53">
        <v>0.5</v>
      </c>
      <c r="E3517" s="2">
        <v>15</v>
      </c>
      <c r="F3517" s="2">
        <f>E3517*D3517</f>
        <v>7.5</v>
      </c>
      <c r="G3517" s="160">
        <v>1100</v>
      </c>
      <c r="H3517" s="20">
        <f>G3517*F3517</f>
        <v>8250</v>
      </c>
      <c r="I3517" s="44"/>
    </row>
    <row r="3518" spans="1:11" ht="14" thickBot="1" x14ac:dyDescent="0.2">
      <c r="B3518" s="33"/>
      <c r="C3518" s="54"/>
      <c r="D3518" s="21"/>
      <c r="E3518" s="22"/>
      <c r="F3518" s="23"/>
      <c r="G3518" s="47"/>
      <c r="H3518" s="21"/>
      <c r="I3518" s="48"/>
    </row>
    <row r="3519" spans="1:11" ht="14" thickBot="1" x14ac:dyDescent="0.2">
      <c r="B3519" s="1"/>
      <c r="C3519" s="1"/>
      <c r="D3519" s="1"/>
      <c r="E3519" s="1"/>
      <c r="F3519" s="1"/>
      <c r="G3519" s="1"/>
      <c r="H3519" s="37" t="s">
        <v>26</v>
      </c>
      <c r="I3519" s="161">
        <f>SUM(H3517:H3518)</f>
        <v>8250</v>
      </c>
    </row>
    <row r="3520" spans="1:11" ht="14" thickBot="1" x14ac:dyDescent="0.2">
      <c r="B3520" s="12" t="s">
        <v>37</v>
      </c>
      <c r="C3520" s="12"/>
      <c r="D3520" s="1"/>
      <c r="E3520" s="1"/>
      <c r="F3520" s="1"/>
      <c r="G3520" s="1"/>
      <c r="H3520" s="1"/>
      <c r="I3520" s="1"/>
      <c r="K3520" s="105"/>
    </row>
    <row r="3521" spans="1:11" x14ac:dyDescent="0.15">
      <c r="B3521" s="628" t="s">
        <v>38</v>
      </c>
      <c r="C3521" s="630"/>
      <c r="D3521" s="31" t="s">
        <v>39</v>
      </c>
      <c r="E3521" s="31" t="s">
        <v>40</v>
      </c>
      <c r="F3521" s="399" t="s">
        <v>41</v>
      </c>
      <c r="G3521" s="31" t="s">
        <v>24</v>
      </c>
      <c r="H3521" s="385" t="s">
        <v>25</v>
      </c>
      <c r="I3521" s="43"/>
    </row>
    <row r="3522" spans="1:11" x14ac:dyDescent="0.15">
      <c r="A3522" s="11"/>
      <c r="B3522" s="674" t="s">
        <v>65</v>
      </c>
      <c r="C3522" s="675"/>
      <c r="D3522" s="32">
        <f>'MANO DE OBRA'!E15</f>
        <v>95333</v>
      </c>
      <c r="E3522" s="166">
        <v>1.75</v>
      </c>
      <c r="F3522" s="162">
        <f>+E3522*D3522</f>
        <v>166832.75</v>
      </c>
      <c r="G3522" s="79">
        <v>3</v>
      </c>
      <c r="H3522" s="163">
        <f>+F3522/G3522</f>
        <v>55610.916666666664</v>
      </c>
      <c r="I3522" s="44"/>
      <c r="J3522" s="11"/>
      <c r="K3522" s="105"/>
    </row>
    <row r="3523" spans="1:11" x14ac:dyDescent="0.15">
      <c r="B3523" s="674" t="s">
        <v>442</v>
      </c>
      <c r="C3523" s="675"/>
      <c r="D3523" s="32">
        <f>'MANO DE OBRA'!E14*4</f>
        <v>208000</v>
      </c>
      <c r="E3523" s="166">
        <v>1.75</v>
      </c>
      <c r="F3523" s="162">
        <f>+E3523*D3523</f>
        <v>364000</v>
      </c>
      <c r="G3523" s="79">
        <v>3</v>
      </c>
      <c r="H3523" s="163">
        <f>+F3523/G3523</f>
        <v>121333.33333333333</v>
      </c>
      <c r="I3523" s="44"/>
      <c r="K3523" s="105"/>
    </row>
    <row r="3524" spans="1:11" ht="14" thickBot="1" x14ac:dyDescent="0.2">
      <c r="B3524" s="698"/>
      <c r="C3524" s="699"/>
      <c r="D3524" s="22"/>
      <c r="E3524" s="21"/>
      <c r="F3524" s="22"/>
      <c r="G3524" s="23"/>
      <c r="H3524" s="47"/>
      <c r="I3524" s="48"/>
    </row>
    <row r="3525" spans="1:11" ht="14" thickBot="1" x14ac:dyDescent="0.2">
      <c r="B3525" s="1"/>
      <c r="C3525" s="1"/>
      <c r="D3525" s="1"/>
      <c r="E3525" s="1"/>
      <c r="F3525" s="1"/>
      <c r="G3525" s="1"/>
      <c r="H3525" s="37" t="s">
        <v>26</v>
      </c>
      <c r="I3525" s="175">
        <f>SUM(H3522:H3523)</f>
        <v>176944.25</v>
      </c>
      <c r="K3525" s="105"/>
    </row>
    <row r="3526" spans="1:11" ht="14" thickBot="1" x14ac:dyDescent="0.2">
      <c r="B3526" s="1"/>
      <c r="C3526" s="1"/>
      <c r="D3526" s="1"/>
      <c r="E3526" s="1"/>
      <c r="F3526" s="1"/>
      <c r="G3526" s="1"/>
      <c r="H3526" s="61"/>
      <c r="I3526" s="1"/>
    </row>
    <row r="3527" spans="1:11" ht="15" thickBot="1" x14ac:dyDescent="0.2">
      <c r="A3527" s="11"/>
      <c r="B3527" s="1"/>
      <c r="C3527" s="1"/>
      <c r="D3527" s="1"/>
      <c r="E3527" s="1"/>
      <c r="F3527" s="35" t="s">
        <v>43</v>
      </c>
      <c r="G3527" s="16"/>
      <c r="H3527" s="16"/>
      <c r="I3527" s="325">
        <f>ROUND((I3507+I3514+I3520+I3525),0)</f>
        <v>507152</v>
      </c>
      <c r="J3527" s="11"/>
    </row>
    <row r="3528" spans="1:11" x14ac:dyDescent="0.15">
      <c r="B3528" s="12"/>
      <c r="C3528" s="12"/>
      <c r="D3528" s="1"/>
      <c r="E3528" s="1"/>
      <c r="F3528" s="1"/>
      <c r="G3528" s="1"/>
      <c r="H3528" s="170"/>
      <c r="I3528" s="170"/>
    </row>
    <row r="3529" spans="1:11" x14ac:dyDescent="0.15">
      <c r="B3529" s="16"/>
      <c r="C3529" s="16"/>
      <c r="D3529" s="16"/>
      <c r="E3529" s="16"/>
      <c r="F3529" s="16"/>
      <c r="G3529" s="61"/>
      <c r="H3529" s="171"/>
      <c r="I3529" s="170"/>
    </row>
    <row r="3530" spans="1:11" x14ac:dyDescent="0.15">
      <c r="B3530" s="1"/>
      <c r="C3530" s="1"/>
      <c r="D3530" s="1"/>
      <c r="E3530" s="1"/>
      <c r="F3530" s="1"/>
      <c r="G3530" s="159"/>
      <c r="H3530" s="170"/>
      <c r="I3530" s="170"/>
    </row>
    <row r="3531" spans="1:11" x14ac:dyDescent="0.15">
      <c r="B3531" s="1"/>
      <c r="C3531" s="1"/>
      <c r="D3531" s="1"/>
      <c r="E3531" s="1"/>
      <c r="F3531" s="1"/>
      <c r="G3531" s="159"/>
      <c r="H3531" s="170"/>
      <c r="I3531" s="170"/>
    </row>
    <row r="3532" spans="1:11" x14ac:dyDescent="0.15">
      <c r="B3532" s="1"/>
      <c r="C3532" s="1"/>
      <c r="D3532" s="1"/>
      <c r="E3532" s="1"/>
      <c r="F3532" s="1"/>
      <c r="G3532" s="159"/>
      <c r="H3532" s="170"/>
      <c r="I3532" s="170"/>
    </row>
    <row r="3533" spans="1:11" x14ac:dyDescent="0.15">
      <c r="B3533" s="1"/>
      <c r="C3533" s="1"/>
      <c r="D3533" s="1"/>
      <c r="E3533" s="1"/>
      <c r="F3533" s="1"/>
      <c r="G3533" s="159"/>
      <c r="H3533" s="170"/>
      <c r="I3533" s="170"/>
    </row>
    <row r="3534" spans="1:11" x14ac:dyDescent="0.15">
      <c r="B3534" s="1"/>
      <c r="C3534" s="1"/>
      <c r="D3534" s="1"/>
      <c r="E3534" s="1"/>
      <c r="F3534" s="1"/>
      <c r="G3534" s="159"/>
      <c r="H3534" s="170"/>
      <c r="I3534" s="170"/>
    </row>
    <row r="3535" spans="1:11" x14ac:dyDescent="0.15">
      <c r="B3535" s="1"/>
      <c r="C3535" s="1"/>
      <c r="D3535" s="1"/>
      <c r="E3535" s="1"/>
      <c r="F3535" s="1"/>
      <c r="G3535" s="1"/>
      <c r="H3535" s="37"/>
      <c r="I3535" s="170"/>
    </row>
    <row r="3536" spans="1:11" ht="14" x14ac:dyDescent="0.15">
      <c r="B3536" s="101"/>
      <c r="C3536" s="1"/>
      <c r="D3536" s="1"/>
      <c r="E3536" s="1"/>
      <c r="F3536" s="1"/>
      <c r="G3536" s="1"/>
      <c r="H3536" s="1"/>
      <c r="I3536" s="170"/>
    </row>
    <row r="3537" spans="1:10" ht="14" x14ac:dyDescent="0.15">
      <c r="B3537" s="83"/>
      <c r="C3537" s="11"/>
      <c r="D3537" s="1"/>
      <c r="E3537" s="637"/>
      <c r="F3537" s="637"/>
      <c r="G3537" s="637"/>
      <c r="H3537" s="637"/>
      <c r="I3537" s="169"/>
    </row>
    <row r="3538" spans="1:10" ht="14" x14ac:dyDescent="0.15">
      <c r="B3538" s="83"/>
      <c r="C3538" s="11"/>
      <c r="D3538" s="1"/>
      <c r="E3538" s="153"/>
      <c r="F3538" s="153"/>
      <c r="G3538" s="153"/>
      <c r="H3538" s="153"/>
      <c r="I3538" s="169"/>
    </row>
    <row r="3539" spans="1:10" ht="14" x14ac:dyDescent="0.15">
      <c r="B3539" s="83"/>
      <c r="C3539" s="11"/>
      <c r="D3539" s="1"/>
      <c r="E3539" s="153"/>
      <c r="F3539" s="153"/>
      <c r="G3539" s="153"/>
      <c r="H3539" s="153"/>
      <c r="I3539" s="169"/>
    </row>
    <row r="3540" spans="1:10" ht="14" x14ac:dyDescent="0.15">
      <c r="B3540" s="83"/>
      <c r="C3540" s="11"/>
      <c r="D3540" s="1"/>
      <c r="E3540" s="153"/>
      <c r="F3540" s="153"/>
      <c r="G3540" s="153"/>
      <c r="H3540" s="153"/>
      <c r="I3540" s="169"/>
    </row>
    <row r="3541" spans="1:10" ht="14" x14ac:dyDescent="0.15">
      <c r="B3541" s="83"/>
      <c r="C3541" s="11"/>
      <c r="D3541" s="1"/>
      <c r="E3541" s="153"/>
      <c r="F3541" s="153"/>
      <c r="G3541" s="153"/>
      <c r="H3541" s="153"/>
      <c r="I3541" s="169"/>
    </row>
    <row r="3542" spans="1:10" ht="14" x14ac:dyDescent="0.15">
      <c r="B3542" s="83"/>
      <c r="C3542" s="11"/>
      <c r="D3542" s="1"/>
      <c r="E3542" s="153"/>
      <c r="F3542" s="153"/>
      <c r="G3542" s="153"/>
      <c r="H3542" s="153"/>
      <c r="I3542" s="169"/>
    </row>
    <row r="3543" spans="1:10" x14ac:dyDescent="0.15">
      <c r="B3543" s="11"/>
      <c r="C3543" s="11"/>
      <c r="D3543" s="1"/>
      <c r="E3543" s="153"/>
      <c r="F3543" s="153"/>
      <c r="G3543" s="153"/>
      <c r="H3543" s="153"/>
      <c r="I3543" s="169"/>
    </row>
    <row r="3544" spans="1:10" x14ac:dyDescent="0.15">
      <c r="B3544" s="11"/>
      <c r="C3544" s="11"/>
      <c r="D3544" s="1"/>
      <c r="E3544" s="153"/>
      <c r="F3544" s="153"/>
      <c r="G3544" s="153"/>
      <c r="H3544" s="153"/>
      <c r="I3544" s="169"/>
    </row>
    <row r="3545" spans="1:10" x14ac:dyDescent="0.15">
      <c r="B3545" s="11"/>
      <c r="C3545" s="11"/>
      <c r="D3545" s="1"/>
      <c r="E3545" s="153"/>
      <c r="F3545" s="153"/>
      <c r="G3545" s="153"/>
      <c r="H3545" s="153"/>
      <c r="I3545" s="169"/>
    </row>
    <row r="3546" spans="1:10" x14ac:dyDescent="0.15">
      <c r="B3546" s="11"/>
      <c r="C3546" s="11"/>
      <c r="D3546" s="1"/>
      <c r="E3546" s="153"/>
      <c r="F3546" s="153"/>
      <c r="G3546" s="153"/>
      <c r="H3546" s="153"/>
      <c r="I3546" s="169"/>
    </row>
    <row r="3547" spans="1:10" ht="14" x14ac:dyDescent="0.15">
      <c r="A3547" s="85"/>
      <c r="B3547" s="101"/>
      <c r="C3547" s="83"/>
      <c r="D3547" s="84"/>
      <c r="E3547" s="83"/>
      <c r="F3547" s="83"/>
      <c r="G3547" s="102"/>
      <c r="H3547" s="83"/>
      <c r="I3547" s="85"/>
      <c r="J3547" s="85"/>
    </row>
    <row r="3548" spans="1:10" ht="14" x14ac:dyDescent="0.15">
      <c r="A3548" s="85"/>
      <c r="B3548" s="83"/>
      <c r="C3548" s="83"/>
      <c r="D3548" s="84"/>
      <c r="E3548" s="83"/>
      <c r="F3548" s="83"/>
      <c r="G3548" s="103"/>
      <c r="H3548" s="83"/>
      <c r="I3548" s="85"/>
      <c r="J3548" s="85"/>
    </row>
    <row r="3549" spans="1:10" ht="14" x14ac:dyDescent="0.15">
      <c r="A3549" s="85"/>
      <c r="B3549" s="83"/>
      <c r="C3549" s="83"/>
      <c r="D3549" s="84"/>
      <c r="E3549" s="83"/>
      <c r="F3549" s="83"/>
      <c r="G3549" s="103"/>
      <c r="H3549" s="83"/>
      <c r="I3549" s="85"/>
      <c r="J3549" s="85"/>
    </row>
    <row r="3550" spans="1:10" x14ac:dyDescent="0.15">
      <c r="B3550" s="11"/>
      <c r="C3550" s="11"/>
      <c r="D3550" s="1"/>
      <c r="E3550" s="153"/>
      <c r="F3550" s="153"/>
      <c r="G3550" s="153"/>
      <c r="H3550" s="153"/>
      <c r="I3550" s="169"/>
    </row>
    <row r="3551" spans="1:10" ht="14" thickBot="1" x14ac:dyDescent="0.2">
      <c r="B3551" s="11"/>
      <c r="C3551" s="11"/>
      <c r="D3551" s="1"/>
      <c r="E3551" s="153"/>
      <c r="F3551" s="153"/>
      <c r="G3551" s="153"/>
      <c r="H3551" s="153"/>
      <c r="I3551" s="169"/>
    </row>
    <row r="3552" spans="1:10" ht="21" customHeight="1" x14ac:dyDescent="0.15">
      <c r="B3552" s="607" t="s">
        <v>1065</v>
      </c>
      <c r="C3552" s="608"/>
      <c r="D3552" s="608"/>
      <c r="E3552" s="608"/>
      <c r="F3552" s="609"/>
      <c r="G3552" s="1"/>
      <c r="H3552" s="733" t="s">
        <v>20</v>
      </c>
      <c r="I3552" s="734"/>
    </row>
    <row r="3553" spans="2:9" ht="16.5" customHeight="1" x14ac:dyDescent="0.15">
      <c r="B3553" s="604" t="s">
        <v>446</v>
      </c>
      <c r="C3553" s="605"/>
      <c r="D3553" s="605"/>
      <c r="E3553" s="605"/>
      <c r="F3553" s="606"/>
      <c r="G3553" s="63"/>
      <c r="H3553" s="725" t="s">
        <v>696</v>
      </c>
      <c r="I3553" s="726"/>
    </row>
    <row r="3554" spans="2:9" ht="12.75" customHeight="1" x14ac:dyDescent="0.15">
      <c r="B3554" s="610" t="s">
        <v>447</v>
      </c>
      <c r="C3554" s="611"/>
      <c r="D3554" s="611"/>
      <c r="E3554" s="611"/>
      <c r="F3554" s="612"/>
      <c r="G3554" s="63"/>
      <c r="H3554" s="725"/>
      <c r="I3554" s="726"/>
    </row>
    <row r="3555" spans="2:9" ht="16.5" customHeight="1" thickBot="1" x14ac:dyDescent="0.2">
      <c r="B3555" s="613"/>
      <c r="C3555" s="614"/>
      <c r="D3555" s="614"/>
      <c r="E3555" s="614"/>
      <c r="F3555" s="615"/>
      <c r="G3555" s="1"/>
      <c r="H3555" s="725"/>
      <c r="I3555" s="726"/>
    </row>
    <row r="3556" spans="2:9" ht="14" thickBot="1" x14ac:dyDescent="0.2">
      <c r="B3556" s="15"/>
      <c r="C3556" s="16"/>
      <c r="D3556" s="1"/>
      <c r="E3556" s="1"/>
      <c r="F3556" s="1"/>
      <c r="G3556" s="1"/>
      <c r="H3556" s="725"/>
      <c r="I3556" s="726"/>
    </row>
    <row r="3557" spans="2:9" ht="12.75" customHeight="1" x14ac:dyDescent="0.15">
      <c r="B3557" s="650" t="s">
        <v>890</v>
      </c>
      <c r="C3557" s="651"/>
      <c r="D3557" s="651"/>
      <c r="E3557" s="651"/>
      <c r="F3557" s="652"/>
      <c r="G3557" s="1"/>
      <c r="H3557" s="725"/>
      <c r="I3557" s="726"/>
    </row>
    <row r="3558" spans="2:9" ht="12.75" customHeight="1" x14ac:dyDescent="0.15">
      <c r="B3558" s="653"/>
      <c r="C3558" s="654"/>
      <c r="D3558" s="654"/>
      <c r="E3558" s="654"/>
      <c r="F3558" s="655"/>
      <c r="H3558" s="725"/>
      <c r="I3558" s="726"/>
    </row>
    <row r="3559" spans="2:9" ht="13.5" customHeight="1" x14ac:dyDescent="0.15">
      <c r="B3559" s="653"/>
      <c r="C3559" s="654"/>
      <c r="D3559" s="654"/>
      <c r="E3559" s="654"/>
      <c r="F3559" s="655"/>
      <c r="G3559" s="11"/>
      <c r="H3559" s="725"/>
      <c r="I3559" s="726"/>
    </row>
    <row r="3560" spans="2:9" ht="21.75" customHeight="1" thickBot="1" x14ac:dyDescent="0.2">
      <c r="B3560" s="656"/>
      <c r="C3560" s="657"/>
      <c r="D3560" s="657"/>
      <c r="E3560" s="657"/>
      <c r="F3560" s="658"/>
      <c r="H3560" s="64" t="s">
        <v>45</v>
      </c>
      <c r="I3560" s="17" t="s">
        <v>193</v>
      </c>
    </row>
    <row r="3561" spans="2:9" x14ac:dyDescent="0.15">
      <c r="B3561" s="18"/>
      <c r="C3561" s="18"/>
      <c r="D3561" s="1"/>
      <c r="E3561" s="18"/>
      <c r="F3561" s="18"/>
      <c r="G3561" s="18"/>
      <c r="H3561" s="18"/>
      <c r="I3561" s="1"/>
    </row>
    <row r="3562" spans="2:9" ht="14" thickBot="1" x14ac:dyDescent="0.2">
      <c r="B3562" s="12" t="s">
        <v>21</v>
      </c>
      <c r="C3562" s="12"/>
      <c r="D3562" s="1"/>
      <c r="E3562" s="1"/>
      <c r="F3562" s="1"/>
      <c r="G3562" s="1"/>
      <c r="H3562" s="1"/>
      <c r="I3562" s="1"/>
    </row>
    <row r="3563" spans="2:9" x14ac:dyDescent="0.15">
      <c r="B3563" s="628" t="s">
        <v>22</v>
      </c>
      <c r="C3563" s="629"/>
      <c r="D3563" s="630"/>
      <c r="E3563" s="205" t="s">
        <v>23</v>
      </c>
      <c r="F3563" s="19" t="s">
        <v>47</v>
      </c>
      <c r="G3563" s="205" t="s">
        <v>24</v>
      </c>
      <c r="H3563" s="204" t="s">
        <v>25</v>
      </c>
      <c r="I3563" s="43"/>
    </row>
    <row r="3564" spans="2:9" x14ac:dyDescent="0.15">
      <c r="B3564" s="631" t="s">
        <v>56</v>
      </c>
      <c r="C3564" s="632"/>
      <c r="D3564" s="633"/>
      <c r="E3564" s="5"/>
      <c r="F3564" s="160"/>
      <c r="G3564" s="58"/>
      <c r="H3564" s="163">
        <v>450</v>
      </c>
      <c r="I3564" s="44"/>
    </row>
    <row r="3565" spans="2:9" ht="14" thickBot="1" x14ac:dyDescent="0.2">
      <c r="B3565" s="634"/>
      <c r="C3565" s="635"/>
      <c r="D3565" s="636"/>
      <c r="E3565" s="21"/>
      <c r="F3565" s="22"/>
      <c r="G3565" s="23"/>
      <c r="H3565" s="47"/>
      <c r="I3565" s="48"/>
    </row>
    <row r="3566" spans="2:9" ht="14" thickBot="1" x14ac:dyDescent="0.2">
      <c r="B3566" s="1"/>
      <c r="C3566" s="1"/>
      <c r="D3566" s="1"/>
      <c r="E3566" s="1"/>
      <c r="F3566" s="1"/>
      <c r="G3566" s="1"/>
      <c r="H3566" s="37" t="s">
        <v>26</v>
      </c>
      <c r="I3566" s="161">
        <f>SUM(H3564:H3565)</f>
        <v>450</v>
      </c>
    </row>
    <row r="3567" spans="2:9" ht="14" thickBot="1" x14ac:dyDescent="0.2">
      <c r="B3567" s="12" t="s">
        <v>27</v>
      </c>
      <c r="C3567" s="12"/>
      <c r="D3567" s="1"/>
      <c r="E3567" s="1"/>
      <c r="F3567" s="1"/>
      <c r="G3567" s="1"/>
      <c r="H3567" s="1"/>
      <c r="I3567" s="1"/>
    </row>
    <row r="3568" spans="2:9" x14ac:dyDescent="0.15">
      <c r="B3568" s="628" t="s">
        <v>22</v>
      </c>
      <c r="C3568" s="629"/>
      <c r="D3568" s="630"/>
      <c r="E3568" s="205" t="s">
        <v>28</v>
      </c>
      <c r="F3568" s="205" t="s">
        <v>29</v>
      </c>
      <c r="G3568" s="205" t="s">
        <v>30</v>
      </c>
      <c r="H3568" s="204" t="s">
        <v>25</v>
      </c>
      <c r="I3568" s="43"/>
    </row>
    <row r="3569" spans="2:9" ht="13.5" customHeight="1" x14ac:dyDescent="0.15">
      <c r="B3569" s="4" t="s">
        <v>692</v>
      </c>
      <c r="C3569" s="24"/>
      <c r="D3569" s="6"/>
      <c r="E3569" s="3" t="s">
        <v>193</v>
      </c>
      <c r="F3569" s="162">
        <f>MATERIALES!F164</f>
        <v>3240</v>
      </c>
      <c r="G3569" s="65">
        <v>3</v>
      </c>
      <c r="H3569" s="163">
        <f t="shared" ref="H3569:H3571" si="24">G3569*F3569</f>
        <v>9720</v>
      </c>
      <c r="I3569" s="44"/>
    </row>
    <row r="3570" spans="2:9" x14ac:dyDescent="0.15">
      <c r="B3570" s="4" t="s">
        <v>694</v>
      </c>
      <c r="C3570" s="24"/>
      <c r="D3570" s="6"/>
      <c r="E3570" s="3" t="s">
        <v>316</v>
      </c>
      <c r="F3570" s="162">
        <f>MATERIALES!F165</f>
        <v>27000</v>
      </c>
      <c r="G3570" s="65">
        <v>0.03</v>
      </c>
      <c r="H3570" s="163">
        <f t="shared" si="24"/>
        <v>810</v>
      </c>
      <c r="I3570" s="44"/>
    </row>
    <row r="3571" spans="2:9" x14ac:dyDescent="0.15">
      <c r="B3571" s="4" t="s">
        <v>693</v>
      </c>
      <c r="C3571" s="24"/>
      <c r="D3571" s="6"/>
      <c r="E3571" s="3" t="s">
        <v>316</v>
      </c>
      <c r="F3571" s="162">
        <f>MATERIALES!C166</f>
        <v>3375</v>
      </c>
      <c r="G3571" s="65">
        <v>0.3</v>
      </c>
      <c r="H3571" s="163">
        <f t="shared" si="24"/>
        <v>1012.5</v>
      </c>
      <c r="I3571" s="44"/>
    </row>
    <row r="3572" spans="2:9" ht="14" thickBot="1" x14ac:dyDescent="0.2">
      <c r="B3572" s="25"/>
      <c r="C3572" s="26"/>
      <c r="D3572" s="27"/>
      <c r="E3572" s="21"/>
      <c r="F3572" s="104"/>
      <c r="G3572" s="165"/>
      <c r="H3572" s="47"/>
      <c r="I3572" s="48"/>
    </row>
    <row r="3573" spans="2:9" ht="14" thickBot="1" x14ac:dyDescent="0.2">
      <c r="B3573" s="1"/>
      <c r="C3573" s="1"/>
      <c r="D3573" s="1"/>
      <c r="E3573" s="1"/>
      <c r="F3573" s="1"/>
      <c r="G3573" s="1"/>
      <c r="H3573" s="37" t="s">
        <v>26</v>
      </c>
      <c r="I3573" s="161">
        <f>SUM(H3569:H3572)</f>
        <v>11542.5</v>
      </c>
    </row>
    <row r="3574" spans="2:9" ht="14" thickBot="1" x14ac:dyDescent="0.2">
      <c r="B3574" s="28" t="s">
        <v>31</v>
      </c>
      <c r="C3574" s="28"/>
      <c r="D3574" s="26"/>
      <c r="E3574" s="1"/>
      <c r="F3574" s="1"/>
      <c r="G3574" s="1"/>
      <c r="H3574" s="1"/>
      <c r="I3574" s="1"/>
    </row>
    <row r="3575" spans="2:9" x14ac:dyDescent="0.15">
      <c r="B3575" s="51" t="s">
        <v>32</v>
      </c>
      <c r="C3575" s="52"/>
      <c r="D3575" s="96" t="s">
        <v>33</v>
      </c>
      <c r="E3575" s="205" t="s">
        <v>34</v>
      </c>
      <c r="F3575" s="205" t="s">
        <v>35</v>
      </c>
      <c r="G3575" s="205" t="s">
        <v>36</v>
      </c>
      <c r="H3575" s="59" t="s">
        <v>25</v>
      </c>
      <c r="I3575" s="43"/>
    </row>
    <row r="3576" spans="2:9" x14ac:dyDescent="0.15">
      <c r="B3576" s="4" t="s">
        <v>79</v>
      </c>
      <c r="C3576" s="6"/>
      <c r="D3576" s="53">
        <v>0.03</v>
      </c>
      <c r="E3576" s="2">
        <v>43</v>
      </c>
      <c r="F3576" s="2">
        <f>E3576*D3576</f>
        <v>1.29</v>
      </c>
      <c r="G3576" s="65">
        <v>1100</v>
      </c>
      <c r="H3576" s="20">
        <f>G3576*F3576</f>
        <v>1419</v>
      </c>
      <c r="I3576" s="44"/>
    </row>
    <row r="3577" spans="2:9" ht="14" thickBot="1" x14ac:dyDescent="0.2">
      <c r="B3577" s="33"/>
      <c r="C3577" s="54"/>
      <c r="D3577" s="21"/>
      <c r="E3577" s="22"/>
      <c r="F3577" s="23"/>
      <c r="G3577" s="47"/>
      <c r="H3577" s="21"/>
      <c r="I3577" s="48"/>
    </row>
    <row r="3578" spans="2:9" ht="14" thickBot="1" x14ac:dyDescent="0.2">
      <c r="B3578" s="1"/>
      <c r="C3578" s="1"/>
      <c r="D3578" s="1"/>
      <c r="E3578" s="1"/>
      <c r="F3578" s="1"/>
      <c r="G3578" s="1"/>
      <c r="H3578" s="37" t="s">
        <v>26</v>
      </c>
      <c r="I3578" s="161">
        <f>SUM(H3576:H3577)</f>
        <v>1419</v>
      </c>
    </row>
    <row r="3579" spans="2:9" ht="14" thickBot="1" x14ac:dyDescent="0.2">
      <c r="B3579" s="28" t="s">
        <v>37</v>
      </c>
      <c r="C3579" s="28"/>
      <c r="D3579" s="1"/>
      <c r="E3579" s="1"/>
      <c r="F3579" s="1"/>
      <c r="G3579" s="1"/>
      <c r="H3579" s="1"/>
      <c r="I3579" s="1"/>
    </row>
    <row r="3580" spans="2:9" x14ac:dyDescent="0.15">
      <c r="B3580" s="51" t="s">
        <v>38</v>
      </c>
      <c r="C3580" s="86"/>
      <c r="D3580" s="31" t="s">
        <v>39</v>
      </c>
      <c r="E3580" s="205" t="s">
        <v>40</v>
      </c>
      <c r="F3580" s="19" t="s">
        <v>41</v>
      </c>
      <c r="G3580" s="31" t="s">
        <v>24</v>
      </c>
      <c r="H3580" s="204" t="s">
        <v>25</v>
      </c>
      <c r="I3580" s="43"/>
    </row>
    <row r="3581" spans="2:9" x14ac:dyDescent="0.15">
      <c r="B3581" s="4" t="s">
        <v>106</v>
      </c>
      <c r="C3581" s="24"/>
      <c r="D3581" s="32">
        <f>'MANO DE OBRA'!E16</f>
        <v>95333</v>
      </c>
      <c r="E3581" s="166">
        <v>1.75</v>
      </c>
      <c r="F3581" s="162">
        <f>+E3581*D3581</f>
        <v>166832.75</v>
      </c>
      <c r="G3581" s="20">
        <v>40</v>
      </c>
      <c r="H3581" s="167">
        <f>+F3581/G3581</f>
        <v>4170.8187500000004</v>
      </c>
      <c r="I3581" s="44"/>
    </row>
    <row r="3582" spans="2:9" x14ac:dyDescent="0.15">
      <c r="B3582" s="4" t="s">
        <v>94</v>
      </c>
      <c r="C3582" s="24"/>
      <c r="D3582" s="32">
        <f>'MANO DE OBRA'!E14*6</f>
        <v>312000</v>
      </c>
      <c r="E3582" s="166">
        <v>1.75</v>
      </c>
      <c r="F3582" s="162">
        <f>+E3582*D3582</f>
        <v>546000</v>
      </c>
      <c r="G3582" s="20">
        <v>40</v>
      </c>
      <c r="H3582" s="167">
        <f>+F3582/G3582</f>
        <v>13650</v>
      </c>
      <c r="I3582" s="44"/>
    </row>
    <row r="3583" spans="2:9" ht="14" thickBot="1" x14ac:dyDescent="0.2">
      <c r="B3583" s="33"/>
      <c r="C3583" s="34"/>
      <c r="D3583" s="22"/>
      <c r="E3583" s="21"/>
      <c r="F3583" s="22"/>
      <c r="G3583" s="23"/>
      <c r="H3583" s="47"/>
      <c r="I3583" s="48"/>
    </row>
    <row r="3584" spans="2:9" ht="14" thickBot="1" x14ac:dyDescent="0.2">
      <c r="B3584" s="1"/>
      <c r="C3584" s="1"/>
      <c r="D3584" s="1"/>
      <c r="E3584" s="1"/>
      <c r="F3584" s="1"/>
      <c r="G3584" s="1"/>
      <c r="H3584" s="37" t="s">
        <v>26</v>
      </c>
      <c r="I3584" s="175">
        <f>SUM(H3581:H3583)</f>
        <v>17820.818749999999</v>
      </c>
    </row>
    <row r="3585" spans="2:9" ht="14" thickBot="1" x14ac:dyDescent="0.2">
      <c r="B3585" s="1"/>
      <c r="C3585" s="1"/>
      <c r="D3585" s="1"/>
      <c r="E3585" s="1"/>
      <c r="F3585" s="1"/>
      <c r="G3585" s="1"/>
      <c r="H3585" s="61"/>
      <c r="I3585" s="1"/>
    </row>
    <row r="3586" spans="2:9" ht="15" thickBot="1" x14ac:dyDescent="0.2">
      <c r="B3586" s="1"/>
      <c r="C3586" s="1"/>
      <c r="D3586" s="1"/>
      <c r="E3586" s="1"/>
      <c r="F3586" s="15" t="s">
        <v>182</v>
      </c>
      <c r="G3586" s="16"/>
      <c r="H3586" s="16"/>
      <c r="I3586" s="222">
        <f>ROUND((I3566+I3573+I3578+I3584),0)</f>
        <v>31232</v>
      </c>
    </row>
    <row r="3587" spans="2:9" x14ac:dyDescent="0.15">
      <c r="B3587" s="12"/>
      <c r="C3587" s="12"/>
      <c r="D3587" s="1"/>
      <c r="E3587" s="1"/>
      <c r="F3587" s="1"/>
      <c r="G3587" s="1"/>
      <c r="H3587" s="170"/>
      <c r="I3587" s="170"/>
    </row>
    <row r="3588" spans="2:9" x14ac:dyDescent="0.15">
      <c r="B3588" s="16"/>
      <c r="C3588" s="16"/>
      <c r="D3588" s="16"/>
      <c r="E3588" s="16"/>
      <c r="F3588" s="16"/>
      <c r="G3588" s="61"/>
      <c r="H3588" s="171"/>
      <c r="I3588" s="170"/>
    </row>
    <row r="3589" spans="2:9" x14ac:dyDescent="0.15">
      <c r="B3589" s="1"/>
      <c r="C3589" s="1"/>
      <c r="D3589" s="1"/>
      <c r="E3589" s="1"/>
      <c r="F3589" s="1"/>
      <c r="G3589" s="159"/>
      <c r="H3589" s="170"/>
      <c r="I3589" s="170"/>
    </row>
    <row r="3590" spans="2:9" x14ac:dyDescent="0.15">
      <c r="B3590" s="1"/>
      <c r="C3590" s="1"/>
      <c r="D3590" s="1"/>
      <c r="E3590" s="1"/>
      <c r="F3590" s="1"/>
      <c r="G3590" s="159"/>
      <c r="H3590" s="170"/>
      <c r="I3590" s="170"/>
    </row>
    <row r="3591" spans="2:9" x14ac:dyDescent="0.15">
      <c r="B3591" s="1"/>
      <c r="C3591" s="1"/>
      <c r="D3591" s="1"/>
      <c r="E3591" s="1"/>
      <c r="F3591" s="1"/>
      <c r="G3591" s="1"/>
      <c r="H3591" s="37"/>
      <c r="I3591" s="170"/>
    </row>
    <row r="3592" spans="2:9" ht="14" x14ac:dyDescent="0.15">
      <c r="B3592" s="101"/>
      <c r="C3592" s="1"/>
      <c r="D3592" s="1"/>
      <c r="E3592" s="1"/>
      <c r="F3592" s="1"/>
      <c r="G3592" s="1"/>
      <c r="H3592" s="37"/>
      <c r="I3592" s="170"/>
    </row>
    <row r="3593" spans="2:9" ht="14" x14ac:dyDescent="0.15">
      <c r="B3593" s="83"/>
      <c r="C3593" s="1"/>
      <c r="D3593" s="1"/>
      <c r="E3593" s="1"/>
      <c r="F3593" s="1"/>
      <c r="G3593" s="1"/>
      <c r="H3593" s="1"/>
      <c r="I3593" s="170"/>
    </row>
    <row r="3594" spans="2:9" ht="14" x14ac:dyDescent="0.15">
      <c r="B3594" s="101"/>
      <c r="C3594" s="11"/>
      <c r="D3594" s="1"/>
      <c r="E3594" s="153"/>
      <c r="F3594" s="153"/>
      <c r="G3594" s="153"/>
      <c r="H3594" s="153"/>
      <c r="I3594" s="169"/>
    </row>
    <row r="3595" spans="2:9" ht="14" x14ac:dyDescent="0.15">
      <c r="B3595" s="83"/>
      <c r="C3595" s="11"/>
      <c r="D3595" s="1"/>
      <c r="E3595" s="153"/>
      <c r="F3595" s="153"/>
      <c r="G3595" s="153"/>
      <c r="H3595" s="153"/>
      <c r="I3595" s="169"/>
    </row>
    <row r="3596" spans="2:9" ht="14" x14ac:dyDescent="0.15">
      <c r="B3596" s="83"/>
      <c r="C3596" s="11"/>
      <c r="D3596" s="1"/>
      <c r="E3596" s="153"/>
      <c r="F3596" s="153"/>
      <c r="G3596" s="153"/>
      <c r="H3596" s="153"/>
      <c r="I3596" s="169"/>
    </row>
    <row r="3597" spans="2:9" ht="14" x14ac:dyDescent="0.15">
      <c r="B3597" s="83"/>
      <c r="C3597" s="11"/>
      <c r="D3597" s="1"/>
      <c r="E3597" s="153"/>
      <c r="F3597" s="153"/>
      <c r="G3597" s="153"/>
      <c r="H3597" s="153"/>
      <c r="I3597" s="169"/>
    </row>
    <row r="3598" spans="2:9" ht="14" x14ac:dyDescent="0.15">
      <c r="B3598" s="83"/>
      <c r="C3598" s="11"/>
      <c r="D3598" s="1"/>
      <c r="E3598" s="153"/>
      <c r="F3598" s="153"/>
      <c r="G3598" s="153"/>
      <c r="H3598" s="153"/>
      <c r="I3598" s="169"/>
    </row>
    <row r="3599" spans="2:9" ht="14" x14ac:dyDescent="0.15">
      <c r="B3599" s="83"/>
      <c r="C3599" s="11"/>
      <c r="D3599" s="1"/>
      <c r="E3599" s="153"/>
      <c r="F3599" s="153"/>
      <c r="G3599" s="153"/>
      <c r="H3599" s="153"/>
      <c r="I3599" s="169"/>
    </row>
    <row r="3600" spans="2:9" ht="14" x14ac:dyDescent="0.15">
      <c r="B3600" s="83"/>
      <c r="C3600" s="11"/>
      <c r="D3600" s="1"/>
      <c r="E3600" s="153"/>
      <c r="F3600" s="153"/>
      <c r="G3600" s="153"/>
      <c r="H3600" s="153"/>
      <c r="I3600" s="169"/>
    </row>
    <row r="3601" spans="2:10" ht="14" x14ac:dyDescent="0.15">
      <c r="B3601" s="83"/>
      <c r="C3601" s="11"/>
      <c r="D3601" s="1"/>
      <c r="E3601" s="153"/>
      <c r="F3601" s="153"/>
      <c r="G3601" s="153"/>
      <c r="H3601" s="153"/>
      <c r="I3601" s="169"/>
    </row>
    <row r="3602" spans="2:10" ht="14" x14ac:dyDescent="0.15">
      <c r="B3602" s="83"/>
      <c r="C3602" s="11"/>
      <c r="D3602" s="1"/>
      <c r="E3602" s="153"/>
      <c r="F3602" s="153"/>
      <c r="G3602" s="153"/>
      <c r="H3602" s="153"/>
      <c r="I3602" s="169"/>
    </row>
    <row r="3603" spans="2:10" ht="14" x14ac:dyDescent="0.15">
      <c r="B3603" s="83"/>
      <c r="C3603" s="11"/>
      <c r="D3603" s="1"/>
      <c r="E3603" s="153"/>
      <c r="F3603" s="153"/>
      <c r="G3603" s="153"/>
      <c r="H3603" s="153"/>
      <c r="I3603" s="169"/>
    </row>
    <row r="3604" spans="2:10" x14ac:dyDescent="0.15">
      <c r="B3604" s="11"/>
      <c r="C3604" s="11"/>
      <c r="D3604" s="1"/>
      <c r="E3604" s="153"/>
      <c r="F3604" s="153"/>
      <c r="G3604" s="153"/>
      <c r="H3604" s="153"/>
      <c r="I3604" s="169"/>
    </row>
    <row r="3605" spans="2:10" x14ac:dyDescent="0.15">
      <c r="B3605" s="11"/>
      <c r="C3605" s="11"/>
      <c r="D3605" s="1"/>
      <c r="E3605" s="153"/>
      <c r="F3605" s="153"/>
      <c r="G3605" s="153"/>
      <c r="H3605" s="153"/>
      <c r="I3605" s="169"/>
    </row>
    <row r="3606" spans="2:10" x14ac:dyDescent="0.15">
      <c r="B3606" s="11"/>
      <c r="C3606" s="11"/>
      <c r="D3606" s="1"/>
      <c r="E3606" s="153"/>
      <c r="F3606" s="153"/>
      <c r="G3606" s="153"/>
      <c r="H3606" s="153"/>
      <c r="I3606" s="169"/>
    </row>
    <row r="3607" spans="2:10" x14ac:dyDescent="0.15">
      <c r="B3607" s="11"/>
      <c r="C3607" s="11"/>
      <c r="D3607" s="1"/>
      <c r="E3607" s="153"/>
      <c r="F3607" s="153"/>
      <c r="G3607" s="153"/>
      <c r="H3607" s="153"/>
      <c r="I3607" s="169"/>
    </row>
    <row r="3608" spans="2:10" ht="14" x14ac:dyDescent="0.15">
      <c r="B3608" s="101"/>
      <c r="C3608" s="83"/>
      <c r="D3608" s="84"/>
      <c r="E3608" s="83"/>
      <c r="F3608" s="83"/>
      <c r="G3608" s="102"/>
      <c r="H3608" s="83"/>
      <c r="I3608" s="85"/>
      <c r="J3608" s="85"/>
    </row>
    <row r="3610" spans="2:10" ht="14" thickBot="1" x14ac:dyDescent="0.2"/>
    <row r="3611" spans="2:10" ht="21" customHeight="1" x14ac:dyDescent="0.15">
      <c r="B3611" s="607" t="s">
        <v>1065</v>
      </c>
      <c r="C3611" s="608"/>
      <c r="D3611" s="608"/>
      <c r="E3611" s="608"/>
      <c r="F3611" s="609"/>
      <c r="G3611" s="1"/>
      <c r="H3611" s="638" t="s">
        <v>20</v>
      </c>
      <c r="I3611" s="639"/>
    </row>
    <row r="3612" spans="2:10" ht="16.5" customHeight="1" x14ac:dyDescent="0.15">
      <c r="B3612" s="604" t="s">
        <v>446</v>
      </c>
      <c r="C3612" s="605"/>
      <c r="D3612" s="605"/>
      <c r="E3612" s="605"/>
      <c r="F3612" s="606"/>
      <c r="G3612" s="63"/>
      <c r="H3612" s="640"/>
      <c r="I3612" s="641"/>
    </row>
    <row r="3613" spans="2:10" ht="12.75" customHeight="1" x14ac:dyDescent="0.15">
      <c r="B3613" s="610" t="s">
        <v>447</v>
      </c>
      <c r="C3613" s="611"/>
      <c r="D3613" s="611"/>
      <c r="E3613" s="611"/>
      <c r="F3613" s="612"/>
      <c r="G3613" s="63"/>
      <c r="H3613" s="642"/>
      <c r="I3613" s="643"/>
    </row>
    <row r="3614" spans="2:10" ht="16.5" customHeight="1" thickBot="1" x14ac:dyDescent="0.2">
      <c r="B3614" s="613"/>
      <c r="C3614" s="614"/>
      <c r="D3614" s="614"/>
      <c r="E3614" s="614"/>
      <c r="F3614" s="615"/>
      <c r="G3614" s="1"/>
      <c r="H3614" s="662" t="s">
        <v>697</v>
      </c>
      <c r="I3614" s="663"/>
    </row>
    <row r="3615" spans="2:10" ht="14" thickBot="1" x14ac:dyDescent="0.2">
      <c r="B3615" s="15"/>
      <c r="C3615" s="16"/>
      <c r="D3615" s="1"/>
      <c r="E3615" s="1"/>
      <c r="F3615" s="1"/>
      <c r="G3615" s="1"/>
      <c r="H3615" s="664"/>
      <c r="I3615" s="665"/>
    </row>
    <row r="3616" spans="2:10" ht="12.75" customHeight="1" x14ac:dyDescent="0.15">
      <c r="B3616" s="650" t="s">
        <v>890</v>
      </c>
      <c r="C3616" s="651"/>
      <c r="D3616" s="651"/>
      <c r="E3616" s="651"/>
      <c r="F3616" s="652"/>
      <c r="G3616" s="1"/>
      <c r="H3616" s="664"/>
      <c r="I3616" s="665"/>
    </row>
    <row r="3617" spans="2:9" ht="12.75" customHeight="1" x14ac:dyDescent="0.15">
      <c r="B3617" s="653"/>
      <c r="C3617" s="654"/>
      <c r="D3617" s="654"/>
      <c r="E3617" s="654"/>
      <c r="F3617" s="655"/>
      <c r="H3617" s="664"/>
      <c r="I3617" s="665"/>
    </row>
    <row r="3618" spans="2:9" ht="13.5" customHeight="1" x14ac:dyDescent="0.15">
      <c r="B3618" s="653"/>
      <c r="C3618" s="654"/>
      <c r="D3618" s="654"/>
      <c r="E3618" s="654"/>
      <c r="F3618" s="655"/>
      <c r="G3618" s="11"/>
      <c r="H3618" s="666"/>
      <c r="I3618" s="667"/>
    </row>
    <row r="3619" spans="2:9" ht="21.75" customHeight="1" thickBot="1" x14ac:dyDescent="0.2">
      <c r="B3619" s="656"/>
      <c r="C3619" s="657"/>
      <c r="D3619" s="657"/>
      <c r="E3619" s="657"/>
      <c r="F3619" s="658"/>
      <c r="H3619" s="64" t="s">
        <v>45</v>
      </c>
      <c r="I3619" s="17" t="s">
        <v>316</v>
      </c>
    </row>
    <row r="3620" spans="2:9" x14ac:dyDescent="0.15">
      <c r="B3620" s="18"/>
      <c r="C3620" s="18"/>
      <c r="D3620" s="1"/>
      <c r="E3620" s="18"/>
      <c r="F3620" s="18"/>
      <c r="G3620" s="18"/>
      <c r="H3620" s="18"/>
      <c r="I3620" s="1"/>
    </row>
    <row r="3621" spans="2:9" ht="14" thickBot="1" x14ac:dyDescent="0.2">
      <c r="B3621" s="12" t="s">
        <v>21</v>
      </c>
      <c r="C3621" s="12"/>
      <c r="D3621" s="1"/>
      <c r="E3621" s="1"/>
      <c r="F3621" s="1"/>
      <c r="G3621" s="1"/>
      <c r="H3621" s="1"/>
      <c r="I3621" s="1"/>
    </row>
    <row r="3622" spans="2:9" x14ac:dyDescent="0.15">
      <c r="B3622" s="628" t="s">
        <v>22</v>
      </c>
      <c r="C3622" s="629"/>
      <c r="D3622" s="630"/>
      <c r="E3622" s="205" t="s">
        <v>23</v>
      </c>
      <c r="F3622" s="19" t="s">
        <v>47</v>
      </c>
      <c r="G3622" s="205" t="s">
        <v>24</v>
      </c>
      <c r="H3622" s="204" t="s">
        <v>25</v>
      </c>
      <c r="I3622" s="43"/>
    </row>
    <row r="3623" spans="2:9" x14ac:dyDescent="0.15">
      <c r="B3623" s="631" t="s">
        <v>56</v>
      </c>
      <c r="C3623" s="632"/>
      <c r="D3623" s="633"/>
      <c r="E3623" s="5"/>
      <c r="F3623" s="160"/>
      <c r="G3623" s="58"/>
      <c r="H3623" s="163">
        <f>I3642*0.05</f>
        <v>17441.637500000001</v>
      </c>
      <c r="I3623" s="44"/>
    </row>
    <row r="3624" spans="2:9" ht="14" thickBot="1" x14ac:dyDescent="0.2">
      <c r="B3624" s="634"/>
      <c r="C3624" s="635"/>
      <c r="D3624" s="636"/>
      <c r="E3624" s="21"/>
      <c r="F3624" s="22"/>
      <c r="G3624" s="23"/>
      <c r="H3624" s="47"/>
      <c r="I3624" s="48"/>
    </row>
    <row r="3625" spans="2:9" ht="14" thickBot="1" x14ac:dyDescent="0.2">
      <c r="B3625" s="1"/>
      <c r="C3625" s="1"/>
      <c r="D3625" s="1"/>
      <c r="E3625" s="1"/>
      <c r="F3625" s="1"/>
      <c r="G3625" s="1"/>
      <c r="H3625" s="37" t="s">
        <v>26</v>
      </c>
      <c r="I3625" s="161">
        <f>SUM(H3623:H3624)</f>
        <v>17441.637500000001</v>
      </c>
    </row>
    <row r="3626" spans="2:9" ht="14" thickBot="1" x14ac:dyDescent="0.2">
      <c r="B3626" s="12" t="s">
        <v>27</v>
      </c>
      <c r="C3626" s="12"/>
      <c r="D3626" s="1"/>
      <c r="E3626" s="1"/>
      <c r="F3626" s="1"/>
      <c r="G3626" s="1"/>
      <c r="H3626" s="1"/>
      <c r="I3626" s="1"/>
    </row>
    <row r="3627" spans="2:9" x14ac:dyDescent="0.15">
      <c r="B3627" s="628" t="s">
        <v>22</v>
      </c>
      <c r="C3627" s="629"/>
      <c r="D3627" s="630"/>
      <c r="E3627" s="205" t="s">
        <v>28</v>
      </c>
      <c r="F3627" s="205" t="s">
        <v>29</v>
      </c>
      <c r="G3627" s="205" t="s">
        <v>30</v>
      </c>
      <c r="H3627" s="204" t="s">
        <v>25</v>
      </c>
      <c r="I3627" s="43"/>
    </row>
    <row r="3628" spans="2:9" ht="27" customHeight="1" x14ac:dyDescent="0.15">
      <c r="B3628" s="682" t="s">
        <v>698</v>
      </c>
      <c r="C3628" s="683"/>
      <c r="D3628" s="684"/>
      <c r="E3628" s="3" t="s">
        <v>316</v>
      </c>
      <c r="F3628" s="162">
        <f>MATERIALES!C167</f>
        <v>650000</v>
      </c>
      <c r="G3628" s="65">
        <v>1</v>
      </c>
      <c r="H3628" s="163">
        <f>G3628*F3628</f>
        <v>650000</v>
      </c>
      <c r="I3628" s="44"/>
    </row>
    <row r="3629" spans="2:9" ht="14" thickBot="1" x14ac:dyDescent="0.2">
      <c r="B3629" s="25"/>
      <c r="C3629" s="26"/>
      <c r="D3629" s="27"/>
      <c r="E3629" s="21"/>
      <c r="F3629" s="104" t="s">
        <v>349</v>
      </c>
      <c r="G3629" s="165"/>
      <c r="H3629" s="47"/>
      <c r="I3629" s="48"/>
    </row>
    <row r="3630" spans="2:9" ht="14" thickBot="1" x14ac:dyDescent="0.2">
      <c r="B3630" s="1"/>
      <c r="C3630" s="1"/>
      <c r="D3630" s="1"/>
      <c r="E3630" s="1"/>
      <c r="F3630" s="1"/>
      <c r="G3630" s="1"/>
      <c r="H3630" s="37" t="s">
        <v>26</v>
      </c>
      <c r="I3630" s="161">
        <f>SUM(H3628:H3629)</f>
        <v>650000</v>
      </c>
    </row>
    <row r="3631" spans="2:9" ht="14" thickBot="1" x14ac:dyDescent="0.2">
      <c r="B3631" s="28" t="s">
        <v>31</v>
      </c>
      <c r="C3631" s="28"/>
      <c r="D3631" s="26"/>
      <c r="E3631" s="1"/>
      <c r="F3631" s="1"/>
      <c r="G3631" s="1"/>
      <c r="H3631" s="1"/>
      <c r="I3631" s="1"/>
    </row>
    <row r="3632" spans="2:9" x14ac:dyDescent="0.15">
      <c r="B3632" s="51" t="s">
        <v>32</v>
      </c>
      <c r="C3632" s="52"/>
      <c r="D3632" s="96" t="s">
        <v>33</v>
      </c>
      <c r="E3632" s="205" t="s">
        <v>34</v>
      </c>
      <c r="F3632" s="205" t="s">
        <v>35</v>
      </c>
      <c r="G3632" s="205" t="s">
        <v>36</v>
      </c>
      <c r="H3632" s="59" t="s">
        <v>25</v>
      </c>
      <c r="I3632" s="43"/>
    </row>
    <row r="3633" spans="2:9" x14ac:dyDescent="0.15">
      <c r="B3633" s="4" t="s">
        <v>79</v>
      </c>
      <c r="C3633" s="6"/>
      <c r="D3633" s="53">
        <v>1</v>
      </c>
      <c r="E3633" s="2">
        <v>43</v>
      </c>
      <c r="F3633" s="2">
        <f>E3633*D3633</f>
        <v>43</v>
      </c>
      <c r="G3633" s="65">
        <v>1100</v>
      </c>
      <c r="H3633" s="20">
        <f>G3633*F3633</f>
        <v>47300</v>
      </c>
      <c r="I3633" s="44"/>
    </row>
    <row r="3634" spans="2:9" x14ac:dyDescent="0.15">
      <c r="B3634" s="106"/>
      <c r="C3634" s="66"/>
      <c r="D3634" s="67"/>
      <c r="E3634" s="68"/>
      <c r="F3634" s="68"/>
      <c r="G3634" s="69"/>
      <c r="H3634" s="65"/>
      <c r="I3634" s="44"/>
    </row>
    <row r="3635" spans="2:9" ht="14" thickBot="1" x14ac:dyDescent="0.2">
      <c r="B3635" s="33"/>
      <c r="C3635" s="54"/>
      <c r="D3635" s="21"/>
      <c r="E3635" s="22"/>
      <c r="F3635" s="23"/>
      <c r="G3635" s="47"/>
      <c r="H3635" s="21"/>
      <c r="I3635" s="48"/>
    </row>
    <row r="3636" spans="2:9" ht="14" thickBot="1" x14ac:dyDescent="0.2">
      <c r="B3636" s="1"/>
      <c r="C3636" s="1"/>
      <c r="D3636" s="1"/>
      <c r="E3636" s="1"/>
      <c r="F3636" s="1"/>
      <c r="G3636" s="1"/>
      <c r="H3636" s="37" t="s">
        <v>26</v>
      </c>
      <c r="I3636" s="161">
        <f>SUM(H3633:H3635)</f>
        <v>47300</v>
      </c>
    </row>
    <row r="3637" spans="2:9" ht="14" thickBot="1" x14ac:dyDescent="0.2">
      <c r="B3637" s="28" t="s">
        <v>37</v>
      </c>
      <c r="C3637" s="28"/>
      <c r="D3637" s="1"/>
      <c r="E3637" s="1"/>
      <c r="F3637" s="1"/>
      <c r="G3637" s="1"/>
      <c r="H3637" s="1"/>
      <c r="I3637" s="1"/>
    </row>
    <row r="3638" spans="2:9" x14ac:dyDescent="0.15">
      <c r="B3638" s="51" t="s">
        <v>38</v>
      </c>
      <c r="C3638" s="86"/>
      <c r="D3638" s="31" t="s">
        <v>39</v>
      </c>
      <c r="E3638" s="205" t="s">
        <v>40</v>
      </c>
      <c r="F3638" s="19" t="s">
        <v>41</v>
      </c>
      <c r="G3638" s="31" t="s">
        <v>24</v>
      </c>
      <c r="H3638" s="204" t="s">
        <v>25</v>
      </c>
      <c r="I3638" s="43"/>
    </row>
    <row r="3639" spans="2:9" x14ac:dyDescent="0.15">
      <c r="B3639" s="4" t="s">
        <v>106</v>
      </c>
      <c r="C3639" s="24"/>
      <c r="D3639" s="32">
        <f>'MANO DE OBRA'!E16</f>
        <v>95333</v>
      </c>
      <c r="E3639" s="166">
        <v>1.75</v>
      </c>
      <c r="F3639" s="162">
        <f>+E3639*D3639</f>
        <v>166832.75</v>
      </c>
      <c r="G3639" s="20">
        <v>1</v>
      </c>
      <c r="H3639" s="167">
        <f>+F3639/G3639</f>
        <v>166832.75</v>
      </c>
      <c r="I3639" s="44"/>
    </row>
    <row r="3640" spans="2:9" x14ac:dyDescent="0.15">
      <c r="B3640" s="4" t="s">
        <v>55</v>
      </c>
      <c r="C3640" s="24"/>
      <c r="D3640" s="32">
        <f>'MANO DE OBRA'!E14*2</f>
        <v>104000</v>
      </c>
      <c r="E3640" s="166">
        <v>1.75</v>
      </c>
      <c r="F3640" s="162">
        <f>+E3640*D3640</f>
        <v>182000</v>
      </c>
      <c r="G3640" s="20">
        <v>1</v>
      </c>
      <c r="H3640" s="167">
        <f>+F3640/G3640</f>
        <v>182000</v>
      </c>
      <c r="I3640" s="44"/>
    </row>
    <row r="3641" spans="2:9" ht="14" thickBot="1" x14ac:dyDescent="0.2">
      <c r="B3641" s="33"/>
      <c r="C3641" s="34"/>
      <c r="D3641" s="22"/>
      <c r="E3641" s="21"/>
      <c r="F3641" s="22"/>
      <c r="G3641" s="23"/>
      <c r="H3641" s="47"/>
      <c r="I3641" s="48"/>
    </row>
    <row r="3642" spans="2:9" ht="14" thickBot="1" x14ac:dyDescent="0.2">
      <c r="B3642" s="1"/>
      <c r="C3642" s="1"/>
      <c r="D3642" s="1"/>
      <c r="E3642" s="1"/>
      <c r="F3642" s="1"/>
      <c r="G3642" s="1"/>
      <c r="H3642" s="37" t="s">
        <v>26</v>
      </c>
      <c r="I3642" s="175">
        <f>SUM(H3639:H3641)</f>
        <v>348832.75</v>
      </c>
    </row>
    <row r="3643" spans="2:9" ht="14" thickBot="1" x14ac:dyDescent="0.2">
      <c r="B3643" s="1"/>
      <c r="C3643" s="1"/>
      <c r="D3643" s="1"/>
      <c r="E3643" s="1"/>
      <c r="F3643" s="1"/>
      <c r="G3643" s="1"/>
      <c r="H3643" s="61"/>
      <c r="I3643" s="1"/>
    </row>
    <row r="3644" spans="2:9" ht="15" thickBot="1" x14ac:dyDescent="0.2">
      <c r="B3644" s="1"/>
      <c r="C3644" s="1"/>
      <c r="D3644" s="1"/>
      <c r="E3644" s="1"/>
      <c r="F3644" s="35" t="s">
        <v>43</v>
      </c>
      <c r="G3644" s="16"/>
      <c r="H3644" s="16"/>
      <c r="I3644" s="222">
        <f>ROUND((I3625+I3630+I3636+I3642),0)</f>
        <v>1063574</v>
      </c>
    </row>
    <row r="3645" spans="2:9" x14ac:dyDescent="0.15">
      <c r="B3645" s="12"/>
      <c r="C3645" s="12"/>
      <c r="D3645" s="1"/>
      <c r="E3645" s="1"/>
      <c r="F3645" s="1"/>
      <c r="G3645" s="1"/>
      <c r="H3645" s="170"/>
      <c r="I3645" s="170"/>
    </row>
    <row r="3646" spans="2:9" x14ac:dyDescent="0.15">
      <c r="B3646" s="16"/>
      <c r="C3646" s="16"/>
      <c r="D3646" s="16"/>
      <c r="E3646" s="16"/>
      <c r="F3646" s="16"/>
      <c r="G3646" s="61"/>
      <c r="H3646" s="171"/>
      <c r="I3646" s="170"/>
    </row>
    <row r="3647" spans="2:9" x14ac:dyDescent="0.15">
      <c r="B3647" s="1"/>
      <c r="C3647" s="1"/>
      <c r="D3647" s="1"/>
      <c r="E3647" s="1"/>
      <c r="F3647" s="1"/>
      <c r="G3647" s="159"/>
      <c r="H3647" s="170"/>
      <c r="I3647" s="170"/>
    </row>
    <row r="3648" spans="2:9" x14ac:dyDescent="0.15">
      <c r="B3648" s="1"/>
      <c r="C3648" s="1"/>
      <c r="D3648" s="1"/>
      <c r="E3648" s="1"/>
      <c r="F3648" s="1"/>
      <c r="G3648" s="159"/>
      <c r="H3648" s="170"/>
      <c r="I3648" s="170"/>
    </row>
    <row r="3649" spans="2:9" x14ac:dyDescent="0.15">
      <c r="B3649" s="1"/>
      <c r="C3649" s="1"/>
      <c r="D3649" s="1"/>
      <c r="E3649" s="1"/>
      <c r="F3649" s="1"/>
      <c r="G3649" s="159"/>
      <c r="H3649" s="170"/>
      <c r="I3649" s="170"/>
    </row>
    <row r="3650" spans="2:9" x14ac:dyDescent="0.15">
      <c r="B3650" s="1"/>
      <c r="C3650" s="1"/>
      <c r="D3650" s="1"/>
      <c r="E3650" s="1"/>
      <c r="F3650" s="1"/>
      <c r="G3650" s="1"/>
      <c r="H3650" s="37"/>
      <c r="I3650" s="170"/>
    </row>
    <row r="3651" spans="2:9" ht="14" x14ac:dyDescent="0.15">
      <c r="B3651" s="101"/>
      <c r="C3651" s="1"/>
      <c r="D3651" s="1"/>
      <c r="E3651" s="1"/>
      <c r="F3651" s="1"/>
      <c r="G3651" s="1"/>
      <c r="H3651" s="1"/>
      <c r="I3651" s="170"/>
    </row>
    <row r="3652" spans="2:9" ht="14" x14ac:dyDescent="0.15">
      <c r="B3652" s="83"/>
      <c r="C3652" s="11"/>
      <c r="D3652" s="1"/>
      <c r="E3652" s="637"/>
      <c r="F3652" s="637"/>
      <c r="G3652" s="637"/>
      <c r="H3652" s="637"/>
      <c r="I3652" s="169"/>
    </row>
    <row r="3653" spans="2:9" ht="14" x14ac:dyDescent="0.15">
      <c r="B3653" s="83"/>
      <c r="C3653" s="11"/>
      <c r="D3653" s="1"/>
      <c r="E3653" s="153"/>
      <c r="F3653" s="153"/>
      <c r="G3653" s="153"/>
      <c r="H3653" s="153"/>
      <c r="I3653" s="169"/>
    </row>
    <row r="3654" spans="2:9" ht="14" x14ac:dyDescent="0.15">
      <c r="B3654" s="83"/>
      <c r="C3654" s="11"/>
      <c r="D3654" s="1"/>
      <c r="E3654" s="153"/>
      <c r="F3654" s="153"/>
      <c r="G3654" s="153"/>
      <c r="H3654" s="153"/>
      <c r="I3654" s="169"/>
    </row>
    <row r="3655" spans="2:9" ht="14" x14ac:dyDescent="0.15">
      <c r="B3655" s="83"/>
      <c r="C3655" s="11"/>
      <c r="D3655" s="1"/>
      <c r="E3655" s="153"/>
      <c r="F3655" s="153"/>
      <c r="G3655" s="153"/>
      <c r="H3655" s="153"/>
      <c r="I3655" s="169"/>
    </row>
    <row r="3656" spans="2:9" ht="14" x14ac:dyDescent="0.15">
      <c r="B3656" s="83"/>
      <c r="C3656" s="11"/>
      <c r="D3656" s="1"/>
      <c r="E3656" s="153"/>
      <c r="F3656" s="153"/>
      <c r="G3656" s="153"/>
      <c r="H3656" s="153"/>
      <c r="I3656" s="169"/>
    </row>
    <row r="3657" spans="2:9" ht="14" x14ac:dyDescent="0.15">
      <c r="B3657" s="83"/>
      <c r="C3657" s="11"/>
      <c r="D3657" s="1"/>
      <c r="E3657" s="153"/>
      <c r="F3657" s="153"/>
      <c r="G3657" s="153"/>
      <c r="H3657" s="153"/>
      <c r="I3657" s="169"/>
    </row>
    <row r="3658" spans="2:9" ht="14" x14ac:dyDescent="0.15">
      <c r="B3658" s="101"/>
      <c r="C3658" s="11"/>
      <c r="D3658" s="1"/>
      <c r="E3658" s="153"/>
      <c r="F3658" s="153"/>
      <c r="G3658" s="153"/>
      <c r="H3658" s="153"/>
      <c r="I3658" s="169"/>
    </row>
    <row r="3659" spans="2:9" ht="14" x14ac:dyDescent="0.15">
      <c r="B3659" s="83"/>
      <c r="C3659" s="11"/>
      <c r="D3659" s="1"/>
      <c r="E3659" s="153"/>
      <c r="F3659" s="153"/>
      <c r="G3659" s="153"/>
      <c r="H3659" s="153"/>
      <c r="I3659" s="169"/>
    </row>
    <row r="3660" spans="2:9" x14ac:dyDescent="0.15">
      <c r="B3660" s="11"/>
      <c r="C3660" s="11"/>
      <c r="D3660" s="1"/>
      <c r="E3660" s="153"/>
      <c r="F3660" s="153"/>
      <c r="G3660" s="153"/>
      <c r="H3660" s="153"/>
      <c r="I3660" s="169"/>
    </row>
    <row r="3661" spans="2:9" x14ac:dyDescent="0.15">
      <c r="B3661" s="11"/>
      <c r="C3661" s="11"/>
      <c r="D3661" s="1"/>
      <c r="E3661" s="153"/>
      <c r="F3661" s="153"/>
      <c r="G3661" s="153"/>
      <c r="H3661" s="153"/>
      <c r="I3661" s="169"/>
    </row>
    <row r="3662" spans="2:9" x14ac:dyDescent="0.15">
      <c r="B3662" s="11"/>
      <c r="C3662" s="11"/>
      <c r="D3662" s="1"/>
      <c r="E3662" s="153"/>
      <c r="F3662" s="153"/>
      <c r="G3662" s="153"/>
      <c r="H3662" s="153"/>
      <c r="I3662" s="169"/>
    </row>
    <row r="3663" spans="2:9" x14ac:dyDescent="0.15">
      <c r="B3663" s="11"/>
      <c r="C3663" s="11"/>
      <c r="D3663" s="1"/>
      <c r="E3663" s="153"/>
      <c r="F3663" s="153"/>
      <c r="G3663" s="153"/>
      <c r="H3663" s="153"/>
      <c r="I3663" s="169"/>
    </row>
    <row r="3664" spans="2:9" x14ac:dyDescent="0.15">
      <c r="B3664" s="11"/>
      <c r="C3664" s="11"/>
      <c r="D3664" s="1"/>
      <c r="E3664" s="153"/>
      <c r="F3664" s="153"/>
      <c r="G3664" s="153"/>
      <c r="H3664" s="153"/>
      <c r="I3664" s="169"/>
    </row>
    <row r="3665" spans="2:10" x14ac:dyDescent="0.15">
      <c r="B3665" s="11"/>
      <c r="C3665" s="11"/>
      <c r="D3665" s="1"/>
      <c r="E3665" s="153"/>
      <c r="F3665" s="153"/>
      <c r="G3665" s="153"/>
      <c r="H3665" s="153"/>
      <c r="I3665" s="169"/>
    </row>
    <row r="3667" spans="2:10" ht="14" x14ac:dyDescent="0.15">
      <c r="B3667" s="83"/>
      <c r="C3667" s="83"/>
      <c r="D3667" s="84"/>
      <c r="E3667" s="83"/>
      <c r="F3667" s="83"/>
      <c r="G3667" s="103"/>
      <c r="H3667" s="83"/>
      <c r="I3667" s="85"/>
      <c r="J3667" s="85"/>
    </row>
    <row r="3669" spans="2:10" ht="14" thickBot="1" x14ac:dyDescent="0.2"/>
    <row r="3670" spans="2:10" ht="21" customHeight="1" x14ac:dyDescent="0.15">
      <c r="B3670" s="607" t="s">
        <v>1065</v>
      </c>
      <c r="C3670" s="608"/>
      <c r="D3670" s="608"/>
      <c r="E3670" s="608"/>
      <c r="F3670" s="609"/>
      <c r="G3670" s="1"/>
      <c r="H3670" s="638" t="s">
        <v>20</v>
      </c>
      <c r="I3670" s="639"/>
    </row>
    <row r="3671" spans="2:10" ht="16.5" customHeight="1" x14ac:dyDescent="0.15">
      <c r="B3671" s="604" t="s">
        <v>446</v>
      </c>
      <c r="C3671" s="605"/>
      <c r="D3671" s="605"/>
      <c r="E3671" s="605"/>
      <c r="F3671" s="606"/>
      <c r="G3671" s="63"/>
      <c r="H3671" s="640"/>
      <c r="I3671" s="641"/>
    </row>
    <row r="3672" spans="2:10" ht="12.75" customHeight="1" x14ac:dyDescent="0.15">
      <c r="B3672" s="610" t="s">
        <v>447</v>
      </c>
      <c r="C3672" s="611"/>
      <c r="D3672" s="611"/>
      <c r="E3672" s="611"/>
      <c r="F3672" s="612"/>
      <c r="G3672" s="63"/>
      <c r="H3672" s="642"/>
      <c r="I3672" s="643"/>
    </row>
    <row r="3673" spans="2:10" ht="16.5" customHeight="1" thickBot="1" x14ac:dyDescent="0.2">
      <c r="B3673" s="613"/>
      <c r="C3673" s="614"/>
      <c r="D3673" s="614"/>
      <c r="E3673" s="614"/>
      <c r="F3673" s="615"/>
      <c r="G3673" s="1"/>
      <c r="H3673" s="668" t="s">
        <v>699</v>
      </c>
      <c r="I3673" s="669"/>
    </row>
    <row r="3674" spans="2:10" ht="14" thickBot="1" x14ac:dyDescent="0.2">
      <c r="B3674" s="15"/>
      <c r="C3674" s="16"/>
      <c r="D3674" s="1"/>
      <c r="E3674" s="1"/>
      <c r="F3674" s="1"/>
      <c r="G3674" s="1"/>
      <c r="H3674" s="670"/>
      <c r="I3674" s="671"/>
    </row>
    <row r="3675" spans="2:10" ht="12.75" customHeight="1" x14ac:dyDescent="0.15">
      <c r="B3675" s="650" t="s">
        <v>890</v>
      </c>
      <c r="C3675" s="651"/>
      <c r="D3675" s="651"/>
      <c r="E3675" s="651"/>
      <c r="F3675" s="652"/>
      <c r="G3675" s="1"/>
      <c r="H3675" s="670"/>
      <c r="I3675" s="671"/>
    </row>
    <row r="3676" spans="2:10" ht="12.75" customHeight="1" x14ac:dyDescent="0.15">
      <c r="B3676" s="653"/>
      <c r="C3676" s="654"/>
      <c r="D3676" s="654"/>
      <c r="E3676" s="654"/>
      <c r="F3676" s="655"/>
      <c r="H3676" s="670"/>
      <c r="I3676" s="671"/>
    </row>
    <row r="3677" spans="2:10" ht="13.5" customHeight="1" x14ac:dyDescent="0.15">
      <c r="B3677" s="653"/>
      <c r="C3677" s="654"/>
      <c r="D3677" s="654"/>
      <c r="E3677" s="654"/>
      <c r="F3677" s="655"/>
      <c r="G3677" s="11"/>
      <c r="H3677" s="672"/>
      <c r="I3677" s="673"/>
    </row>
    <row r="3678" spans="2:10" ht="21.75" customHeight="1" thickBot="1" x14ac:dyDescent="0.2">
      <c r="B3678" s="656"/>
      <c r="C3678" s="657"/>
      <c r="D3678" s="657"/>
      <c r="E3678" s="657"/>
      <c r="F3678" s="658"/>
      <c r="H3678" s="64" t="s">
        <v>45</v>
      </c>
      <c r="I3678" s="17" t="s">
        <v>316</v>
      </c>
    </row>
    <row r="3679" spans="2:10" x14ac:dyDescent="0.15">
      <c r="B3679" s="18"/>
      <c r="C3679" s="18"/>
      <c r="D3679" s="1"/>
      <c r="E3679" s="18"/>
      <c r="F3679" s="18"/>
      <c r="G3679" s="18"/>
      <c r="H3679" s="18"/>
      <c r="I3679" s="1"/>
    </row>
    <row r="3680" spans="2:10" ht="14" thickBot="1" x14ac:dyDescent="0.2">
      <c r="B3680" s="12" t="s">
        <v>21</v>
      </c>
      <c r="C3680" s="12"/>
      <c r="D3680" s="1"/>
      <c r="E3680" s="1"/>
      <c r="F3680" s="1"/>
      <c r="G3680" s="1"/>
      <c r="H3680" s="1"/>
      <c r="I3680" s="1"/>
    </row>
    <row r="3681" spans="2:9" x14ac:dyDescent="0.15">
      <c r="B3681" s="628" t="s">
        <v>22</v>
      </c>
      <c r="C3681" s="629"/>
      <c r="D3681" s="630"/>
      <c r="E3681" s="205" t="s">
        <v>23</v>
      </c>
      <c r="F3681" s="19" t="s">
        <v>47</v>
      </c>
      <c r="G3681" s="205" t="s">
        <v>24</v>
      </c>
      <c r="H3681" s="204" t="s">
        <v>25</v>
      </c>
      <c r="I3681" s="43"/>
    </row>
    <row r="3682" spans="2:9" x14ac:dyDescent="0.15">
      <c r="B3682" s="631" t="s">
        <v>56</v>
      </c>
      <c r="C3682" s="632"/>
      <c r="D3682" s="633"/>
      <c r="E3682" s="5"/>
      <c r="F3682" s="160"/>
      <c r="G3682" s="58"/>
      <c r="H3682" s="160">
        <f>I3705*0.05</f>
        <v>1744.1637500000002</v>
      </c>
      <c r="I3682" s="44"/>
    </row>
    <row r="3683" spans="2:9" ht="14" thickBot="1" x14ac:dyDescent="0.2">
      <c r="B3683" s="634"/>
      <c r="C3683" s="635"/>
      <c r="D3683" s="636"/>
      <c r="E3683" s="21"/>
      <c r="F3683" s="22"/>
      <c r="G3683" s="23"/>
      <c r="H3683" s="47"/>
      <c r="I3683" s="48"/>
    </row>
    <row r="3684" spans="2:9" ht="14" thickBot="1" x14ac:dyDescent="0.2">
      <c r="B3684" s="1"/>
      <c r="C3684" s="1"/>
      <c r="D3684" s="1"/>
      <c r="E3684" s="1"/>
      <c r="F3684" s="1"/>
      <c r="G3684" s="1"/>
      <c r="H3684" s="37" t="s">
        <v>26</v>
      </c>
      <c r="I3684" s="161">
        <f>SUM(H3682:H3683)</f>
        <v>1744.1637500000002</v>
      </c>
    </row>
    <row r="3685" spans="2:9" ht="14" thickBot="1" x14ac:dyDescent="0.2">
      <c r="B3685" s="12" t="s">
        <v>27</v>
      </c>
      <c r="C3685" s="12"/>
      <c r="D3685" s="1"/>
      <c r="E3685" s="1"/>
      <c r="F3685" s="1"/>
      <c r="G3685" s="1"/>
      <c r="H3685" s="1"/>
      <c r="I3685" s="1"/>
    </row>
    <row r="3686" spans="2:9" x14ac:dyDescent="0.15">
      <c r="B3686" s="628" t="s">
        <v>22</v>
      </c>
      <c r="C3686" s="629"/>
      <c r="D3686" s="630"/>
      <c r="E3686" s="205" t="s">
        <v>28</v>
      </c>
      <c r="F3686" s="205" t="s">
        <v>29</v>
      </c>
      <c r="G3686" s="205" t="s">
        <v>30</v>
      </c>
      <c r="H3686" s="204" t="s">
        <v>25</v>
      </c>
      <c r="I3686" s="43"/>
    </row>
    <row r="3687" spans="2:9" x14ac:dyDescent="0.15">
      <c r="B3687" s="4" t="s">
        <v>176</v>
      </c>
      <c r="C3687" s="24"/>
      <c r="D3687" s="6"/>
      <c r="E3687" s="3" t="s">
        <v>193</v>
      </c>
      <c r="F3687" s="162">
        <f>MATERIALES!F168</f>
        <v>2250</v>
      </c>
      <c r="G3687" s="65">
        <v>6</v>
      </c>
      <c r="H3687" s="163">
        <f t="shared" ref="H3687:H3692" si="25">G3687*F3687</f>
        <v>13500</v>
      </c>
      <c r="I3687" s="44"/>
    </row>
    <row r="3688" spans="2:9" x14ac:dyDescent="0.15">
      <c r="B3688" s="4" t="s">
        <v>118</v>
      </c>
      <c r="C3688" s="24"/>
      <c r="D3688" s="6"/>
      <c r="E3688" s="3" t="s">
        <v>316</v>
      </c>
      <c r="F3688" s="162">
        <f>MATERIALES!F169</f>
        <v>3375</v>
      </c>
      <c r="G3688" s="65">
        <v>1</v>
      </c>
      <c r="H3688" s="163">
        <f t="shared" si="25"/>
        <v>3375</v>
      </c>
      <c r="I3688" s="44"/>
    </row>
    <row r="3689" spans="2:9" x14ac:dyDescent="0.15">
      <c r="B3689" s="4" t="s">
        <v>89</v>
      </c>
      <c r="C3689" s="24"/>
      <c r="D3689" s="6"/>
      <c r="E3689" s="3" t="s">
        <v>316</v>
      </c>
      <c r="F3689" s="162">
        <f>MATERIALES!F170</f>
        <v>2565</v>
      </c>
      <c r="G3689" s="65">
        <v>1</v>
      </c>
      <c r="H3689" s="163">
        <f t="shared" si="25"/>
        <v>2565</v>
      </c>
      <c r="I3689" s="44"/>
    </row>
    <row r="3690" spans="2:9" x14ac:dyDescent="0.15">
      <c r="B3690" s="4" t="s">
        <v>70</v>
      </c>
      <c r="C3690" s="24"/>
      <c r="D3690" s="6"/>
      <c r="E3690" s="3" t="s">
        <v>316</v>
      </c>
      <c r="F3690" s="162">
        <f>MATERIALES!F166</f>
        <v>3375</v>
      </c>
      <c r="G3690" s="65">
        <v>2</v>
      </c>
      <c r="H3690" s="163">
        <f t="shared" si="25"/>
        <v>6750</v>
      </c>
      <c r="I3690" s="44"/>
    </row>
    <row r="3691" spans="2:9" x14ac:dyDescent="0.15">
      <c r="B3691" s="4" t="s">
        <v>135</v>
      </c>
      <c r="C3691" s="24"/>
      <c r="D3691" s="6"/>
      <c r="E3691" s="3" t="s">
        <v>103</v>
      </c>
      <c r="F3691" s="162">
        <f>MATERIALES!C27</f>
        <v>286200</v>
      </c>
      <c r="G3691" s="65">
        <v>0.01</v>
      </c>
      <c r="H3691" s="163">
        <f t="shared" si="25"/>
        <v>2862</v>
      </c>
      <c r="I3691" s="44"/>
    </row>
    <row r="3692" spans="2:9" x14ac:dyDescent="0.15">
      <c r="B3692" s="4" t="s">
        <v>71</v>
      </c>
      <c r="C3692" s="24"/>
      <c r="D3692" s="6"/>
      <c r="E3692" s="3" t="s">
        <v>44</v>
      </c>
      <c r="F3692" s="162">
        <f>MATERIALES!C165</f>
        <v>27000</v>
      </c>
      <c r="G3692" s="65">
        <v>0.02</v>
      </c>
      <c r="H3692" s="163">
        <f t="shared" si="25"/>
        <v>540</v>
      </c>
      <c r="I3692" s="44"/>
    </row>
    <row r="3693" spans="2:9" ht="14" thickBot="1" x14ac:dyDescent="0.2">
      <c r="B3693" s="25"/>
      <c r="C3693" s="26"/>
      <c r="D3693" s="27"/>
      <c r="E3693" s="21"/>
      <c r="F3693" s="22"/>
      <c r="G3693" s="165"/>
      <c r="H3693" s="47"/>
      <c r="I3693" s="48"/>
    </row>
    <row r="3694" spans="2:9" ht="14" thickBot="1" x14ac:dyDescent="0.2">
      <c r="B3694" s="1"/>
      <c r="C3694" s="1"/>
      <c r="D3694" s="1"/>
      <c r="E3694" s="1"/>
      <c r="F3694" s="1"/>
      <c r="G3694" s="1"/>
      <c r="H3694" s="37" t="s">
        <v>26</v>
      </c>
      <c r="I3694" s="161">
        <f>SUM(H3687:H3693)</f>
        <v>29592</v>
      </c>
    </row>
    <row r="3695" spans="2:9" ht="14" thickBot="1" x14ac:dyDescent="0.2">
      <c r="B3695" s="28" t="s">
        <v>31</v>
      </c>
      <c r="C3695" s="28"/>
      <c r="D3695" s="26"/>
      <c r="E3695" s="1"/>
      <c r="F3695" s="1"/>
      <c r="G3695" s="1"/>
      <c r="H3695" s="1"/>
      <c r="I3695" s="1"/>
    </row>
    <row r="3696" spans="2:9" x14ac:dyDescent="0.15">
      <c r="B3696" s="51" t="s">
        <v>32</v>
      </c>
      <c r="C3696" s="52"/>
      <c r="D3696" s="96" t="s">
        <v>33</v>
      </c>
      <c r="E3696" s="205" t="s">
        <v>34</v>
      </c>
      <c r="F3696" s="205" t="s">
        <v>35</v>
      </c>
      <c r="G3696" s="205" t="s">
        <v>36</v>
      </c>
      <c r="H3696" s="59" t="s">
        <v>25</v>
      </c>
      <c r="I3696" s="43"/>
    </row>
    <row r="3697" spans="2:10" x14ac:dyDescent="0.15">
      <c r="B3697" s="4" t="s">
        <v>79</v>
      </c>
      <c r="C3697" s="6"/>
      <c r="D3697" s="53">
        <v>0.25</v>
      </c>
      <c r="E3697" s="2">
        <v>43</v>
      </c>
      <c r="F3697" s="2">
        <f>E3697*D3697</f>
        <v>10.75</v>
      </c>
      <c r="G3697" s="160">
        <v>1100</v>
      </c>
      <c r="H3697" s="20">
        <f>G3697*F3697</f>
        <v>11825</v>
      </c>
      <c r="I3697" s="44"/>
    </row>
    <row r="3698" spans="2:10" ht="14" thickBot="1" x14ac:dyDescent="0.2">
      <c r="B3698" s="33"/>
      <c r="C3698" s="54"/>
      <c r="D3698" s="21"/>
      <c r="E3698" s="22"/>
      <c r="F3698" s="23"/>
      <c r="G3698" s="47"/>
      <c r="H3698" s="21"/>
      <c r="I3698" s="48"/>
    </row>
    <row r="3699" spans="2:10" ht="14" thickBot="1" x14ac:dyDescent="0.2">
      <c r="B3699" s="1"/>
      <c r="C3699" s="1"/>
      <c r="D3699" s="1"/>
      <c r="E3699" s="1"/>
      <c r="F3699" s="1"/>
      <c r="G3699" s="1"/>
      <c r="H3699" s="37" t="s">
        <v>26</v>
      </c>
      <c r="I3699" s="161">
        <f>SUM(H3697:H3698)</f>
        <v>11825</v>
      </c>
    </row>
    <row r="3700" spans="2:10" ht="14" thickBot="1" x14ac:dyDescent="0.2">
      <c r="B3700" s="28" t="s">
        <v>37</v>
      </c>
      <c r="C3700" s="28"/>
      <c r="D3700" s="1"/>
      <c r="E3700" s="1"/>
      <c r="F3700" s="1"/>
      <c r="G3700" s="1"/>
      <c r="H3700" s="1"/>
      <c r="I3700" s="1"/>
    </row>
    <row r="3701" spans="2:10" x14ac:dyDescent="0.15">
      <c r="B3701" s="51" t="s">
        <v>38</v>
      </c>
      <c r="C3701" s="86"/>
      <c r="D3701" s="31" t="s">
        <v>39</v>
      </c>
      <c r="E3701" s="205" t="s">
        <v>40</v>
      </c>
      <c r="F3701" s="19" t="s">
        <v>41</v>
      </c>
      <c r="G3701" s="31" t="s">
        <v>24</v>
      </c>
      <c r="H3701" s="59" t="s">
        <v>25</v>
      </c>
      <c r="I3701" s="43"/>
    </row>
    <row r="3702" spans="2:10" x14ac:dyDescent="0.15">
      <c r="B3702" s="4" t="s">
        <v>106</v>
      </c>
      <c r="C3702" s="24"/>
      <c r="D3702" s="32">
        <f>'MANO DE OBRA'!E15</f>
        <v>95333</v>
      </c>
      <c r="E3702" s="166">
        <v>1.75</v>
      </c>
      <c r="F3702" s="162">
        <f>+E3702*D3702</f>
        <v>166832.75</v>
      </c>
      <c r="G3702" s="20">
        <v>10</v>
      </c>
      <c r="H3702" s="167">
        <f>+F3702/G3702</f>
        <v>16683.275000000001</v>
      </c>
      <c r="I3702" s="44"/>
      <c r="J3702" s="11"/>
    </row>
    <row r="3703" spans="2:10" x14ac:dyDescent="0.15">
      <c r="B3703" s="4" t="s">
        <v>177</v>
      </c>
      <c r="C3703" s="24"/>
      <c r="D3703" s="32">
        <f>'MANO DE OBRA'!E14*2</f>
        <v>104000</v>
      </c>
      <c r="E3703" s="166">
        <v>1.75</v>
      </c>
      <c r="F3703" s="162">
        <f>+E3703*D3703</f>
        <v>182000</v>
      </c>
      <c r="G3703" s="20">
        <v>10</v>
      </c>
      <c r="H3703" s="167">
        <f>+F3703/G3703</f>
        <v>18200</v>
      </c>
      <c r="I3703" s="44"/>
    </row>
    <row r="3704" spans="2:10" ht="14" thickBot="1" x14ac:dyDescent="0.2">
      <c r="B3704" s="33"/>
      <c r="C3704" s="34"/>
      <c r="D3704" s="22"/>
      <c r="E3704" s="21"/>
      <c r="F3704" s="22"/>
      <c r="G3704" s="23"/>
      <c r="H3704" s="87"/>
      <c r="I3704" s="44"/>
    </row>
    <row r="3705" spans="2:10" ht="14" thickBot="1" x14ac:dyDescent="0.2">
      <c r="B3705" s="1"/>
      <c r="C3705" s="1"/>
      <c r="D3705" s="1"/>
      <c r="E3705" s="1"/>
      <c r="F3705" s="1"/>
      <c r="G3705" s="1"/>
      <c r="H3705" s="37" t="s">
        <v>26</v>
      </c>
      <c r="I3705" s="161">
        <f>SUM(H3702:H3704)</f>
        <v>34883.275000000001</v>
      </c>
    </row>
    <row r="3706" spans="2:10" ht="14" thickBot="1" x14ac:dyDescent="0.2">
      <c r="B3706" s="1"/>
      <c r="C3706" s="1"/>
      <c r="D3706" s="1"/>
      <c r="E3706" s="1"/>
      <c r="F3706" s="1"/>
      <c r="G3706" s="1"/>
      <c r="H3706" s="61"/>
      <c r="I3706" s="1"/>
    </row>
    <row r="3707" spans="2:10" ht="15" thickBot="1" x14ac:dyDescent="0.2">
      <c r="B3707" s="1"/>
      <c r="C3707" s="1"/>
      <c r="D3707" s="1"/>
      <c r="E3707" s="1"/>
      <c r="F3707" s="35" t="s">
        <v>43</v>
      </c>
      <c r="G3707" s="16"/>
      <c r="H3707" s="16"/>
      <c r="I3707" s="222">
        <f>ROUND((I3684+I3694+I3699+I3705),0)</f>
        <v>78044</v>
      </c>
    </row>
    <row r="3708" spans="2:10" x14ac:dyDescent="0.15">
      <c r="B3708" s="12"/>
      <c r="C3708" s="12"/>
      <c r="D3708" s="1"/>
      <c r="E3708" s="1"/>
      <c r="F3708" s="1"/>
      <c r="G3708" s="1"/>
      <c r="H3708" s="170"/>
      <c r="I3708" s="170"/>
    </row>
    <row r="3709" spans="2:10" x14ac:dyDescent="0.15">
      <c r="B3709" s="16"/>
      <c r="C3709" s="16"/>
      <c r="D3709" s="16"/>
      <c r="E3709" s="16"/>
      <c r="F3709" s="16"/>
      <c r="G3709" s="61"/>
      <c r="H3709" s="171"/>
      <c r="I3709" s="170"/>
    </row>
    <row r="3710" spans="2:10" x14ac:dyDescent="0.15">
      <c r="B3710" s="1"/>
      <c r="C3710" s="1"/>
      <c r="D3710" s="1"/>
      <c r="E3710" s="1"/>
      <c r="F3710" s="1"/>
      <c r="G3710" s="159"/>
      <c r="H3710" s="170"/>
      <c r="I3710" s="170"/>
    </row>
    <row r="3711" spans="2:10" x14ac:dyDescent="0.15">
      <c r="B3711" s="1"/>
      <c r="C3711" s="1"/>
      <c r="D3711" s="1"/>
      <c r="E3711" s="1"/>
      <c r="F3711" s="1"/>
      <c r="G3711" s="159"/>
      <c r="H3711" s="170"/>
      <c r="I3711" s="170"/>
    </row>
    <row r="3712" spans="2:10" x14ac:dyDescent="0.15">
      <c r="B3712" s="1"/>
      <c r="C3712" s="1"/>
      <c r="D3712" s="1"/>
      <c r="E3712" s="1"/>
      <c r="F3712" s="1"/>
      <c r="G3712" s="159"/>
      <c r="H3712" s="170"/>
      <c r="I3712" s="170"/>
    </row>
    <row r="3713" spans="2:10" x14ac:dyDescent="0.15">
      <c r="B3713" s="1"/>
      <c r="C3713" s="1"/>
      <c r="D3713" s="1"/>
      <c r="E3713" s="1"/>
      <c r="F3713" s="1"/>
      <c r="G3713" s="1"/>
      <c r="H3713" s="37"/>
      <c r="I3713" s="170"/>
    </row>
    <row r="3714" spans="2:10" ht="14" x14ac:dyDescent="0.15">
      <c r="B3714" s="101"/>
      <c r="C3714" s="1"/>
      <c r="D3714" s="1"/>
      <c r="E3714" s="1"/>
      <c r="F3714" s="1"/>
      <c r="G3714" s="1"/>
      <c r="H3714" s="1"/>
      <c r="I3714" s="170"/>
    </row>
    <row r="3715" spans="2:10" ht="14" x14ac:dyDescent="0.15">
      <c r="B3715" s="101"/>
      <c r="C3715" s="1"/>
      <c r="D3715" s="1"/>
      <c r="E3715" s="1"/>
      <c r="F3715" s="1"/>
      <c r="G3715" s="1"/>
      <c r="H3715" s="1"/>
      <c r="I3715" s="170"/>
    </row>
    <row r="3716" spans="2:10" ht="14" x14ac:dyDescent="0.15">
      <c r="B3716" s="101"/>
      <c r="C3716" s="1"/>
      <c r="D3716" s="1"/>
      <c r="E3716" s="1"/>
      <c r="F3716" s="1"/>
      <c r="G3716" s="1"/>
      <c r="H3716" s="1"/>
      <c r="I3716" s="170"/>
    </row>
    <row r="3717" spans="2:10" ht="14" x14ac:dyDescent="0.15">
      <c r="B3717" s="101"/>
      <c r="C3717" s="1"/>
      <c r="D3717" s="1"/>
      <c r="E3717" s="1"/>
      <c r="F3717" s="1"/>
      <c r="G3717" s="1"/>
      <c r="H3717" s="1"/>
      <c r="I3717" s="170"/>
    </row>
    <row r="3718" spans="2:10" ht="14" x14ac:dyDescent="0.15">
      <c r="B3718" s="101"/>
      <c r="C3718" s="1"/>
      <c r="D3718" s="1"/>
      <c r="E3718" s="1"/>
      <c r="F3718" s="1"/>
      <c r="G3718" s="1"/>
      <c r="H3718" s="1"/>
      <c r="I3718" s="170"/>
    </row>
    <row r="3719" spans="2:10" ht="14" x14ac:dyDescent="0.15">
      <c r="B3719" s="101"/>
      <c r="C3719" s="1"/>
      <c r="D3719" s="1"/>
      <c r="E3719" s="1"/>
      <c r="F3719" s="1"/>
      <c r="G3719" s="1"/>
      <c r="H3719" s="1"/>
      <c r="I3719" s="170"/>
    </row>
    <row r="3720" spans="2:10" ht="14" x14ac:dyDescent="0.15">
      <c r="B3720" s="101"/>
      <c r="C3720" s="1"/>
      <c r="D3720" s="1"/>
      <c r="E3720" s="1"/>
      <c r="F3720" s="1"/>
      <c r="G3720" s="1"/>
      <c r="H3720" s="1"/>
      <c r="I3720" s="170"/>
    </row>
    <row r="3721" spans="2:10" ht="14" x14ac:dyDescent="0.15">
      <c r="B3721" s="83"/>
      <c r="C3721" s="11"/>
      <c r="D3721" s="1"/>
      <c r="E3721" s="637"/>
      <c r="F3721" s="637"/>
      <c r="G3721" s="637"/>
      <c r="H3721" s="637"/>
      <c r="I3721" s="169"/>
    </row>
    <row r="3722" spans="2:10" ht="14" x14ac:dyDescent="0.15">
      <c r="B3722" s="101"/>
      <c r="C3722" s="11"/>
      <c r="D3722" s="1"/>
      <c r="E3722" s="153"/>
      <c r="F3722" s="153"/>
      <c r="G3722" s="153"/>
      <c r="H3722" s="153"/>
      <c r="I3722" s="169"/>
    </row>
    <row r="3723" spans="2:10" ht="14" x14ac:dyDescent="0.15">
      <c r="B3723" s="83"/>
      <c r="C3723" s="11"/>
      <c r="D3723" s="1"/>
      <c r="E3723" s="153"/>
      <c r="F3723" s="153"/>
      <c r="G3723" s="153"/>
      <c r="H3723" s="153"/>
      <c r="I3723" s="169"/>
    </row>
    <row r="3724" spans="2:10" x14ac:dyDescent="0.15">
      <c r="B3724" s="11"/>
      <c r="C3724" s="11"/>
      <c r="D3724" s="1"/>
      <c r="E3724" s="153"/>
      <c r="F3724" s="153"/>
      <c r="G3724" s="153"/>
      <c r="H3724" s="153"/>
      <c r="I3724" s="169"/>
    </row>
    <row r="3725" spans="2:10" x14ac:dyDescent="0.15">
      <c r="B3725" s="11"/>
      <c r="C3725" s="11"/>
      <c r="D3725" s="1"/>
      <c r="E3725" s="153"/>
      <c r="F3725" s="153"/>
      <c r="G3725" s="153"/>
      <c r="H3725" s="153"/>
      <c r="I3725" s="169"/>
    </row>
    <row r="3726" spans="2:10" x14ac:dyDescent="0.15">
      <c r="B3726" s="11"/>
      <c r="C3726" s="11"/>
      <c r="D3726" s="1"/>
      <c r="E3726" s="153"/>
      <c r="F3726" s="153"/>
      <c r="G3726" s="153"/>
      <c r="H3726" s="153"/>
      <c r="I3726" s="169"/>
    </row>
    <row r="3727" spans="2:10" x14ac:dyDescent="0.15">
      <c r="B3727" s="11"/>
      <c r="C3727" s="11"/>
      <c r="D3727" s="1"/>
      <c r="E3727" s="153"/>
      <c r="F3727" s="153"/>
      <c r="G3727" s="153"/>
      <c r="H3727" s="153"/>
      <c r="I3727" s="169"/>
    </row>
    <row r="3728" spans="2:10" ht="14" x14ac:dyDescent="0.15">
      <c r="B3728" s="83"/>
      <c r="C3728" s="83"/>
      <c r="D3728" s="84"/>
      <c r="E3728" s="83"/>
      <c r="F3728" s="154"/>
      <c r="G3728" s="155"/>
      <c r="H3728" s="156"/>
      <c r="I3728" s="157"/>
      <c r="J3728" s="85"/>
    </row>
    <row r="3729" spans="2:9" ht="15" thickBot="1" x14ac:dyDescent="0.2">
      <c r="B3729" s="83"/>
      <c r="C3729" s="11"/>
      <c r="D3729" s="11"/>
      <c r="E3729" s="11"/>
      <c r="F3729" s="691"/>
      <c r="G3729" s="691"/>
      <c r="H3729" s="691"/>
      <c r="I3729" s="691"/>
    </row>
    <row r="3730" spans="2:9" ht="21" customHeight="1" x14ac:dyDescent="0.15">
      <c r="B3730" s="607" t="s">
        <v>1065</v>
      </c>
      <c r="C3730" s="608"/>
      <c r="D3730" s="608"/>
      <c r="E3730" s="608"/>
      <c r="F3730" s="609"/>
      <c r="G3730" s="1"/>
      <c r="H3730" s="638" t="s">
        <v>20</v>
      </c>
      <c r="I3730" s="639"/>
    </row>
    <row r="3731" spans="2:9" ht="16.5" customHeight="1" x14ac:dyDescent="0.15">
      <c r="B3731" s="604" t="s">
        <v>446</v>
      </c>
      <c r="C3731" s="605"/>
      <c r="D3731" s="605"/>
      <c r="E3731" s="605"/>
      <c r="F3731" s="606"/>
      <c r="G3731" s="63"/>
      <c r="H3731" s="640"/>
      <c r="I3731" s="641"/>
    </row>
    <row r="3732" spans="2:9" ht="12.75" customHeight="1" x14ac:dyDescent="0.15">
      <c r="B3732" s="610" t="s">
        <v>447</v>
      </c>
      <c r="C3732" s="611"/>
      <c r="D3732" s="611"/>
      <c r="E3732" s="611"/>
      <c r="F3732" s="612"/>
      <c r="G3732" s="63"/>
      <c r="H3732" s="642"/>
      <c r="I3732" s="643"/>
    </row>
    <row r="3733" spans="2:9" ht="16.5" customHeight="1" thickBot="1" x14ac:dyDescent="0.2">
      <c r="B3733" s="613"/>
      <c r="C3733" s="614"/>
      <c r="D3733" s="614"/>
      <c r="E3733" s="614"/>
      <c r="F3733" s="615"/>
      <c r="G3733" s="1"/>
      <c r="H3733" s="668" t="s">
        <v>701</v>
      </c>
      <c r="I3733" s="669"/>
    </row>
    <row r="3734" spans="2:9" ht="14" thickBot="1" x14ac:dyDescent="0.2">
      <c r="B3734" s="15"/>
      <c r="C3734" s="16"/>
      <c r="D3734" s="1"/>
      <c r="E3734" s="1"/>
      <c r="F3734" s="1"/>
      <c r="G3734" s="1"/>
      <c r="H3734" s="670"/>
      <c r="I3734" s="671"/>
    </row>
    <row r="3735" spans="2:9" ht="12.75" customHeight="1" x14ac:dyDescent="0.15">
      <c r="B3735" s="650" t="s">
        <v>890</v>
      </c>
      <c r="C3735" s="651"/>
      <c r="D3735" s="651"/>
      <c r="E3735" s="651"/>
      <c r="F3735" s="652"/>
      <c r="G3735" s="1"/>
      <c r="H3735" s="670"/>
      <c r="I3735" s="671"/>
    </row>
    <row r="3736" spans="2:9" ht="12.75" customHeight="1" x14ac:dyDescent="0.15">
      <c r="B3736" s="653"/>
      <c r="C3736" s="654"/>
      <c r="D3736" s="654"/>
      <c r="E3736" s="654"/>
      <c r="F3736" s="655"/>
      <c r="H3736" s="670"/>
      <c r="I3736" s="671"/>
    </row>
    <row r="3737" spans="2:9" ht="13.5" customHeight="1" x14ac:dyDescent="0.15">
      <c r="B3737" s="653"/>
      <c r="C3737" s="654"/>
      <c r="D3737" s="654"/>
      <c r="E3737" s="654"/>
      <c r="F3737" s="655"/>
      <c r="G3737" s="11"/>
      <c r="H3737" s="672"/>
      <c r="I3737" s="673"/>
    </row>
    <row r="3738" spans="2:9" ht="21.75" customHeight="1" thickBot="1" x14ac:dyDescent="0.2">
      <c r="B3738" s="656"/>
      <c r="C3738" s="657"/>
      <c r="D3738" s="657"/>
      <c r="E3738" s="657"/>
      <c r="F3738" s="658"/>
      <c r="H3738" s="64" t="s">
        <v>45</v>
      </c>
      <c r="I3738" s="17" t="s">
        <v>316</v>
      </c>
    </row>
    <row r="3739" spans="2:9" x14ac:dyDescent="0.15">
      <c r="B3739" s="18"/>
      <c r="C3739" s="18"/>
      <c r="D3739" s="1"/>
      <c r="E3739" s="18"/>
      <c r="F3739" s="18"/>
      <c r="G3739" s="18"/>
      <c r="H3739" s="18"/>
      <c r="I3739" s="1"/>
    </row>
    <row r="3740" spans="2:9" ht="14" thickBot="1" x14ac:dyDescent="0.2">
      <c r="B3740" s="12" t="s">
        <v>21</v>
      </c>
      <c r="C3740" s="12"/>
      <c r="D3740" s="1"/>
      <c r="E3740" s="1"/>
      <c r="F3740" s="1"/>
      <c r="G3740" s="1"/>
      <c r="H3740" s="1"/>
      <c r="I3740" s="1"/>
    </row>
    <row r="3741" spans="2:9" x14ac:dyDescent="0.15">
      <c r="B3741" s="628" t="s">
        <v>22</v>
      </c>
      <c r="C3741" s="629"/>
      <c r="D3741" s="630"/>
      <c r="E3741" s="205" t="s">
        <v>23</v>
      </c>
      <c r="F3741" s="19" t="s">
        <v>47</v>
      </c>
      <c r="G3741" s="205" t="s">
        <v>24</v>
      </c>
      <c r="H3741" s="204" t="s">
        <v>25</v>
      </c>
      <c r="I3741" s="43"/>
    </row>
    <row r="3742" spans="2:9" x14ac:dyDescent="0.15">
      <c r="B3742" s="631" t="s">
        <v>56</v>
      </c>
      <c r="C3742" s="632"/>
      <c r="D3742" s="633"/>
      <c r="E3742" s="5"/>
      <c r="F3742" s="160"/>
      <c r="G3742" s="58"/>
      <c r="H3742" s="160">
        <f>I3762*0.05</f>
        <v>429.72125</v>
      </c>
      <c r="I3742" s="44"/>
    </row>
    <row r="3743" spans="2:9" ht="14" thickBot="1" x14ac:dyDescent="0.2">
      <c r="B3743" s="634"/>
      <c r="C3743" s="635"/>
      <c r="D3743" s="636"/>
      <c r="E3743" s="21"/>
      <c r="F3743" s="22"/>
      <c r="G3743" s="23"/>
      <c r="H3743" s="47"/>
      <c r="I3743" s="48"/>
    </row>
    <row r="3744" spans="2:9" ht="14" thickBot="1" x14ac:dyDescent="0.2">
      <c r="B3744" s="1"/>
      <c r="C3744" s="1"/>
      <c r="D3744" s="1"/>
      <c r="E3744" s="1"/>
      <c r="F3744" s="1"/>
      <c r="G3744" s="1"/>
      <c r="H3744" s="37" t="s">
        <v>26</v>
      </c>
      <c r="I3744" s="161">
        <f>SUM(H3742:H3743)</f>
        <v>429.72125</v>
      </c>
    </row>
    <row r="3745" spans="2:9" ht="14" thickBot="1" x14ac:dyDescent="0.2">
      <c r="B3745" s="12" t="s">
        <v>27</v>
      </c>
      <c r="C3745" s="12"/>
      <c r="D3745" s="1"/>
      <c r="E3745" s="1"/>
      <c r="F3745" s="1"/>
      <c r="G3745" s="1"/>
      <c r="H3745" s="1"/>
      <c r="I3745" s="1"/>
    </row>
    <row r="3746" spans="2:9" x14ac:dyDescent="0.15">
      <c r="B3746" s="628" t="s">
        <v>22</v>
      </c>
      <c r="C3746" s="629"/>
      <c r="D3746" s="630"/>
      <c r="E3746" s="205" t="s">
        <v>28</v>
      </c>
      <c r="F3746" s="205" t="s">
        <v>29</v>
      </c>
      <c r="G3746" s="205" t="s">
        <v>30</v>
      </c>
      <c r="H3746" s="204" t="s">
        <v>25</v>
      </c>
      <c r="I3746" s="43"/>
    </row>
    <row r="3747" spans="2:9" x14ac:dyDescent="0.15">
      <c r="B3747" s="4" t="s">
        <v>178</v>
      </c>
      <c r="C3747" s="24"/>
      <c r="D3747" s="6"/>
      <c r="E3747" s="3" t="s">
        <v>316</v>
      </c>
      <c r="F3747" s="162">
        <f>MATERIALES!F172</f>
        <v>18900</v>
      </c>
      <c r="G3747" s="65">
        <v>1</v>
      </c>
      <c r="H3747" s="163">
        <f>G3747*F3747</f>
        <v>18900</v>
      </c>
      <c r="I3747" s="44"/>
    </row>
    <row r="3748" spans="2:9" x14ac:dyDescent="0.15">
      <c r="B3748" s="4" t="s">
        <v>71</v>
      </c>
      <c r="C3748" s="24"/>
      <c r="D3748" s="6"/>
      <c r="E3748" s="3" t="s">
        <v>44</v>
      </c>
      <c r="F3748" s="164">
        <f>MATERIALES!F165</f>
        <v>27000</v>
      </c>
      <c r="G3748" s="65">
        <v>0.01</v>
      </c>
      <c r="H3748" s="163">
        <f>G3748*F3748</f>
        <v>270</v>
      </c>
      <c r="I3748" s="44"/>
    </row>
    <row r="3749" spans="2:9" ht="14" thickBot="1" x14ac:dyDescent="0.2">
      <c r="B3749" s="25"/>
      <c r="C3749" s="26"/>
      <c r="D3749" s="27"/>
      <c r="E3749" s="21"/>
      <c r="F3749" s="22"/>
      <c r="G3749" s="165"/>
      <c r="H3749" s="47"/>
      <c r="I3749" s="48"/>
    </row>
    <row r="3750" spans="2:9" ht="14" thickBot="1" x14ac:dyDescent="0.2">
      <c r="B3750" s="1"/>
      <c r="C3750" s="1"/>
      <c r="D3750" s="1"/>
      <c r="E3750" s="1"/>
      <c r="F3750" s="1"/>
      <c r="G3750" s="1"/>
      <c r="H3750" s="37" t="s">
        <v>26</v>
      </c>
      <c r="I3750" s="161">
        <f>SUM(H3747:H3749)</f>
        <v>19170</v>
      </c>
    </row>
    <row r="3751" spans="2:9" ht="14" thickBot="1" x14ac:dyDescent="0.2">
      <c r="B3751" s="28" t="s">
        <v>31</v>
      </c>
      <c r="C3751" s="28"/>
      <c r="D3751" s="26"/>
      <c r="E3751" s="1"/>
      <c r="F3751" s="1"/>
      <c r="G3751" s="1"/>
      <c r="H3751" s="1"/>
      <c r="I3751" s="1"/>
    </row>
    <row r="3752" spans="2:9" x14ac:dyDescent="0.15">
      <c r="B3752" s="51" t="s">
        <v>32</v>
      </c>
      <c r="C3752" s="52"/>
      <c r="D3752" s="96" t="s">
        <v>33</v>
      </c>
      <c r="E3752" s="205" t="s">
        <v>34</v>
      </c>
      <c r="F3752" s="205" t="s">
        <v>35</v>
      </c>
      <c r="G3752" s="205" t="s">
        <v>36</v>
      </c>
      <c r="H3752" s="59" t="s">
        <v>25</v>
      </c>
      <c r="I3752" s="43"/>
    </row>
    <row r="3753" spans="2:9" x14ac:dyDescent="0.15">
      <c r="B3753" s="4" t="s">
        <v>79</v>
      </c>
      <c r="C3753" s="6"/>
      <c r="D3753" s="53">
        <v>2.5000000000000001E-2</v>
      </c>
      <c r="E3753" s="2">
        <v>43</v>
      </c>
      <c r="F3753" s="2">
        <f>E3753*D3753</f>
        <v>1.075</v>
      </c>
      <c r="G3753" s="160">
        <v>1100</v>
      </c>
      <c r="H3753" s="20">
        <f>G3753*F3753</f>
        <v>1182.5</v>
      </c>
      <c r="I3753" s="44"/>
    </row>
    <row r="3754" spans="2:9" x14ac:dyDescent="0.15">
      <c r="B3754" s="106"/>
      <c r="C3754" s="66"/>
      <c r="D3754" s="67"/>
      <c r="E3754" s="68"/>
      <c r="F3754" s="68"/>
      <c r="G3754" s="69"/>
      <c r="H3754" s="65"/>
      <c r="I3754" s="44"/>
    </row>
    <row r="3755" spans="2:9" ht="14" thickBot="1" x14ac:dyDescent="0.2">
      <c r="B3755" s="33"/>
      <c r="C3755" s="54"/>
      <c r="D3755" s="21"/>
      <c r="E3755" s="22"/>
      <c r="F3755" s="23"/>
      <c r="G3755" s="47"/>
      <c r="H3755" s="21"/>
      <c r="I3755" s="48"/>
    </row>
    <row r="3756" spans="2:9" ht="14" thickBot="1" x14ac:dyDescent="0.2">
      <c r="B3756" s="1"/>
      <c r="C3756" s="1"/>
      <c r="D3756" s="1"/>
      <c r="E3756" s="1"/>
      <c r="F3756" s="1"/>
      <c r="G3756" s="1"/>
      <c r="H3756" s="37" t="s">
        <v>26</v>
      </c>
      <c r="I3756" s="161">
        <f>SUM(H3753:H3755)</f>
        <v>1182.5</v>
      </c>
    </row>
    <row r="3757" spans="2:9" ht="14" thickBot="1" x14ac:dyDescent="0.2">
      <c r="B3757" s="28" t="s">
        <v>37</v>
      </c>
      <c r="C3757" s="28"/>
      <c r="D3757" s="1"/>
      <c r="E3757" s="1"/>
      <c r="F3757" s="1"/>
      <c r="G3757" s="1"/>
      <c r="H3757" s="1"/>
      <c r="I3757" s="1"/>
    </row>
    <row r="3758" spans="2:9" x14ac:dyDescent="0.15">
      <c r="B3758" s="51" t="s">
        <v>38</v>
      </c>
      <c r="C3758" s="86"/>
      <c r="D3758" s="31" t="s">
        <v>39</v>
      </c>
      <c r="E3758" s="205" t="s">
        <v>40</v>
      </c>
      <c r="F3758" s="19" t="s">
        <v>41</v>
      </c>
      <c r="G3758" s="31" t="s">
        <v>24</v>
      </c>
      <c r="H3758" s="59" t="s">
        <v>25</v>
      </c>
      <c r="I3758" s="43"/>
    </row>
    <row r="3759" spans="2:9" x14ac:dyDescent="0.15">
      <c r="B3759" s="4" t="s">
        <v>106</v>
      </c>
      <c r="C3759" s="24"/>
      <c r="D3759" s="32">
        <f>'MANO DE OBRA'!E16</f>
        <v>95333</v>
      </c>
      <c r="E3759" s="166">
        <v>1.75</v>
      </c>
      <c r="F3759" s="162">
        <f>+E3759*D3759</f>
        <v>166832.75</v>
      </c>
      <c r="G3759" s="20">
        <v>30</v>
      </c>
      <c r="H3759" s="167">
        <f>+F3759/G3759</f>
        <v>5561.0916666666662</v>
      </c>
      <c r="I3759" s="44"/>
    </row>
    <row r="3760" spans="2:9" x14ac:dyDescent="0.15">
      <c r="B3760" s="4" t="s">
        <v>179</v>
      </c>
      <c r="C3760" s="24"/>
      <c r="D3760" s="32">
        <f>'MANO DE OBRA'!E14</f>
        <v>52000</v>
      </c>
      <c r="E3760" s="166">
        <v>1.75</v>
      </c>
      <c r="F3760" s="162">
        <f>+E3760*D3760</f>
        <v>91000</v>
      </c>
      <c r="G3760" s="20">
        <v>30</v>
      </c>
      <c r="H3760" s="167">
        <f>+F3760/G3760</f>
        <v>3033.3333333333335</v>
      </c>
      <c r="I3760" s="44"/>
    </row>
    <row r="3761" spans="2:9" ht="14" thickBot="1" x14ac:dyDescent="0.2">
      <c r="B3761" s="33"/>
      <c r="C3761" s="34"/>
      <c r="D3761" s="22"/>
      <c r="E3761" s="21"/>
      <c r="F3761" s="22"/>
      <c r="G3761" s="23"/>
      <c r="H3761" s="87"/>
      <c r="I3761" s="44"/>
    </row>
    <row r="3762" spans="2:9" ht="14" thickBot="1" x14ac:dyDescent="0.2">
      <c r="B3762" s="1"/>
      <c r="C3762" s="1"/>
      <c r="D3762" s="1"/>
      <c r="E3762" s="1"/>
      <c r="F3762" s="1"/>
      <c r="G3762" s="1"/>
      <c r="H3762" s="37" t="s">
        <v>26</v>
      </c>
      <c r="I3762" s="161">
        <f>SUM(H3759:H3761)</f>
        <v>8594.4249999999993</v>
      </c>
    </row>
    <row r="3763" spans="2:9" ht="14" thickBot="1" x14ac:dyDescent="0.2">
      <c r="B3763" s="1"/>
      <c r="C3763" s="1"/>
      <c r="D3763" s="1"/>
      <c r="E3763" s="1"/>
      <c r="F3763" s="1"/>
      <c r="G3763" s="1"/>
      <c r="H3763" s="61"/>
      <c r="I3763" s="1"/>
    </row>
    <row r="3764" spans="2:9" ht="15" thickBot="1" x14ac:dyDescent="0.2">
      <c r="B3764" s="1"/>
      <c r="C3764" s="1"/>
      <c r="D3764" s="1"/>
      <c r="E3764" s="1"/>
      <c r="F3764" s="35" t="s">
        <v>43</v>
      </c>
      <c r="G3764" s="16"/>
      <c r="H3764" s="16"/>
      <c r="I3764" s="222">
        <f>ROUND((I3744+I3750+I3756+I3762),0)</f>
        <v>29377</v>
      </c>
    </row>
    <row r="3765" spans="2:9" x14ac:dyDescent="0.15">
      <c r="B3765" s="12"/>
      <c r="C3765" s="12"/>
      <c r="D3765" s="1"/>
      <c r="E3765" s="1"/>
      <c r="F3765" s="1"/>
      <c r="G3765" s="1"/>
      <c r="H3765" s="170"/>
      <c r="I3765" s="170"/>
    </row>
    <row r="3766" spans="2:9" x14ac:dyDescent="0.15">
      <c r="B3766" s="16"/>
      <c r="C3766" s="16"/>
      <c r="D3766" s="16"/>
      <c r="E3766" s="16"/>
      <c r="F3766" s="16"/>
      <c r="G3766" s="61"/>
      <c r="H3766" s="171"/>
      <c r="I3766" s="170"/>
    </row>
    <row r="3767" spans="2:9" x14ac:dyDescent="0.15">
      <c r="B3767" s="1"/>
      <c r="C3767" s="1"/>
      <c r="D3767" s="1"/>
      <c r="E3767" s="1"/>
      <c r="F3767" s="1"/>
      <c r="G3767" s="159"/>
      <c r="H3767" s="170"/>
      <c r="I3767" s="170"/>
    </row>
    <row r="3768" spans="2:9" x14ac:dyDescent="0.15">
      <c r="B3768" s="1"/>
      <c r="C3768" s="1"/>
      <c r="D3768" s="1"/>
      <c r="E3768" s="1"/>
      <c r="F3768" s="1"/>
      <c r="G3768" s="159"/>
      <c r="H3768" s="170"/>
      <c r="I3768" s="170"/>
    </row>
    <row r="3769" spans="2:9" x14ac:dyDescent="0.15">
      <c r="B3769" s="1"/>
      <c r="C3769" s="1"/>
      <c r="D3769" s="1"/>
      <c r="E3769" s="1"/>
      <c r="F3769" s="1"/>
      <c r="G3769" s="159"/>
      <c r="H3769" s="170"/>
      <c r="I3769" s="170"/>
    </row>
    <row r="3770" spans="2:9" x14ac:dyDescent="0.15">
      <c r="B3770" s="1"/>
      <c r="C3770" s="1"/>
      <c r="D3770" s="1"/>
      <c r="E3770" s="1"/>
      <c r="F3770" s="1"/>
      <c r="G3770" s="1"/>
      <c r="H3770" s="37"/>
      <c r="I3770" s="170"/>
    </row>
    <row r="3771" spans="2:9" ht="14" x14ac:dyDescent="0.15">
      <c r="B3771" s="101"/>
      <c r="C3771" s="1"/>
      <c r="D3771" s="1"/>
      <c r="E3771" s="1"/>
      <c r="F3771" s="1"/>
      <c r="G3771" s="1"/>
      <c r="H3771" s="1"/>
      <c r="I3771" s="170"/>
    </row>
    <row r="3772" spans="2:9" ht="14" x14ac:dyDescent="0.15">
      <c r="B3772" s="83"/>
      <c r="C3772" s="11"/>
      <c r="D3772" s="1"/>
      <c r="E3772" s="637"/>
      <c r="F3772" s="637"/>
      <c r="G3772" s="637"/>
      <c r="H3772" s="637"/>
      <c r="I3772" s="169"/>
    </row>
    <row r="3773" spans="2:9" ht="14" x14ac:dyDescent="0.15">
      <c r="B3773" s="101"/>
      <c r="C3773" s="11"/>
      <c r="D3773" s="1"/>
      <c r="E3773" s="153"/>
      <c r="F3773" s="153"/>
      <c r="G3773" s="153"/>
      <c r="H3773" s="153"/>
      <c r="I3773" s="169"/>
    </row>
    <row r="3774" spans="2:9" ht="14" x14ac:dyDescent="0.15">
      <c r="B3774" s="83"/>
      <c r="C3774" s="11"/>
      <c r="D3774" s="1"/>
      <c r="E3774" s="153"/>
      <c r="F3774" s="153"/>
      <c r="G3774" s="153"/>
      <c r="H3774" s="153"/>
      <c r="I3774" s="169"/>
    </row>
    <row r="3775" spans="2:9" ht="14" x14ac:dyDescent="0.15">
      <c r="B3775" s="83"/>
      <c r="C3775" s="11"/>
      <c r="D3775" s="1"/>
      <c r="E3775" s="153"/>
      <c r="F3775" s="153"/>
      <c r="G3775" s="153"/>
      <c r="H3775" s="153"/>
      <c r="I3775" s="169"/>
    </row>
    <row r="3776" spans="2:9" ht="14" x14ac:dyDescent="0.15">
      <c r="B3776" s="83"/>
      <c r="C3776" s="11"/>
      <c r="D3776" s="1"/>
      <c r="E3776" s="153"/>
      <c r="F3776" s="153"/>
      <c r="G3776" s="153"/>
      <c r="H3776" s="153"/>
      <c r="I3776" s="169"/>
    </row>
    <row r="3777" spans="2:10" ht="14" x14ac:dyDescent="0.15">
      <c r="B3777" s="83"/>
      <c r="C3777" s="11"/>
      <c r="D3777" s="1"/>
      <c r="E3777" s="153"/>
      <c r="F3777" s="153"/>
      <c r="G3777" s="153"/>
      <c r="H3777" s="153"/>
      <c r="I3777" s="169"/>
    </row>
    <row r="3778" spans="2:10" ht="14" x14ac:dyDescent="0.15">
      <c r="B3778" s="83"/>
      <c r="C3778" s="11"/>
      <c r="D3778" s="1"/>
      <c r="E3778" s="153"/>
      <c r="F3778" s="153"/>
      <c r="G3778" s="153"/>
      <c r="H3778" s="153"/>
      <c r="I3778" s="169"/>
    </row>
    <row r="3779" spans="2:10" ht="14" x14ac:dyDescent="0.15">
      <c r="B3779" s="83"/>
      <c r="C3779" s="11"/>
      <c r="D3779" s="1"/>
      <c r="E3779" s="153"/>
      <c r="F3779" s="153"/>
      <c r="G3779" s="153"/>
      <c r="H3779" s="153"/>
      <c r="I3779" s="169"/>
    </row>
    <row r="3780" spans="2:10" ht="14" x14ac:dyDescent="0.15">
      <c r="B3780" s="83"/>
      <c r="C3780" s="11"/>
      <c r="D3780" s="1"/>
      <c r="E3780" s="153"/>
      <c r="F3780" s="153"/>
      <c r="G3780" s="153"/>
      <c r="H3780" s="153"/>
      <c r="I3780" s="169"/>
    </row>
    <row r="3781" spans="2:10" x14ac:dyDescent="0.15">
      <c r="B3781" s="11"/>
      <c r="C3781" s="11"/>
      <c r="D3781" s="1"/>
      <c r="E3781" s="153"/>
      <c r="F3781" s="153"/>
      <c r="G3781" s="153"/>
      <c r="H3781" s="153"/>
      <c r="I3781" s="169"/>
    </row>
    <row r="3782" spans="2:10" x14ac:dyDescent="0.15">
      <c r="B3782" s="11"/>
      <c r="C3782" s="11"/>
      <c r="D3782" s="1"/>
      <c r="E3782" s="153"/>
      <c r="F3782" s="153"/>
      <c r="G3782" s="153"/>
      <c r="H3782" s="153"/>
      <c r="I3782" s="169"/>
    </row>
    <row r="3783" spans="2:10" x14ac:dyDescent="0.15">
      <c r="B3783" s="11"/>
      <c r="C3783" s="11"/>
      <c r="D3783" s="1"/>
      <c r="E3783" s="153"/>
      <c r="F3783" s="153"/>
      <c r="G3783" s="153"/>
      <c r="H3783" s="153"/>
      <c r="I3783" s="169"/>
    </row>
    <row r="3784" spans="2:10" x14ac:dyDescent="0.15">
      <c r="B3784" s="11"/>
      <c r="C3784" s="11"/>
      <c r="D3784" s="1"/>
      <c r="E3784" s="153"/>
      <c r="F3784" s="153"/>
      <c r="G3784" s="153"/>
      <c r="H3784" s="153"/>
      <c r="I3784" s="169"/>
    </row>
    <row r="3785" spans="2:10" ht="14" x14ac:dyDescent="0.15">
      <c r="B3785" s="83"/>
      <c r="C3785" s="83"/>
      <c r="D3785" s="84"/>
      <c r="E3785" s="83"/>
      <c r="F3785" s="154"/>
      <c r="G3785" s="155"/>
      <c r="H3785" s="156"/>
      <c r="I3785" s="157"/>
      <c r="J3785" s="85"/>
    </row>
    <row r="3786" spans="2:10" ht="14" x14ac:dyDescent="0.15">
      <c r="B3786" s="83"/>
      <c r="C3786" s="11"/>
      <c r="D3786" s="11"/>
      <c r="E3786" s="11"/>
      <c r="F3786" s="691"/>
      <c r="G3786" s="691"/>
      <c r="H3786" s="691"/>
      <c r="I3786" s="691"/>
    </row>
    <row r="3787" spans="2:10" x14ac:dyDescent="0.15">
      <c r="B3787" s="11"/>
      <c r="C3787" s="11"/>
      <c r="D3787" s="1"/>
      <c r="E3787" s="153"/>
      <c r="F3787" s="153"/>
      <c r="G3787" s="153"/>
      <c r="H3787" s="153"/>
      <c r="I3787" s="169"/>
    </row>
    <row r="3788" spans="2:10" x14ac:dyDescent="0.15">
      <c r="B3788" s="11"/>
      <c r="C3788" s="11"/>
      <c r="D3788" s="1"/>
      <c r="E3788" s="153"/>
      <c r="F3788" s="153"/>
      <c r="G3788" s="153"/>
      <c r="H3788" s="153"/>
      <c r="I3788" s="169"/>
    </row>
    <row r="3789" spans="2:10" ht="14" thickBot="1" x14ac:dyDescent="0.2"/>
    <row r="3790" spans="2:10" ht="21" customHeight="1" x14ac:dyDescent="0.15">
      <c r="B3790" s="607" t="s">
        <v>1065</v>
      </c>
      <c r="C3790" s="608"/>
      <c r="D3790" s="608"/>
      <c r="E3790" s="608"/>
      <c r="F3790" s="609"/>
      <c r="G3790" s="1"/>
      <c r="H3790" s="638" t="s">
        <v>20</v>
      </c>
      <c r="I3790" s="639"/>
    </row>
    <row r="3791" spans="2:10" ht="16.5" customHeight="1" x14ac:dyDescent="0.15">
      <c r="B3791" s="604" t="s">
        <v>446</v>
      </c>
      <c r="C3791" s="605"/>
      <c r="D3791" s="605"/>
      <c r="E3791" s="605"/>
      <c r="F3791" s="606"/>
      <c r="G3791" s="63"/>
      <c r="H3791" s="640"/>
      <c r="I3791" s="641"/>
    </row>
    <row r="3792" spans="2:10" ht="12.75" customHeight="1" x14ac:dyDescent="0.15">
      <c r="B3792" s="610" t="s">
        <v>447</v>
      </c>
      <c r="C3792" s="611"/>
      <c r="D3792" s="611"/>
      <c r="E3792" s="611"/>
      <c r="F3792" s="612"/>
      <c r="G3792" s="63"/>
      <c r="H3792" s="642"/>
      <c r="I3792" s="643"/>
    </row>
    <row r="3793" spans="2:9" ht="16.5" customHeight="1" thickBot="1" x14ac:dyDescent="0.2">
      <c r="B3793" s="613"/>
      <c r="C3793" s="614"/>
      <c r="D3793" s="614"/>
      <c r="E3793" s="614"/>
      <c r="F3793" s="615"/>
      <c r="G3793" s="1"/>
      <c r="H3793" s="668" t="s">
        <v>702</v>
      </c>
      <c r="I3793" s="669"/>
    </row>
    <row r="3794" spans="2:9" ht="13.5" customHeight="1" thickBot="1" x14ac:dyDescent="0.2">
      <c r="B3794" s="15"/>
      <c r="C3794" s="16"/>
      <c r="D3794" s="1"/>
      <c r="E3794" s="1"/>
      <c r="F3794" s="1"/>
      <c r="G3794" s="1"/>
      <c r="H3794" s="670"/>
      <c r="I3794" s="671"/>
    </row>
    <row r="3795" spans="2:9" ht="12.75" customHeight="1" x14ac:dyDescent="0.15">
      <c r="B3795" s="650" t="s">
        <v>890</v>
      </c>
      <c r="C3795" s="651"/>
      <c r="D3795" s="651"/>
      <c r="E3795" s="651"/>
      <c r="F3795" s="652"/>
      <c r="G3795" s="1"/>
      <c r="H3795" s="670"/>
      <c r="I3795" s="671"/>
    </row>
    <row r="3796" spans="2:9" ht="12.75" customHeight="1" x14ac:dyDescent="0.15">
      <c r="B3796" s="653"/>
      <c r="C3796" s="654"/>
      <c r="D3796" s="654"/>
      <c r="E3796" s="654"/>
      <c r="F3796" s="655"/>
      <c r="H3796" s="670"/>
      <c r="I3796" s="671"/>
    </row>
    <row r="3797" spans="2:9" ht="13.5" customHeight="1" x14ac:dyDescent="0.15">
      <c r="B3797" s="653"/>
      <c r="C3797" s="654"/>
      <c r="D3797" s="654"/>
      <c r="E3797" s="654"/>
      <c r="F3797" s="655"/>
      <c r="G3797" s="11"/>
      <c r="H3797" s="672"/>
      <c r="I3797" s="673"/>
    </row>
    <row r="3798" spans="2:9" ht="21.75" customHeight="1" thickBot="1" x14ac:dyDescent="0.2">
      <c r="B3798" s="656"/>
      <c r="C3798" s="657"/>
      <c r="D3798" s="657"/>
      <c r="E3798" s="657"/>
      <c r="F3798" s="658"/>
      <c r="H3798" s="64" t="s">
        <v>45</v>
      </c>
      <c r="I3798" s="17" t="s">
        <v>316</v>
      </c>
    </row>
    <row r="3799" spans="2:9" x14ac:dyDescent="0.15">
      <c r="B3799" s="18"/>
      <c r="C3799" s="18"/>
      <c r="D3799" s="1"/>
      <c r="E3799" s="18"/>
      <c r="F3799" s="18"/>
      <c r="G3799" s="18"/>
      <c r="H3799" s="18"/>
      <c r="I3799" s="1"/>
    </row>
    <row r="3800" spans="2:9" ht="14" thickBot="1" x14ac:dyDescent="0.2">
      <c r="B3800" s="12" t="s">
        <v>21</v>
      </c>
      <c r="C3800" s="12"/>
      <c r="D3800" s="1"/>
      <c r="E3800" s="1"/>
      <c r="F3800" s="1"/>
      <c r="G3800" s="1"/>
      <c r="H3800" s="1"/>
      <c r="I3800" s="1"/>
    </row>
    <row r="3801" spans="2:9" x14ac:dyDescent="0.15">
      <c r="B3801" s="628" t="s">
        <v>22</v>
      </c>
      <c r="C3801" s="629"/>
      <c r="D3801" s="630"/>
      <c r="E3801" s="205" t="s">
        <v>23</v>
      </c>
      <c r="F3801" s="19" t="s">
        <v>47</v>
      </c>
      <c r="G3801" s="205" t="s">
        <v>24</v>
      </c>
      <c r="H3801" s="204" t="s">
        <v>25</v>
      </c>
      <c r="I3801" s="43"/>
    </row>
    <row r="3802" spans="2:9" x14ac:dyDescent="0.15">
      <c r="B3802" s="631" t="s">
        <v>56</v>
      </c>
      <c r="C3802" s="632"/>
      <c r="D3802" s="633"/>
      <c r="E3802" s="5"/>
      <c r="F3802" s="160"/>
      <c r="G3802" s="58"/>
      <c r="H3802" s="160">
        <f>I3821*0.05</f>
        <v>429.72125</v>
      </c>
      <c r="I3802" s="44"/>
    </row>
    <row r="3803" spans="2:9" ht="14" thickBot="1" x14ac:dyDescent="0.2">
      <c r="B3803" s="634"/>
      <c r="C3803" s="635"/>
      <c r="D3803" s="636"/>
      <c r="E3803" s="21"/>
      <c r="F3803" s="22"/>
      <c r="G3803" s="23"/>
      <c r="H3803" s="47"/>
      <c r="I3803" s="48"/>
    </row>
    <row r="3804" spans="2:9" ht="14" thickBot="1" x14ac:dyDescent="0.2">
      <c r="B3804" s="1"/>
      <c r="C3804" s="1"/>
      <c r="D3804" s="1"/>
      <c r="E3804" s="1"/>
      <c r="F3804" s="1"/>
      <c r="G3804" s="1"/>
      <c r="H3804" s="37" t="s">
        <v>26</v>
      </c>
      <c r="I3804" s="161">
        <f>SUM(H3802:H3803)</f>
        <v>429.72125</v>
      </c>
    </row>
    <row r="3805" spans="2:9" ht="14" thickBot="1" x14ac:dyDescent="0.2">
      <c r="B3805" s="12" t="s">
        <v>27</v>
      </c>
      <c r="C3805" s="12"/>
      <c r="D3805" s="1"/>
      <c r="E3805" s="1"/>
      <c r="F3805" s="1"/>
      <c r="G3805" s="1"/>
      <c r="H3805" s="1"/>
      <c r="I3805" s="1"/>
    </row>
    <row r="3806" spans="2:9" x14ac:dyDescent="0.15">
      <c r="B3806" s="628" t="s">
        <v>22</v>
      </c>
      <c r="C3806" s="629"/>
      <c r="D3806" s="630"/>
      <c r="E3806" s="205" t="s">
        <v>28</v>
      </c>
      <c r="F3806" s="205" t="s">
        <v>29</v>
      </c>
      <c r="G3806" s="205" t="s">
        <v>30</v>
      </c>
      <c r="H3806" s="204" t="s">
        <v>25</v>
      </c>
      <c r="I3806" s="43"/>
    </row>
    <row r="3807" spans="2:9" x14ac:dyDescent="0.15">
      <c r="B3807" s="4" t="s">
        <v>703</v>
      </c>
      <c r="C3807" s="24"/>
      <c r="D3807" s="6"/>
      <c r="E3807" s="3" t="s">
        <v>316</v>
      </c>
      <c r="F3807" s="162">
        <f>MATERIALES!C173</f>
        <v>10800</v>
      </c>
      <c r="G3807" s="65">
        <v>1</v>
      </c>
      <c r="H3807" s="163">
        <f>G3807*F3807</f>
        <v>10800</v>
      </c>
      <c r="I3807" s="44"/>
    </row>
    <row r="3808" spans="2:9" x14ac:dyDescent="0.15">
      <c r="B3808" s="4" t="s">
        <v>71</v>
      </c>
      <c r="C3808" s="24"/>
      <c r="D3808" s="6"/>
      <c r="E3808" s="3" t="s">
        <v>44</v>
      </c>
      <c r="F3808" s="164">
        <f>MATERIALES!F165</f>
        <v>27000</v>
      </c>
      <c r="G3808" s="65">
        <v>0.01</v>
      </c>
      <c r="H3808" s="163">
        <f>G3808*F3808</f>
        <v>270</v>
      </c>
      <c r="I3808" s="44"/>
    </row>
    <row r="3809" spans="2:9" ht="14" thickBot="1" x14ac:dyDescent="0.2">
      <c r="B3809" s="25"/>
      <c r="C3809" s="26"/>
      <c r="D3809" s="27"/>
      <c r="E3809" s="21"/>
      <c r="F3809" s="22"/>
      <c r="G3809" s="165"/>
      <c r="H3809" s="47"/>
      <c r="I3809" s="48"/>
    </row>
    <row r="3810" spans="2:9" ht="14" thickBot="1" x14ac:dyDescent="0.2">
      <c r="B3810" s="1"/>
      <c r="C3810" s="1"/>
      <c r="D3810" s="1"/>
      <c r="E3810" s="1"/>
      <c r="F3810" s="1"/>
      <c r="G3810" s="1"/>
      <c r="H3810" s="37" t="s">
        <v>26</v>
      </c>
      <c r="I3810" s="161">
        <f>SUM(H3807:H3809)</f>
        <v>11070</v>
      </c>
    </row>
    <row r="3811" spans="2:9" ht="14" thickBot="1" x14ac:dyDescent="0.2">
      <c r="B3811" s="28" t="s">
        <v>31</v>
      </c>
      <c r="C3811" s="28"/>
      <c r="D3811" s="26"/>
      <c r="E3811" s="1"/>
      <c r="F3811" s="1"/>
      <c r="G3811" s="1"/>
      <c r="H3811" s="1"/>
      <c r="I3811" s="1"/>
    </row>
    <row r="3812" spans="2:9" x14ac:dyDescent="0.15">
      <c r="B3812" s="51" t="s">
        <v>32</v>
      </c>
      <c r="C3812" s="52"/>
      <c r="D3812" s="96" t="s">
        <v>33</v>
      </c>
      <c r="E3812" s="205" t="s">
        <v>34</v>
      </c>
      <c r="F3812" s="205" t="s">
        <v>35</v>
      </c>
      <c r="G3812" s="205" t="s">
        <v>36</v>
      </c>
      <c r="H3812" s="59" t="s">
        <v>25</v>
      </c>
      <c r="I3812" s="43"/>
    </row>
    <row r="3813" spans="2:9" x14ac:dyDescent="0.15">
      <c r="B3813" s="4" t="s">
        <v>79</v>
      </c>
      <c r="C3813" s="6"/>
      <c r="D3813" s="53">
        <v>2.5000000000000001E-2</v>
      </c>
      <c r="E3813" s="2">
        <v>15</v>
      </c>
      <c r="F3813" s="2">
        <f>E3813*D3813</f>
        <v>0.375</v>
      </c>
      <c r="G3813" s="160">
        <v>1100</v>
      </c>
      <c r="H3813" s="20">
        <f>G3813*F3813</f>
        <v>412.5</v>
      </c>
      <c r="I3813" s="44"/>
    </row>
    <row r="3814" spans="2:9" ht="14" thickBot="1" x14ac:dyDescent="0.2">
      <c r="B3814" s="33"/>
      <c r="C3814" s="54"/>
      <c r="D3814" s="21"/>
      <c r="E3814" s="22"/>
      <c r="F3814" s="23"/>
      <c r="G3814" s="47"/>
      <c r="H3814" s="21"/>
      <c r="I3814" s="48"/>
    </row>
    <row r="3815" spans="2:9" ht="14" thickBot="1" x14ac:dyDescent="0.2">
      <c r="B3815" s="1"/>
      <c r="C3815" s="1"/>
      <c r="D3815" s="1"/>
      <c r="E3815" s="1"/>
      <c r="F3815" s="1"/>
      <c r="G3815" s="1"/>
      <c r="H3815" s="37" t="s">
        <v>26</v>
      </c>
      <c r="I3815" s="161">
        <f>SUM(H3813:H3814)</f>
        <v>412.5</v>
      </c>
    </row>
    <row r="3816" spans="2:9" ht="14" thickBot="1" x14ac:dyDescent="0.2">
      <c r="B3816" s="28" t="s">
        <v>37</v>
      </c>
      <c r="C3816" s="28"/>
      <c r="D3816" s="1"/>
      <c r="E3816" s="1"/>
      <c r="F3816" s="1"/>
      <c r="G3816" s="1"/>
      <c r="H3816" s="1"/>
      <c r="I3816" s="1"/>
    </row>
    <row r="3817" spans="2:9" x14ac:dyDescent="0.15">
      <c r="B3817" s="51" t="s">
        <v>38</v>
      </c>
      <c r="C3817" s="86"/>
      <c r="D3817" s="31" t="s">
        <v>39</v>
      </c>
      <c r="E3817" s="205" t="s">
        <v>40</v>
      </c>
      <c r="F3817" s="19" t="s">
        <v>41</v>
      </c>
      <c r="G3817" s="31" t="s">
        <v>24</v>
      </c>
      <c r="H3817" s="59" t="s">
        <v>25</v>
      </c>
      <c r="I3817" s="43"/>
    </row>
    <row r="3818" spans="2:9" x14ac:dyDescent="0.15">
      <c r="B3818" s="4" t="s">
        <v>106</v>
      </c>
      <c r="C3818" s="24"/>
      <c r="D3818" s="32">
        <f>'MANO DE OBRA'!E16</f>
        <v>95333</v>
      </c>
      <c r="E3818" s="166">
        <v>1.75</v>
      </c>
      <c r="F3818" s="162">
        <f>+E3818*D3818</f>
        <v>166832.75</v>
      </c>
      <c r="G3818" s="20">
        <v>30</v>
      </c>
      <c r="H3818" s="167">
        <f>+F3818/G3818</f>
        <v>5561.0916666666662</v>
      </c>
      <c r="I3818" s="44"/>
    </row>
    <row r="3819" spans="2:9" x14ac:dyDescent="0.15">
      <c r="B3819" s="4" t="s">
        <v>179</v>
      </c>
      <c r="C3819" s="24"/>
      <c r="D3819" s="32">
        <f>'MANO DE OBRA'!E14</f>
        <v>52000</v>
      </c>
      <c r="E3819" s="166">
        <v>1.75</v>
      </c>
      <c r="F3819" s="162">
        <f>+E3819*D3819</f>
        <v>91000</v>
      </c>
      <c r="G3819" s="20">
        <v>30</v>
      </c>
      <c r="H3819" s="167">
        <f>+F3819/G3819</f>
        <v>3033.3333333333335</v>
      </c>
      <c r="I3819" s="44"/>
    </row>
    <row r="3820" spans="2:9" ht="14" thickBot="1" x14ac:dyDescent="0.2">
      <c r="B3820" s="33"/>
      <c r="C3820" s="34"/>
      <c r="D3820" s="22"/>
      <c r="E3820" s="21"/>
      <c r="F3820" s="22"/>
      <c r="G3820" s="23"/>
      <c r="H3820" s="87"/>
      <c r="I3820" s="44"/>
    </row>
    <row r="3821" spans="2:9" ht="14" thickBot="1" x14ac:dyDescent="0.2">
      <c r="B3821" s="1"/>
      <c r="C3821" s="1"/>
      <c r="D3821" s="1"/>
      <c r="E3821" s="1"/>
      <c r="F3821" s="1"/>
      <c r="G3821" s="1"/>
      <c r="H3821" s="37" t="s">
        <v>26</v>
      </c>
      <c r="I3821" s="161">
        <f>SUM(H3818:H3820)</f>
        <v>8594.4249999999993</v>
      </c>
    </row>
    <row r="3822" spans="2:9" ht="14" thickBot="1" x14ac:dyDescent="0.2">
      <c r="B3822" s="1"/>
      <c r="C3822" s="1"/>
      <c r="D3822" s="1"/>
      <c r="E3822" s="1"/>
      <c r="F3822" s="1"/>
      <c r="G3822" s="1"/>
      <c r="H3822" s="61"/>
      <c r="I3822" s="1"/>
    </row>
    <row r="3823" spans="2:9" ht="15" thickBot="1" x14ac:dyDescent="0.2">
      <c r="B3823" s="1"/>
      <c r="C3823" s="1"/>
      <c r="D3823" s="1"/>
      <c r="E3823" s="1"/>
      <c r="F3823" s="35" t="s">
        <v>43</v>
      </c>
      <c r="G3823" s="16"/>
      <c r="H3823" s="16"/>
      <c r="I3823" s="222">
        <f>ROUND((I3804+I3810+I3815+I3821),0)</f>
        <v>20507</v>
      </c>
    </row>
    <row r="3824" spans="2:9" x14ac:dyDescent="0.15">
      <c r="B3824" s="12"/>
      <c r="C3824" s="12"/>
      <c r="D3824" s="1"/>
      <c r="E3824" s="1"/>
      <c r="F3824" s="1"/>
      <c r="G3824" s="1"/>
      <c r="H3824" s="170"/>
      <c r="I3824" s="170"/>
    </row>
    <row r="3825" spans="2:9" x14ac:dyDescent="0.15">
      <c r="B3825" s="16"/>
      <c r="C3825" s="16"/>
      <c r="D3825" s="16"/>
      <c r="E3825" s="16"/>
      <c r="F3825" s="16"/>
      <c r="G3825" s="61"/>
      <c r="H3825" s="171"/>
      <c r="I3825" s="170"/>
    </row>
    <row r="3826" spans="2:9" x14ac:dyDescent="0.15">
      <c r="B3826" s="1"/>
      <c r="C3826" s="1"/>
      <c r="D3826" s="1"/>
      <c r="E3826" s="1"/>
      <c r="F3826" s="1"/>
      <c r="G3826" s="159"/>
      <c r="H3826" s="170"/>
      <c r="I3826" s="170"/>
    </row>
    <row r="3827" spans="2:9" x14ac:dyDescent="0.15">
      <c r="B3827" s="1"/>
      <c r="C3827" s="1"/>
      <c r="D3827" s="1"/>
      <c r="E3827" s="1"/>
      <c r="F3827" s="1"/>
      <c r="G3827" s="159"/>
      <c r="H3827" s="170"/>
      <c r="I3827" s="170"/>
    </row>
    <row r="3828" spans="2:9" x14ac:dyDescent="0.15">
      <c r="B3828" s="1"/>
      <c r="C3828" s="1"/>
      <c r="D3828" s="1"/>
      <c r="E3828" s="1"/>
      <c r="F3828" s="1"/>
      <c r="G3828" s="159"/>
      <c r="H3828" s="170"/>
      <c r="I3828" s="170"/>
    </row>
    <row r="3829" spans="2:9" x14ac:dyDescent="0.15">
      <c r="B3829" s="1"/>
      <c r="C3829" s="1"/>
      <c r="D3829" s="1"/>
      <c r="E3829" s="1"/>
      <c r="F3829" s="1"/>
      <c r="G3829" s="1"/>
      <c r="H3829" s="37"/>
      <c r="I3829" s="170"/>
    </row>
    <row r="3830" spans="2:9" ht="14" x14ac:dyDescent="0.15">
      <c r="B3830" s="101"/>
      <c r="C3830" s="1"/>
      <c r="D3830" s="1"/>
      <c r="E3830" s="1"/>
      <c r="F3830" s="1"/>
      <c r="G3830" s="1"/>
      <c r="H3830" s="1"/>
      <c r="I3830" s="170"/>
    </row>
    <row r="3831" spans="2:9" ht="14" x14ac:dyDescent="0.15">
      <c r="B3831" s="83"/>
      <c r="C3831" s="11"/>
      <c r="D3831" s="1"/>
      <c r="E3831" s="637"/>
      <c r="F3831" s="637"/>
      <c r="G3831" s="637"/>
      <c r="H3831" s="637"/>
      <c r="I3831" s="169"/>
    </row>
    <row r="3832" spans="2:9" ht="14" x14ac:dyDescent="0.15">
      <c r="B3832" s="101"/>
      <c r="C3832" s="11"/>
      <c r="D3832" s="1"/>
      <c r="E3832" s="153"/>
      <c r="F3832" s="153"/>
      <c r="G3832" s="153"/>
      <c r="H3832" s="153"/>
      <c r="I3832" s="169"/>
    </row>
    <row r="3833" spans="2:9" ht="14" x14ac:dyDescent="0.15">
      <c r="B3833" s="83"/>
      <c r="C3833" s="11"/>
      <c r="D3833" s="1"/>
      <c r="E3833" s="153"/>
      <c r="F3833" s="153"/>
      <c r="G3833" s="153"/>
      <c r="H3833" s="153"/>
      <c r="I3833" s="169"/>
    </row>
    <row r="3834" spans="2:9" ht="14" x14ac:dyDescent="0.15">
      <c r="B3834" s="83"/>
      <c r="C3834" s="11"/>
      <c r="D3834" s="1"/>
      <c r="E3834" s="153"/>
      <c r="F3834" s="153"/>
      <c r="G3834" s="153"/>
      <c r="H3834" s="153"/>
      <c r="I3834" s="169"/>
    </row>
    <row r="3835" spans="2:9" ht="14" x14ac:dyDescent="0.15">
      <c r="B3835" s="83"/>
      <c r="C3835" s="11"/>
      <c r="D3835" s="1"/>
      <c r="E3835" s="153"/>
      <c r="F3835" s="153"/>
      <c r="G3835" s="153"/>
      <c r="H3835" s="153"/>
      <c r="I3835" s="169"/>
    </row>
    <row r="3836" spans="2:9" ht="14" x14ac:dyDescent="0.15">
      <c r="B3836" s="83"/>
      <c r="C3836" s="11"/>
      <c r="D3836" s="1"/>
      <c r="E3836" s="153"/>
      <c r="F3836" s="153"/>
      <c r="G3836" s="153"/>
      <c r="H3836" s="153"/>
      <c r="I3836" s="169"/>
    </row>
    <row r="3837" spans="2:9" ht="14" x14ac:dyDescent="0.15">
      <c r="B3837" s="83"/>
      <c r="C3837" s="11"/>
      <c r="D3837" s="1"/>
      <c r="E3837" s="153"/>
      <c r="F3837" s="153"/>
      <c r="G3837" s="153"/>
      <c r="H3837" s="153"/>
      <c r="I3837" s="169"/>
    </row>
    <row r="3838" spans="2:9" ht="14" x14ac:dyDescent="0.15">
      <c r="B3838" s="83"/>
      <c r="C3838" s="11"/>
      <c r="D3838" s="1"/>
      <c r="E3838" s="153"/>
      <c r="F3838" s="153"/>
      <c r="G3838" s="153"/>
      <c r="H3838" s="153"/>
      <c r="I3838" s="169"/>
    </row>
    <row r="3839" spans="2:9" x14ac:dyDescent="0.15">
      <c r="B3839" s="11"/>
      <c r="C3839" s="11"/>
      <c r="D3839" s="1"/>
      <c r="E3839" s="153"/>
      <c r="F3839" s="153"/>
      <c r="G3839" s="153"/>
      <c r="H3839" s="153"/>
      <c r="I3839" s="169"/>
    </row>
    <row r="3840" spans="2:9" x14ac:dyDescent="0.15">
      <c r="B3840" s="11"/>
      <c r="C3840" s="11"/>
      <c r="D3840" s="1"/>
      <c r="E3840" s="153"/>
      <c r="F3840" s="153"/>
      <c r="G3840" s="153"/>
      <c r="H3840" s="153"/>
      <c r="I3840" s="169"/>
    </row>
    <row r="3841" spans="2:10" x14ac:dyDescent="0.15">
      <c r="B3841" s="11"/>
      <c r="C3841" s="11"/>
      <c r="D3841" s="1"/>
      <c r="E3841" s="153"/>
      <c r="F3841" s="153"/>
      <c r="G3841" s="153"/>
      <c r="H3841" s="153"/>
      <c r="I3841" s="169"/>
    </row>
    <row r="3842" spans="2:10" x14ac:dyDescent="0.15">
      <c r="B3842" s="11"/>
      <c r="C3842" s="11"/>
      <c r="D3842" s="1"/>
      <c r="E3842" s="153"/>
      <c r="F3842" s="153"/>
      <c r="G3842" s="153"/>
      <c r="H3842" s="153"/>
      <c r="I3842" s="169"/>
    </row>
    <row r="3843" spans="2:10" x14ac:dyDescent="0.15">
      <c r="B3843" s="11"/>
      <c r="C3843" s="11"/>
      <c r="D3843" s="1"/>
      <c r="E3843" s="153"/>
      <c r="F3843" s="153"/>
      <c r="G3843" s="153"/>
      <c r="H3843" s="153"/>
      <c r="I3843" s="169"/>
    </row>
    <row r="3844" spans="2:10" x14ac:dyDescent="0.15">
      <c r="B3844" s="11"/>
      <c r="C3844" s="11"/>
      <c r="D3844" s="1"/>
      <c r="E3844" s="153"/>
      <c r="F3844" s="153"/>
      <c r="G3844" s="153"/>
      <c r="H3844" s="153"/>
      <c r="I3844" s="169"/>
    </row>
    <row r="3845" spans="2:10" x14ac:dyDescent="0.15">
      <c r="B3845" s="11"/>
      <c r="C3845" s="11"/>
      <c r="D3845" s="1"/>
      <c r="E3845" s="153"/>
      <c r="F3845" s="153"/>
      <c r="G3845" s="153"/>
      <c r="H3845" s="153"/>
      <c r="I3845" s="169"/>
    </row>
    <row r="3846" spans="2:10" ht="14" x14ac:dyDescent="0.15">
      <c r="B3846" s="101"/>
      <c r="C3846" s="83"/>
      <c r="D3846" s="84"/>
      <c r="E3846" s="83"/>
      <c r="F3846" s="158"/>
      <c r="G3846" s="155"/>
      <c r="H3846" s="83"/>
      <c r="I3846" s="83"/>
      <c r="J3846" s="85"/>
    </row>
    <row r="3847" spans="2:10" ht="14" x14ac:dyDescent="0.15">
      <c r="B3847" s="83"/>
      <c r="C3847" s="83"/>
      <c r="D3847" s="84"/>
      <c r="E3847" s="83"/>
      <c r="F3847" s="154"/>
      <c r="G3847" s="155"/>
      <c r="H3847" s="156"/>
      <c r="I3847" s="157"/>
      <c r="J3847" s="85"/>
    </row>
    <row r="3848" spans="2:10" ht="14" x14ac:dyDescent="0.15">
      <c r="B3848" s="83"/>
      <c r="C3848" s="11"/>
      <c r="D3848" s="11"/>
      <c r="E3848" s="11"/>
      <c r="F3848" s="691"/>
      <c r="G3848" s="691"/>
      <c r="H3848" s="691"/>
      <c r="I3848" s="691"/>
    </row>
    <row r="3849" spans="2:10" ht="14" thickBot="1" x14ac:dyDescent="0.2">
      <c r="B3849" s="11"/>
      <c r="C3849" s="11"/>
      <c r="D3849" s="1"/>
      <c r="E3849" s="153"/>
      <c r="F3849" s="153"/>
      <c r="G3849" s="153"/>
      <c r="H3849" s="153"/>
      <c r="I3849" s="169"/>
    </row>
    <row r="3850" spans="2:10" ht="21" customHeight="1" x14ac:dyDescent="0.15">
      <c r="B3850" s="607" t="s">
        <v>1065</v>
      </c>
      <c r="C3850" s="608"/>
      <c r="D3850" s="608"/>
      <c r="E3850" s="608"/>
      <c r="F3850" s="609"/>
      <c r="G3850" s="1"/>
      <c r="H3850" s="638" t="s">
        <v>20</v>
      </c>
      <c r="I3850" s="639"/>
    </row>
    <row r="3851" spans="2:10" ht="16.5" customHeight="1" x14ac:dyDescent="0.15">
      <c r="B3851" s="604" t="s">
        <v>446</v>
      </c>
      <c r="C3851" s="605"/>
      <c r="D3851" s="605"/>
      <c r="E3851" s="605"/>
      <c r="F3851" s="606"/>
      <c r="G3851" s="63"/>
      <c r="H3851" s="640"/>
      <c r="I3851" s="641"/>
    </row>
    <row r="3852" spans="2:10" ht="12.75" customHeight="1" x14ac:dyDescent="0.15">
      <c r="B3852" s="610" t="s">
        <v>447</v>
      </c>
      <c r="C3852" s="611"/>
      <c r="D3852" s="611"/>
      <c r="E3852" s="611"/>
      <c r="F3852" s="612"/>
      <c r="G3852" s="63"/>
      <c r="H3852" s="642"/>
      <c r="I3852" s="643"/>
    </row>
    <row r="3853" spans="2:10" ht="16.5" customHeight="1" thickBot="1" x14ac:dyDescent="0.2">
      <c r="B3853" s="613"/>
      <c r="C3853" s="614"/>
      <c r="D3853" s="614"/>
      <c r="E3853" s="614"/>
      <c r="F3853" s="615"/>
      <c r="G3853" s="1"/>
      <c r="H3853" s="668" t="s">
        <v>705</v>
      </c>
      <c r="I3853" s="669"/>
    </row>
    <row r="3854" spans="2:10" ht="13.5" customHeight="1" thickBot="1" x14ac:dyDescent="0.2">
      <c r="B3854" s="15"/>
      <c r="C3854" s="16"/>
      <c r="D3854" s="1"/>
      <c r="E3854" s="1"/>
      <c r="F3854" s="1"/>
      <c r="G3854" s="1"/>
      <c r="H3854" s="670"/>
      <c r="I3854" s="671"/>
    </row>
    <row r="3855" spans="2:10" ht="12.75" customHeight="1" x14ac:dyDescent="0.15">
      <c r="B3855" s="650" t="s">
        <v>890</v>
      </c>
      <c r="C3855" s="651"/>
      <c r="D3855" s="651"/>
      <c r="E3855" s="651"/>
      <c r="F3855" s="652"/>
      <c r="G3855" s="1"/>
      <c r="H3855" s="670"/>
      <c r="I3855" s="671"/>
    </row>
    <row r="3856" spans="2:10" ht="12.75" customHeight="1" x14ac:dyDescent="0.15">
      <c r="B3856" s="653"/>
      <c r="C3856" s="654"/>
      <c r="D3856" s="654"/>
      <c r="E3856" s="654"/>
      <c r="F3856" s="655"/>
      <c r="H3856" s="670"/>
      <c r="I3856" s="671"/>
    </row>
    <row r="3857" spans="2:9" ht="13.5" customHeight="1" x14ac:dyDescent="0.15">
      <c r="B3857" s="653"/>
      <c r="C3857" s="654"/>
      <c r="D3857" s="654"/>
      <c r="E3857" s="654"/>
      <c r="F3857" s="655"/>
      <c r="G3857" s="11"/>
      <c r="H3857" s="672"/>
      <c r="I3857" s="673"/>
    </row>
    <row r="3858" spans="2:9" ht="21.75" customHeight="1" thickBot="1" x14ac:dyDescent="0.2">
      <c r="B3858" s="656"/>
      <c r="C3858" s="657"/>
      <c r="D3858" s="657"/>
      <c r="E3858" s="657"/>
      <c r="F3858" s="658"/>
      <c r="H3858" s="64" t="s">
        <v>45</v>
      </c>
      <c r="I3858" s="17" t="s">
        <v>316</v>
      </c>
    </row>
    <row r="3859" spans="2:9" x14ac:dyDescent="0.15">
      <c r="B3859" s="18"/>
      <c r="C3859" s="18"/>
      <c r="D3859" s="1"/>
      <c r="E3859" s="18"/>
      <c r="F3859" s="18"/>
      <c r="G3859" s="18"/>
      <c r="H3859" s="18"/>
      <c r="I3859" s="1"/>
    </row>
    <row r="3860" spans="2:9" ht="14" thickBot="1" x14ac:dyDescent="0.2">
      <c r="B3860" s="12" t="s">
        <v>21</v>
      </c>
      <c r="C3860" s="12"/>
      <c r="D3860" s="1"/>
      <c r="E3860" s="1"/>
      <c r="F3860" s="1"/>
      <c r="G3860" s="1"/>
      <c r="H3860" s="1"/>
      <c r="I3860" s="1"/>
    </row>
    <row r="3861" spans="2:9" x14ac:dyDescent="0.15">
      <c r="B3861" s="628" t="s">
        <v>22</v>
      </c>
      <c r="C3861" s="629"/>
      <c r="D3861" s="630"/>
      <c r="E3861" s="205" t="s">
        <v>23</v>
      </c>
      <c r="F3861" s="19" t="s">
        <v>47</v>
      </c>
      <c r="G3861" s="205" t="s">
        <v>24</v>
      </c>
      <c r="H3861" s="204" t="s">
        <v>25</v>
      </c>
      <c r="I3861" s="43"/>
    </row>
    <row r="3862" spans="2:9" x14ac:dyDescent="0.15">
      <c r="B3862" s="631" t="s">
        <v>56</v>
      </c>
      <c r="C3862" s="632"/>
      <c r="D3862" s="633"/>
      <c r="E3862" s="5"/>
      <c r="F3862" s="160"/>
      <c r="G3862" s="58"/>
      <c r="H3862" s="160">
        <f>I3881*0.05</f>
        <v>859.4425</v>
      </c>
      <c r="I3862" s="44"/>
    </row>
    <row r="3863" spans="2:9" ht="14" thickBot="1" x14ac:dyDescent="0.2">
      <c r="B3863" s="634"/>
      <c r="C3863" s="635"/>
      <c r="D3863" s="636"/>
      <c r="E3863" s="21"/>
      <c r="F3863" s="22"/>
      <c r="G3863" s="23"/>
      <c r="H3863" s="47"/>
      <c r="I3863" s="48"/>
    </row>
    <row r="3864" spans="2:9" ht="14" thickBot="1" x14ac:dyDescent="0.2">
      <c r="B3864" s="1"/>
      <c r="C3864" s="1"/>
      <c r="D3864" s="1"/>
      <c r="E3864" s="1"/>
      <c r="F3864" s="1"/>
      <c r="G3864" s="1"/>
      <c r="H3864" s="37" t="s">
        <v>26</v>
      </c>
      <c r="I3864" s="161">
        <f>SUM(H3862:H3863)</f>
        <v>859.4425</v>
      </c>
    </row>
    <row r="3865" spans="2:9" ht="14" thickBot="1" x14ac:dyDescent="0.2">
      <c r="B3865" s="12" t="s">
        <v>27</v>
      </c>
      <c r="C3865" s="12"/>
      <c r="D3865" s="1"/>
      <c r="E3865" s="1"/>
      <c r="F3865" s="1"/>
      <c r="G3865" s="1"/>
      <c r="H3865" s="1"/>
      <c r="I3865" s="1"/>
    </row>
    <row r="3866" spans="2:9" x14ac:dyDescent="0.15">
      <c r="B3866" s="628" t="s">
        <v>22</v>
      </c>
      <c r="C3866" s="629"/>
      <c r="D3866" s="630"/>
      <c r="E3866" s="205" t="s">
        <v>28</v>
      </c>
      <c r="F3866" s="205" t="s">
        <v>29</v>
      </c>
      <c r="G3866" s="205" t="s">
        <v>30</v>
      </c>
      <c r="H3866" s="204" t="s">
        <v>25</v>
      </c>
      <c r="I3866" s="43"/>
    </row>
    <row r="3867" spans="2:9" x14ac:dyDescent="0.15">
      <c r="B3867" s="4" t="s">
        <v>704</v>
      </c>
      <c r="C3867" s="24"/>
      <c r="D3867" s="6"/>
      <c r="E3867" s="3" t="s">
        <v>316</v>
      </c>
      <c r="F3867" s="162">
        <f>MATERIALES!F175</f>
        <v>33750</v>
      </c>
      <c r="G3867" s="65">
        <v>1</v>
      </c>
      <c r="H3867" s="163">
        <f>G3867*F3867</f>
        <v>33750</v>
      </c>
      <c r="I3867" s="44"/>
    </row>
    <row r="3868" spans="2:9" x14ac:dyDescent="0.15">
      <c r="B3868" s="4" t="s">
        <v>69</v>
      </c>
      <c r="C3868" s="24"/>
      <c r="D3868" s="6"/>
      <c r="E3868" s="3" t="s">
        <v>19</v>
      </c>
      <c r="F3868" s="164">
        <v>5000</v>
      </c>
      <c r="G3868" s="65">
        <v>1</v>
      </c>
      <c r="H3868" s="163">
        <f>G3868*F3868</f>
        <v>5000</v>
      </c>
      <c r="I3868" s="44"/>
    </row>
    <row r="3869" spans="2:9" ht="14" thickBot="1" x14ac:dyDescent="0.2">
      <c r="B3869" s="25"/>
      <c r="C3869" s="26"/>
      <c r="D3869" s="27"/>
      <c r="E3869" s="21"/>
      <c r="F3869" s="22"/>
      <c r="G3869" s="165"/>
      <c r="H3869" s="47"/>
      <c r="I3869" s="48"/>
    </row>
    <row r="3870" spans="2:9" ht="14" thickBot="1" x14ac:dyDescent="0.2">
      <c r="B3870" s="1"/>
      <c r="C3870" s="1"/>
      <c r="D3870" s="1"/>
      <c r="E3870" s="1"/>
      <c r="F3870" s="1"/>
      <c r="G3870" s="1"/>
      <c r="H3870" s="37" t="s">
        <v>26</v>
      </c>
      <c r="I3870" s="161">
        <f>SUM(H3867:H3868)</f>
        <v>38750</v>
      </c>
    </row>
    <row r="3871" spans="2:9" ht="14" thickBot="1" x14ac:dyDescent="0.2">
      <c r="B3871" s="28" t="s">
        <v>31</v>
      </c>
      <c r="C3871" s="28"/>
      <c r="D3871" s="26"/>
      <c r="E3871" s="1"/>
      <c r="F3871" s="1"/>
      <c r="G3871" s="1"/>
      <c r="H3871" s="1"/>
      <c r="I3871" s="1"/>
    </row>
    <row r="3872" spans="2:9" x14ac:dyDescent="0.15">
      <c r="B3872" s="51" t="s">
        <v>32</v>
      </c>
      <c r="C3872" s="52"/>
      <c r="D3872" s="96" t="s">
        <v>33</v>
      </c>
      <c r="E3872" s="205" t="s">
        <v>34</v>
      </c>
      <c r="F3872" s="205" t="s">
        <v>35</v>
      </c>
      <c r="G3872" s="205" t="s">
        <v>36</v>
      </c>
      <c r="H3872" s="59" t="s">
        <v>25</v>
      </c>
      <c r="I3872" s="43"/>
    </row>
    <row r="3873" spans="2:9" x14ac:dyDescent="0.15">
      <c r="B3873" s="4" t="s">
        <v>79</v>
      </c>
      <c r="C3873" s="6"/>
      <c r="D3873" s="53">
        <v>0.05</v>
      </c>
      <c r="E3873" s="2">
        <v>43</v>
      </c>
      <c r="F3873" s="2">
        <f>E3873*D3873</f>
        <v>2.15</v>
      </c>
      <c r="G3873" s="160">
        <v>1100</v>
      </c>
      <c r="H3873" s="20">
        <f>G3873*F3873</f>
        <v>2365</v>
      </c>
      <c r="I3873" s="44"/>
    </row>
    <row r="3874" spans="2:9" ht="14" thickBot="1" x14ac:dyDescent="0.2">
      <c r="B3874" s="33"/>
      <c r="C3874" s="54"/>
      <c r="D3874" s="21"/>
      <c r="E3874" s="22"/>
      <c r="F3874" s="23"/>
      <c r="G3874" s="47"/>
      <c r="H3874" s="21"/>
      <c r="I3874" s="48"/>
    </row>
    <row r="3875" spans="2:9" ht="14" thickBot="1" x14ac:dyDescent="0.2">
      <c r="B3875" s="1"/>
      <c r="C3875" s="1"/>
      <c r="D3875" s="1"/>
      <c r="E3875" s="1"/>
      <c r="F3875" s="1"/>
      <c r="G3875" s="1"/>
      <c r="H3875" s="37" t="s">
        <v>26</v>
      </c>
      <c r="I3875" s="161">
        <f>SUM(H3873:H3874)</f>
        <v>2365</v>
      </c>
    </row>
    <row r="3876" spans="2:9" ht="14" thickBot="1" x14ac:dyDescent="0.2">
      <c r="B3876" s="28" t="s">
        <v>37</v>
      </c>
      <c r="C3876" s="28"/>
      <c r="D3876" s="1"/>
      <c r="E3876" s="1"/>
      <c r="F3876" s="1"/>
      <c r="G3876" s="1"/>
      <c r="H3876" s="1"/>
      <c r="I3876" s="1"/>
    </row>
    <row r="3877" spans="2:9" x14ac:dyDescent="0.15">
      <c r="B3877" s="51" t="s">
        <v>38</v>
      </c>
      <c r="C3877" s="86"/>
      <c r="D3877" s="31" t="s">
        <v>39</v>
      </c>
      <c r="E3877" s="205" t="s">
        <v>40</v>
      </c>
      <c r="F3877" s="19" t="s">
        <v>41</v>
      </c>
      <c r="G3877" s="31" t="s">
        <v>24</v>
      </c>
      <c r="H3877" s="59" t="s">
        <v>25</v>
      </c>
      <c r="I3877" s="43"/>
    </row>
    <row r="3878" spans="2:9" x14ac:dyDescent="0.15">
      <c r="B3878" s="4" t="s">
        <v>106</v>
      </c>
      <c r="C3878" s="24"/>
      <c r="D3878" s="32">
        <f>'MANO DE OBRA'!E16</f>
        <v>95333</v>
      </c>
      <c r="E3878" s="166">
        <v>1.75</v>
      </c>
      <c r="F3878" s="162">
        <f>+E3878*D3878</f>
        <v>166832.75</v>
      </c>
      <c r="G3878" s="20">
        <v>15</v>
      </c>
      <c r="H3878" s="167">
        <f>+F3878/G3878</f>
        <v>11122.183333333332</v>
      </c>
      <c r="I3878" s="44"/>
    </row>
    <row r="3879" spans="2:9" x14ac:dyDescent="0.15">
      <c r="B3879" s="4" t="s">
        <v>179</v>
      </c>
      <c r="C3879" s="24"/>
      <c r="D3879" s="32">
        <f>'MANO DE OBRA'!E14</f>
        <v>52000</v>
      </c>
      <c r="E3879" s="166">
        <v>1.75</v>
      </c>
      <c r="F3879" s="162">
        <f>+E3879*D3879</f>
        <v>91000</v>
      </c>
      <c r="G3879" s="20">
        <v>15</v>
      </c>
      <c r="H3879" s="167">
        <f>+F3879/G3879</f>
        <v>6066.666666666667</v>
      </c>
      <c r="I3879" s="44"/>
    </row>
    <row r="3880" spans="2:9" ht="14" thickBot="1" x14ac:dyDescent="0.2">
      <c r="B3880" s="33"/>
      <c r="C3880" s="34"/>
      <c r="D3880" s="22"/>
      <c r="E3880" s="21"/>
      <c r="F3880" s="22"/>
      <c r="G3880" s="23"/>
      <c r="H3880" s="87"/>
      <c r="I3880" s="44"/>
    </row>
    <row r="3881" spans="2:9" ht="14" thickBot="1" x14ac:dyDescent="0.2">
      <c r="B3881" s="1"/>
      <c r="C3881" s="1"/>
      <c r="D3881" s="1"/>
      <c r="E3881" s="1"/>
      <c r="F3881" s="1"/>
      <c r="G3881" s="1"/>
      <c r="H3881" s="37" t="s">
        <v>26</v>
      </c>
      <c r="I3881" s="161">
        <f>SUM(H3878:H3880)</f>
        <v>17188.849999999999</v>
      </c>
    </row>
    <row r="3882" spans="2:9" ht="14" thickBot="1" x14ac:dyDescent="0.2">
      <c r="B3882" s="1"/>
      <c r="C3882" s="1"/>
      <c r="D3882" s="1"/>
      <c r="E3882" s="1"/>
      <c r="F3882" s="1"/>
      <c r="G3882" s="1"/>
      <c r="H3882" s="61"/>
      <c r="I3882" s="1"/>
    </row>
    <row r="3883" spans="2:9" ht="15" thickBot="1" x14ac:dyDescent="0.2">
      <c r="B3883" s="1"/>
      <c r="C3883" s="1"/>
      <c r="D3883" s="1"/>
      <c r="E3883" s="1"/>
      <c r="F3883" s="35" t="s">
        <v>43</v>
      </c>
      <c r="G3883" s="16"/>
      <c r="H3883" s="16"/>
      <c r="I3883" s="222">
        <f>ROUND((I3864+I3870+I3875+I3881),0)</f>
        <v>59163</v>
      </c>
    </row>
    <row r="3884" spans="2:9" x14ac:dyDescent="0.15">
      <c r="B3884" s="12"/>
      <c r="C3884" s="12"/>
      <c r="D3884" s="1"/>
      <c r="E3884" s="1"/>
      <c r="F3884" s="1"/>
      <c r="G3884" s="1"/>
      <c r="H3884" s="170"/>
      <c r="I3884" s="170"/>
    </row>
    <row r="3885" spans="2:9" x14ac:dyDescent="0.15">
      <c r="B3885" s="16"/>
      <c r="C3885" s="16"/>
      <c r="D3885" s="16"/>
      <c r="E3885" s="16"/>
      <c r="F3885" s="16"/>
      <c r="G3885" s="61"/>
      <c r="H3885" s="171"/>
      <c r="I3885" s="170"/>
    </row>
    <row r="3886" spans="2:9" x14ac:dyDescent="0.15">
      <c r="B3886" s="1"/>
      <c r="C3886" s="1"/>
      <c r="D3886" s="1"/>
      <c r="E3886" s="1"/>
      <c r="F3886" s="1"/>
      <c r="G3886" s="159"/>
      <c r="H3886" s="170"/>
      <c r="I3886" s="170"/>
    </row>
    <row r="3887" spans="2:9" x14ac:dyDescent="0.15">
      <c r="B3887" s="1"/>
      <c r="C3887" s="1"/>
      <c r="D3887" s="1"/>
      <c r="E3887" s="1"/>
      <c r="F3887" s="1"/>
      <c r="G3887" s="159"/>
      <c r="H3887" s="170"/>
      <c r="I3887" s="170"/>
    </row>
    <row r="3888" spans="2:9" x14ac:dyDescent="0.15">
      <c r="B3888" s="1"/>
      <c r="C3888" s="1"/>
      <c r="D3888" s="1"/>
      <c r="E3888" s="1"/>
      <c r="F3888" s="1"/>
      <c r="G3888" s="159"/>
      <c r="H3888" s="170"/>
      <c r="I3888" s="170"/>
    </row>
    <row r="3889" spans="2:9" x14ac:dyDescent="0.15">
      <c r="B3889" s="1"/>
      <c r="C3889" s="1"/>
      <c r="D3889" s="1"/>
      <c r="E3889" s="1"/>
      <c r="F3889" s="1"/>
      <c r="G3889" s="1"/>
      <c r="H3889" s="37"/>
      <c r="I3889" s="170"/>
    </row>
    <row r="3890" spans="2:9" ht="14" x14ac:dyDescent="0.15">
      <c r="B3890" s="101"/>
      <c r="C3890" s="1"/>
      <c r="D3890" s="1"/>
      <c r="E3890" s="1"/>
      <c r="F3890" s="1"/>
      <c r="G3890" s="1"/>
      <c r="H3890" s="1"/>
      <c r="I3890" s="170"/>
    </row>
    <row r="3891" spans="2:9" ht="14" x14ac:dyDescent="0.15">
      <c r="B3891" s="83"/>
      <c r="C3891" s="11"/>
      <c r="D3891" s="1"/>
      <c r="E3891" s="637"/>
      <c r="F3891" s="637"/>
      <c r="G3891" s="637"/>
      <c r="H3891" s="637"/>
      <c r="I3891" s="169"/>
    </row>
    <row r="3892" spans="2:9" ht="14" x14ac:dyDescent="0.15">
      <c r="B3892" s="101"/>
      <c r="C3892" s="11"/>
      <c r="D3892" s="1"/>
      <c r="E3892" s="153"/>
      <c r="F3892" s="153"/>
      <c r="G3892" s="153"/>
      <c r="H3892" s="153"/>
      <c r="I3892" s="169"/>
    </row>
    <row r="3893" spans="2:9" ht="14" x14ac:dyDescent="0.15">
      <c r="B3893" s="83"/>
      <c r="C3893" s="11"/>
      <c r="D3893" s="1"/>
      <c r="E3893" s="153"/>
      <c r="F3893" s="153"/>
      <c r="G3893" s="153"/>
      <c r="H3893" s="153"/>
      <c r="I3893" s="169"/>
    </row>
    <row r="3894" spans="2:9" x14ac:dyDescent="0.15">
      <c r="B3894" s="11"/>
      <c r="C3894" s="11"/>
      <c r="D3894" s="1"/>
      <c r="E3894" s="153"/>
      <c r="F3894" s="153"/>
      <c r="G3894" s="153"/>
      <c r="H3894" s="153"/>
      <c r="I3894" s="169"/>
    </row>
    <row r="3895" spans="2:9" x14ac:dyDescent="0.15">
      <c r="B3895" s="11"/>
      <c r="C3895" s="11"/>
      <c r="D3895" s="1"/>
      <c r="E3895" s="153"/>
      <c r="F3895" s="153"/>
      <c r="G3895" s="153"/>
      <c r="H3895" s="153"/>
      <c r="I3895" s="169"/>
    </row>
    <row r="3896" spans="2:9" x14ac:dyDescent="0.15">
      <c r="B3896" s="11"/>
      <c r="C3896" s="11"/>
      <c r="D3896" s="1"/>
      <c r="E3896" s="153"/>
      <c r="F3896" s="153"/>
      <c r="G3896" s="153"/>
      <c r="H3896" s="153"/>
      <c r="I3896" s="169"/>
    </row>
    <row r="3897" spans="2:9" x14ac:dyDescent="0.15">
      <c r="B3897" s="11"/>
      <c r="C3897" s="11"/>
      <c r="D3897" s="1"/>
      <c r="E3897" s="153"/>
      <c r="F3897" s="153"/>
      <c r="G3897" s="153"/>
      <c r="H3897" s="153"/>
      <c r="I3897" s="169"/>
    </row>
    <row r="3898" spans="2:9" x14ac:dyDescent="0.15">
      <c r="B3898" s="11"/>
      <c r="C3898" s="11"/>
      <c r="D3898" s="1"/>
      <c r="E3898" s="153"/>
      <c r="F3898" s="153"/>
      <c r="G3898" s="153"/>
      <c r="H3898" s="153"/>
      <c r="I3898" s="169"/>
    </row>
    <row r="3899" spans="2:9" x14ac:dyDescent="0.15">
      <c r="B3899" s="11"/>
      <c r="C3899" s="11"/>
      <c r="D3899" s="1"/>
      <c r="E3899" s="153"/>
      <c r="F3899" s="153"/>
      <c r="G3899" s="153"/>
      <c r="H3899" s="153"/>
      <c r="I3899" s="169"/>
    </row>
    <row r="3900" spans="2:9" x14ac:dyDescent="0.15">
      <c r="B3900" s="11"/>
      <c r="C3900" s="11"/>
      <c r="D3900" s="1"/>
      <c r="E3900" s="153"/>
      <c r="F3900" s="153"/>
      <c r="G3900" s="153"/>
      <c r="H3900" s="153"/>
      <c r="I3900" s="169"/>
    </row>
    <row r="3901" spans="2:9" x14ac:dyDescent="0.15">
      <c r="B3901" s="11"/>
      <c r="C3901" s="11"/>
      <c r="D3901" s="1"/>
      <c r="E3901" s="153"/>
      <c r="F3901" s="153"/>
      <c r="G3901" s="153"/>
      <c r="H3901" s="153"/>
      <c r="I3901" s="169"/>
    </row>
    <row r="3902" spans="2:9" x14ac:dyDescent="0.15">
      <c r="B3902" s="11"/>
      <c r="C3902" s="11"/>
      <c r="D3902" s="1"/>
      <c r="E3902" s="153"/>
      <c r="F3902" s="153"/>
      <c r="G3902" s="153"/>
      <c r="H3902" s="153"/>
      <c r="I3902" s="169"/>
    </row>
    <row r="3903" spans="2:9" x14ac:dyDescent="0.15">
      <c r="B3903" s="11"/>
      <c r="C3903" s="11"/>
      <c r="D3903" s="1"/>
      <c r="E3903" s="153"/>
      <c r="F3903" s="153"/>
      <c r="G3903" s="153"/>
      <c r="H3903" s="153"/>
      <c r="I3903" s="169"/>
    </row>
    <row r="3907" spans="2:10" ht="14" x14ac:dyDescent="0.15">
      <c r="B3907" s="83"/>
      <c r="C3907" s="83"/>
      <c r="D3907" s="84"/>
      <c r="E3907" s="83"/>
      <c r="F3907" s="154"/>
      <c r="G3907" s="155"/>
      <c r="H3907" s="156"/>
      <c r="I3907" s="157"/>
      <c r="J3907" s="85"/>
    </row>
    <row r="3908" spans="2:10" ht="14" x14ac:dyDescent="0.15">
      <c r="B3908" s="83"/>
      <c r="C3908" s="11"/>
      <c r="D3908" s="11"/>
      <c r="E3908" s="11"/>
      <c r="F3908" s="691"/>
      <c r="G3908" s="691"/>
      <c r="H3908" s="691"/>
      <c r="I3908" s="691"/>
    </row>
    <row r="3909" spans="2:10" x14ac:dyDescent="0.15">
      <c r="B3909" s="11"/>
      <c r="C3909" s="11"/>
      <c r="D3909" s="1"/>
      <c r="E3909" s="153"/>
      <c r="F3909" s="153"/>
      <c r="G3909" s="153"/>
      <c r="H3909" s="153"/>
      <c r="I3909" s="169"/>
    </row>
    <row r="3910" spans="2:10" ht="14" thickBot="1" x14ac:dyDescent="0.2"/>
    <row r="3911" spans="2:10" ht="21" customHeight="1" x14ac:dyDescent="0.15">
      <c r="B3911" s="607" t="s">
        <v>1065</v>
      </c>
      <c r="C3911" s="608"/>
      <c r="D3911" s="608"/>
      <c r="E3911" s="608"/>
      <c r="F3911" s="609"/>
      <c r="G3911" s="1"/>
      <c r="H3911" s="638" t="s">
        <v>20</v>
      </c>
      <c r="I3911" s="639"/>
    </row>
    <row r="3912" spans="2:10" ht="16.5" customHeight="1" x14ac:dyDescent="0.15">
      <c r="B3912" s="604" t="s">
        <v>446</v>
      </c>
      <c r="C3912" s="605"/>
      <c r="D3912" s="605"/>
      <c r="E3912" s="605"/>
      <c r="F3912" s="606"/>
      <c r="G3912" s="63"/>
      <c r="H3912" s="640"/>
      <c r="I3912" s="641"/>
    </row>
    <row r="3913" spans="2:10" ht="12.75" customHeight="1" x14ac:dyDescent="0.15">
      <c r="B3913" s="610" t="s">
        <v>447</v>
      </c>
      <c r="C3913" s="611"/>
      <c r="D3913" s="611"/>
      <c r="E3913" s="611"/>
      <c r="F3913" s="612"/>
      <c r="G3913" s="63"/>
      <c r="H3913" s="642"/>
      <c r="I3913" s="643"/>
    </row>
    <row r="3914" spans="2:10" ht="16.5" customHeight="1" thickBot="1" x14ac:dyDescent="0.2">
      <c r="B3914" s="613"/>
      <c r="C3914" s="614"/>
      <c r="D3914" s="614"/>
      <c r="E3914" s="614"/>
      <c r="F3914" s="615"/>
      <c r="G3914" s="1"/>
      <c r="H3914" s="676" t="s">
        <v>706</v>
      </c>
      <c r="I3914" s="677"/>
    </row>
    <row r="3915" spans="2:10" ht="14" thickBot="1" x14ac:dyDescent="0.2">
      <c r="B3915" s="15"/>
      <c r="C3915" s="16"/>
      <c r="D3915" s="1"/>
      <c r="E3915" s="1"/>
      <c r="F3915" s="1"/>
      <c r="G3915" s="1"/>
      <c r="H3915" s="678"/>
      <c r="I3915" s="679"/>
    </row>
    <row r="3916" spans="2:10" ht="12.75" customHeight="1" x14ac:dyDescent="0.15">
      <c r="B3916" s="650" t="s">
        <v>890</v>
      </c>
      <c r="C3916" s="651"/>
      <c r="D3916" s="651"/>
      <c r="E3916" s="651"/>
      <c r="F3916" s="652"/>
      <c r="G3916" s="1"/>
      <c r="H3916" s="678"/>
      <c r="I3916" s="679"/>
    </row>
    <row r="3917" spans="2:10" ht="12.75" customHeight="1" x14ac:dyDescent="0.15">
      <c r="B3917" s="653"/>
      <c r="C3917" s="654"/>
      <c r="D3917" s="654"/>
      <c r="E3917" s="654"/>
      <c r="F3917" s="655"/>
      <c r="H3917" s="678"/>
      <c r="I3917" s="679"/>
    </row>
    <row r="3918" spans="2:10" ht="13.5" customHeight="1" x14ac:dyDescent="0.15">
      <c r="B3918" s="653"/>
      <c r="C3918" s="654"/>
      <c r="D3918" s="654"/>
      <c r="E3918" s="654"/>
      <c r="F3918" s="655"/>
      <c r="G3918" s="11"/>
      <c r="H3918" s="680"/>
      <c r="I3918" s="681"/>
    </row>
    <row r="3919" spans="2:10" ht="21.75" customHeight="1" thickBot="1" x14ac:dyDescent="0.2">
      <c r="B3919" s="656"/>
      <c r="C3919" s="657"/>
      <c r="D3919" s="657"/>
      <c r="E3919" s="657"/>
      <c r="F3919" s="658"/>
      <c r="H3919" s="64" t="s">
        <v>45</v>
      </c>
      <c r="I3919" s="17" t="s">
        <v>316</v>
      </c>
    </row>
    <row r="3920" spans="2:10" x14ac:dyDescent="0.15">
      <c r="B3920" s="18"/>
      <c r="C3920" s="18"/>
      <c r="D3920" s="1"/>
      <c r="E3920" s="18"/>
      <c r="F3920" s="18"/>
      <c r="G3920" s="18"/>
      <c r="H3920" s="18"/>
      <c r="I3920" s="1"/>
    </row>
    <row r="3921" spans="2:9" ht="14" thickBot="1" x14ac:dyDescent="0.2">
      <c r="B3921" s="12" t="s">
        <v>21</v>
      </c>
      <c r="C3921" s="12"/>
      <c r="D3921" s="1"/>
      <c r="E3921" s="1"/>
      <c r="F3921" s="1"/>
      <c r="G3921" s="1"/>
      <c r="H3921" s="1"/>
      <c r="I3921" s="1"/>
    </row>
    <row r="3922" spans="2:9" x14ac:dyDescent="0.15">
      <c r="B3922" s="628" t="s">
        <v>22</v>
      </c>
      <c r="C3922" s="629"/>
      <c r="D3922" s="630"/>
      <c r="E3922" s="205" t="s">
        <v>23</v>
      </c>
      <c r="F3922" s="19" t="s">
        <v>47</v>
      </c>
      <c r="G3922" s="205" t="s">
        <v>24</v>
      </c>
      <c r="H3922" s="204" t="s">
        <v>25</v>
      </c>
      <c r="I3922" s="43"/>
    </row>
    <row r="3923" spans="2:9" x14ac:dyDescent="0.15">
      <c r="B3923" s="631" t="s">
        <v>56</v>
      </c>
      <c r="C3923" s="632"/>
      <c r="D3923" s="633"/>
      <c r="E3923" s="5"/>
      <c r="F3923" s="160"/>
      <c r="G3923" s="58"/>
      <c r="H3923" s="160">
        <f>I3942*0.05</f>
        <v>1744.1637500000002</v>
      </c>
      <c r="I3923" s="44"/>
    </row>
    <row r="3924" spans="2:9" ht="14" thickBot="1" x14ac:dyDescent="0.2">
      <c r="B3924" s="634"/>
      <c r="C3924" s="635"/>
      <c r="D3924" s="636"/>
      <c r="E3924" s="21"/>
      <c r="F3924" s="22"/>
      <c r="G3924" s="23"/>
      <c r="H3924" s="47"/>
      <c r="I3924" s="48"/>
    </row>
    <row r="3925" spans="2:9" ht="14" thickBot="1" x14ac:dyDescent="0.2">
      <c r="B3925" s="1"/>
      <c r="C3925" s="1"/>
      <c r="D3925" s="1"/>
      <c r="E3925" s="1"/>
      <c r="F3925" s="1"/>
      <c r="G3925" s="1"/>
      <c r="H3925" s="37" t="s">
        <v>26</v>
      </c>
      <c r="I3925" s="161">
        <f>SUM(H3923:H3924)</f>
        <v>1744.1637500000002</v>
      </c>
    </row>
    <row r="3926" spans="2:9" ht="14" thickBot="1" x14ac:dyDescent="0.2">
      <c r="B3926" s="12" t="s">
        <v>27</v>
      </c>
      <c r="C3926" s="12"/>
      <c r="D3926" s="1"/>
      <c r="E3926" s="1"/>
      <c r="F3926" s="1"/>
      <c r="G3926" s="1"/>
      <c r="H3926" s="1"/>
      <c r="I3926" s="1"/>
    </row>
    <row r="3927" spans="2:9" x14ac:dyDescent="0.15">
      <c r="B3927" s="628" t="s">
        <v>22</v>
      </c>
      <c r="C3927" s="629"/>
      <c r="D3927" s="630"/>
      <c r="E3927" s="205" t="s">
        <v>28</v>
      </c>
      <c r="F3927" s="205" t="s">
        <v>29</v>
      </c>
      <c r="G3927" s="205" t="s">
        <v>30</v>
      </c>
      <c r="H3927" s="204" t="s">
        <v>25</v>
      </c>
      <c r="I3927" s="43"/>
    </row>
    <row r="3928" spans="2:9" x14ac:dyDescent="0.15">
      <c r="B3928" s="4" t="s">
        <v>331</v>
      </c>
      <c r="C3928" s="24"/>
      <c r="D3928" s="6"/>
      <c r="E3928" s="3" t="s">
        <v>316</v>
      </c>
      <c r="F3928" s="164">
        <f>MATERIALES!F176</f>
        <v>391500</v>
      </c>
      <c r="G3928" s="65">
        <v>1</v>
      </c>
      <c r="H3928" s="163">
        <f>G3928*F3928</f>
        <v>391500</v>
      </c>
      <c r="I3928" s="44"/>
    </row>
    <row r="3929" spans="2:9" x14ac:dyDescent="0.15">
      <c r="B3929" s="4" t="s">
        <v>69</v>
      </c>
      <c r="C3929" s="24"/>
      <c r="D3929" s="6"/>
      <c r="E3929" s="3" t="s">
        <v>19</v>
      </c>
      <c r="F3929" s="164">
        <v>12000</v>
      </c>
      <c r="G3929" s="65">
        <v>1</v>
      </c>
      <c r="H3929" s="163">
        <f>G3929*F3929</f>
        <v>12000</v>
      </c>
      <c r="I3929" s="44"/>
    </row>
    <row r="3930" spans="2:9" ht="14" thickBot="1" x14ac:dyDescent="0.2">
      <c r="B3930" s="25"/>
      <c r="C3930" s="26"/>
      <c r="D3930" s="27"/>
      <c r="E3930" s="21"/>
      <c r="F3930" s="22"/>
      <c r="G3930" s="165"/>
      <c r="H3930" s="47"/>
      <c r="I3930" s="48"/>
    </row>
    <row r="3931" spans="2:9" ht="14" thickBot="1" x14ac:dyDescent="0.2">
      <c r="B3931" s="1"/>
      <c r="C3931" s="1"/>
      <c r="D3931" s="1"/>
      <c r="E3931" s="1"/>
      <c r="F3931" s="1"/>
      <c r="G3931" s="1"/>
      <c r="H3931" s="37" t="s">
        <v>26</v>
      </c>
      <c r="I3931" s="161">
        <f>SUM(H3928:H3930)</f>
        <v>403500</v>
      </c>
    </row>
    <row r="3932" spans="2:9" ht="14" thickBot="1" x14ac:dyDescent="0.2">
      <c r="B3932" s="28" t="s">
        <v>31</v>
      </c>
      <c r="C3932" s="28"/>
      <c r="D3932" s="26"/>
      <c r="E3932" s="1"/>
      <c r="F3932" s="1"/>
      <c r="G3932" s="1"/>
      <c r="H3932" s="1"/>
      <c r="I3932" s="1"/>
    </row>
    <row r="3933" spans="2:9" x14ac:dyDescent="0.15">
      <c r="B3933" s="51" t="s">
        <v>32</v>
      </c>
      <c r="C3933" s="52"/>
      <c r="D3933" s="96" t="s">
        <v>33</v>
      </c>
      <c r="E3933" s="205" t="s">
        <v>34</v>
      </c>
      <c r="F3933" s="205" t="s">
        <v>35</v>
      </c>
      <c r="G3933" s="205" t="s">
        <v>36</v>
      </c>
      <c r="H3933" s="59" t="s">
        <v>25</v>
      </c>
      <c r="I3933" s="43"/>
    </row>
    <row r="3934" spans="2:9" x14ac:dyDescent="0.15">
      <c r="B3934" s="4" t="s">
        <v>79</v>
      </c>
      <c r="C3934" s="6"/>
      <c r="D3934" s="53">
        <v>0.5</v>
      </c>
      <c r="E3934" s="2">
        <v>43</v>
      </c>
      <c r="F3934" s="2">
        <f>E3934*D3934</f>
        <v>21.5</v>
      </c>
      <c r="G3934" s="65">
        <v>1100</v>
      </c>
      <c r="H3934" s="20">
        <f>G3934*F3934</f>
        <v>23650</v>
      </c>
      <c r="I3934" s="44"/>
    </row>
    <row r="3935" spans="2:9" ht="14" thickBot="1" x14ac:dyDescent="0.2">
      <c r="B3935" s="33"/>
      <c r="C3935" s="54"/>
      <c r="D3935" s="21"/>
      <c r="E3935" s="22"/>
      <c r="F3935" s="23"/>
      <c r="G3935" s="47"/>
      <c r="H3935" s="21"/>
      <c r="I3935" s="48"/>
    </row>
    <row r="3936" spans="2:9" ht="14" thickBot="1" x14ac:dyDescent="0.2">
      <c r="B3936" s="1"/>
      <c r="C3936" s="1"/>
      <c r="D3936" s="1"/>
      <c r="E3936" s="1"/>
      <c r="F3936" s="1"/>
      <c r="G3936" s="1"/>
      <c r="H3936" s="37" t="s">
        <v>26</v>
      </c>
      <c r="I3936" s="161">
        <f>SUM(H3934:H3935)</f>
        <v>23650</v>
      </c>
    </row>
    <row r="3937" spans="2:9" ht="14" thickBot="1" x14ac:dyDescent="0.2">
      <c r="B3937" s="28" t="s">
        <v>37</v>
      </c>
      <c r="C3937" s="28"/>
      <c r="D3937" s="1"/>
      <c r="E3937" s="1"/>
      <c r="F3937" s="1"/>
      <c r="G3937" s="1"/>
      <c r="H3937" s="1"/>
      <c r="I3937" s="1"/>
    </row>
    <row r="3938" spans="2:9" x14ac:dyDescent="0.15">
      <c r="B3938" s="51" t="s">
        <v>38</v>
      </c>
      <c r="C3938" s="86"/>
      <c r="D3938" s="31" t="s">
        <v>39</v>
      </c>
      <c r="E3938" s="205" t="s">
        <v>40</v>
      </c>
      <c r="F3938" s="19" t="s">
        <v>41</v>
      </c>
      <c r="G3938" s="31" t="s">
        <v>24</v>
      </c>
      <c r="H3938" s="204" t="s">
        <v>25</v>
      </c>
      <c r="I3938" s="43"/>
    </row>
    <row r="3939" spans="2:9" x14ac:dyDescent="0.15">
      <c r="B3939" s="4" t="s">
        <v>106</v>
      </c>
      <c r="C3939" s="24"/>
      <c r="D3939" s="32">
        <f>'MANO DE OBRA'!E16</f>
        <v>95333</v>
      </c>
      <c r="E3939" s="166">
        <v>1.75</v>
      </c>
      <c r="F3939" s="162">
        <f>+E3939*D3939</f>
        <v>166832.75</v>
      </c>
      <c r="G3939" s="20">
        <v>10</v>
      </c>
      <c r="H3939" s="167">
        <f>+F3939/G3939</f>
        <v>16683.275000000001</v>
      </c>
      <c r="I3939" s="44"/>
    </row>
    <row r="3940" spans="2:9" x14ac:dyDescent="0.15">
      <c r="B3940" s="4" t="s">
        <v>55</v>
      </c>
      <c r="C3940" s="24"/>
      <c r="D3940" s="32">
        <f>'MANO DE OBRA'!E14*2</f>
        <v>104000</v>
      </c>
      <c r="E3940" s="166">
        <v>1.75</v>
      </c>
      <c r="F3940" s="162">
        <f>+E3940*D3940</f>
        <v>182000</v>
      </c>
      <c r="G3940" s="20">
        <v>10</v>
      </c>
      <c r="H3940" s="167">
        <f>+F3940/G3940</f>
        <v>18200</v>
      </c>
      <c r="I3940" s="44"/>
    </row>
    <row r="3941" spans="2:9" ht="14" thickBot="1" x14ac:dyDescent="0.2">
      <c r="B3941" s="33"/>
      <c r="C3941" s="34"/>
      <c r="D3941" s="22"/>
      <c r="E3941" s="21"/>
      <c r="F3941" s="22"/>
      <c r="G3941" s="23"/>
      <c r="H3941" s="47"/>
      <c r="I3941" s="48"/>
    </row>
    <row r="3942" spans="2:9" ht="14" thickBot="1" x14ac:dyDescent="0.2">
      <c r="B3942" s="1"/>
      <c r="C3942" s="1"/>
      <c r="D3942" s="1"/>
      <c r="E3942" s="1"/>
      <c r="F3942" s="1"/>
      <c r="G3942" s="1"/>
      <c r="H3942" s="37" t="s">
        <v>26</v>
      </c>
      <c r="I3942" s="175">
        <f>SUM(H3939:H3941)</f>
        <v>34883.275000000001</v>
      </c>
    </row>
    <row r="3943" spans="2:9" ht="14" thickBot="1" x14ac:dyDescent="0.2">
      <c r="B3943" s="1"/>
      <c r="C3943" s="1"/>
      <c r="D3943" s="1"/>
      <c r="E3943" s="1"/>
      <c r="F3943" s="1"/>
      <c r="G3943" s="1"/>
      <c r="H3943" s="61"/>
      <c r="I3943" s="1"/>
    </row>
    <row r="3944" spans="2:9" ht="15" thickBot="1" x14ac:dyDescent="0.2">
      <c r="B3944" s="1"/>
      <c r="C3944" s="1"/>
      <c r="D3944" s="1"/>
      <c r="E3944" s="1"/>
      <c r="F3944" s="35" t="s">
        <v>43</v>
      </c>
      <c r="G3944" s="16"/>
      <c r="H3944" s="16"/>
      <c r="I3944" s="222">
        <f>ROUND((I3925+I3931+I3936+I3942),0)</f>
        <v>463777</v>
      </c>
    </row>
    <row r="3945" spans="2:9" x14ac:dyDescent="0.15">
      <c r="B3945" s="12"/>
      <c r="C3945" s="12"/>
      <c r="D3945" s="1"/>
      <c r="E3945" s="1"/>
      <c r="F3945" s="1"/>
      <c r="G3945" s="1"/>
      <c r="H3945" s="170"/>
      <c r="I3945" s="170"/>
    </row>
    <row r="3946" spans="2:9" x14ac:dyDescent="0.15">
      <c r="B3946" s="16"/>
      <c r="C3946" s="16"/>
      <c r="D3946" s="16"/>
      <c r="E3946" s="16"/>
      <c r="F3946" s="16"/>
      <c r="G3946" s="61"/>
      <c r="H3946" s="171"/>
      <c r="I3946" s="170"/>
    </row>
    <row r="3947" spans="2:9" x14ac:dyDescent="0.15">
      <c r="B3947" s="1"/>
      <c r="C3947" s="1"/>
      <c r="D3947" s="1"/>
      <c r="E3947" s="1"/>
      <c r="F3947" s="1"/>
      <c r="G3947" s="159"/>
      <c r="H3947" s="170"/>
      <c r="I3947" s="170"/>
    </row>
    <row r="3948" spans="2:9" x14ac:dyDescent="0.15">
      <c r="B3948" s="1"/>
      <c r="C3948" s="1"/>
      <c r="D3948" s="1"/>
      <c r="E3948" s="1"/>
      <c r="F3948" s="1"/>
      <c r="G3948" s="159"/>
      <c r="H3948" s="170"/>
      <c r="I3948" s="170"/>
    </row>
    <row r="3949" spans="2:9" x14ac:dyDescent="0.15">
      <c r="B3949" s="1"/>
      <c r="C3949" s="1"/>
      <c r="D3949" s="1"/>
      <c r="E3949" s="1"/>
      <c r="F3949" s="1"/>
      <c r="G3949" s="159"/>
      <c r="H3949" s="170"/>
      <c r="I3949" s="170"/>
    </row>
    <row r="3950" spans="2:9" x14ac:dyDescent="0.15">
      <c r="B3950" s="1"/>
      <c r="C3950" s="1"/>
      <c r="D3950" s="1"/>
      <c r="E3950" s="1"/>
      <c r="F3950" s="1"/>
      <c r="G3950" s="1"/>
      <c r="H3950" s="37"/>
      <c r="I3950" s="170"/>
    </row>
    <row r="3951" spans="2:9" ht="14" x14ac:dyDescent="0.15">
      <c r="B3951" s="101"/>
      <c r="C3951" s="1"/>
      <c r="D3951" s="1"/>
      <c r="E3951" s="1"/>
      <c r="F3951" s="1"/>
      <c r="G3951" s="1"/>
      <c r="H3951" s="1"/>
      <c r="I3951" s="170"/>
    </row>
    <row r="3952" spans="2:9" ht="14" x14ac:dyDescent="0.15">
      <c r="B3952" s="83"/>
      <c r="C3952" s="11"/>
      <c r="D3952" s="1"/>
      <c r="E3952" s="637"/>
      <c r="F3952" s="637"/>
      <c r="G3952" s="637"/>
      <c r="H3952" s="637"/>
      <c r="I3952" s="169"/>
    </row>
    <row r="3953" spans="2:10" ht="14" x14ac:dyDescent="0.15">
      <c r="B3953" s="101"/>
      <c r="C3953" s="11"/>
      <c r="D3953" s="1"/>
      <c r="E3953" s="153"/>
      <c r="F3953" s="153"/>
      <c r="G3953" s="153"/>
      <c r="H3953" s="153"/>
      <c r="I3953" s="169"/>
    </row>
    <row r="3954" spans="2:10" ht="14" x14ac:dyDescent="0.15">
      <c r="B3954" s="83"/>
      <c r="C3954" s="11"/>
      <c r="D3954" s="1"/>
      <c r="E3954" s="153"/>
      <c r="F3954" s="153"/>
      <c r="G3954" s="153"/>
      <c r="H3954" s="153"/>
      <c r="I3954" s="169"/>
    </row>
    <row r="3955" spans="2:10" x14ac:dyDescent="0.15">
      <c r="B3955" s="11"/>
      <c r="C3955" s="11"/>
      <c r="D3955" s="1"/>
      <c r="E3955" s="153"/>
      <c r="F3955" s="153"/>
      <c r="G3955" s="153"/>
      <c r="H3955" s="153"/>
      <c r="I3955" s="169"/>
    </row>
    <row r="3956" spans="2:10" x14ac:dyDescent="0.15">
      <c r="B3956" s="11"/>
      <c r="C3956" s="11"/>
      <c r="D3956" s="1"/>
      <c r="E3956" s="153"/>
      <c r="F3956" s="153"/>
      <c r="G3956" s="153"/>
      <c r="H3956" s="153"/>
      <c r="I3956" s="169"/>
    </row>
    <row r="3957" spans="2:10" x14ac:dyDescent="0.15">
      <c r="B3957" s="11"/>
      <c r="C3957" s="11"/>
      <c r="D3957" s="1"/>
      <c r="E3957" s="153"/>
      <c r="F3957" s="153"/>
      <c r="G3957" s="153"/>
      <c r="H3957" s="153"/>
      <c r="I3957" s="169"/>
    </row>
    <row r="3958" spans="2:10" x14ac:dyDescent="0.15">
      <c r="B3958" s="11"/>
      <c r="C3958" s="11"/>
      <c r="D3958" s="1"/>
      <c r="E3958" s="153"/>
      <c r="F3958" s="153"/>
      <c r="G3958" s="153"/>
      <c r="H3958" s="153"/>
      <c r="I3958" s="169"/>
    </row>
    <row r="3959" spans="2:10" x14ac:dyDescent="0.15">
      <c r="B3959" s="11"/>
      <c r="C3959" s="11"/>
      <c r="D3959" s="1"/>
      <c r="E3959" s="153"/>
      <c r="F3959" s="153"/>
      <c r="G3959" s="153"/>
      <c r="H3959" s="153"/>
      <c r="I3959" s="169"/>
    </row>
    <row r="3960" spans="2:10" x14ac:dyDescent="0.15">
      <c r="B3960" s="11"/>
      <c r="C3960" s="11"/>
      <c r="D3960" s="1"/>
      <c r="E3960" s="153"/>
      <c r="F3960" s="153"/>
      <c r="G3960" s="153"/>
      <c r="H3960" s="153"/>
      <c r="I3960" s="169"/>
    </row>
    <row r="3961" spans="2:10" x14ac:dyDescent="0.15">
      <c r="B3961" s="11"/>
      <c r="C3961" s="11"/>
      <c r="D3961" s="1"/>
      <c r="E3961" s="153"/>
      <c r="F3961" s="153"/>
      <c r="G3961" s="153"/>
      <c r="H3961" s="153"/>
      <c r="I3961" s="169"/>
    </row>
    <row r="3962" spans="2:10" x14ac:dyDescent="0.15">
      <c r="B3962" s="11"/>
      <c r="C3962" s="11"/>
      <c r="D3962" s="1"/>
      <c r="E3962" s="153"/>
      <c r="F3962" s="153"/>
      <c r="G3962" s="153"/>
      <c r="H3962" s="153"/>
      <c r="I3962" s="169"/>
    </row>
    <row r="3963" spans="2:10" x14ac:dyDescent="0.15">
      <c r="B3963" s="11"/>
      <c r="C3963" s="11"/>
      <c r="D3963" s="1"/>
      <c r="E3963" s="153"/>
      <c r="F3963" s="153"/>
      <c r="G3963" s="153"/>
      <c r="H3963" s="153"/>
      <c r="I3963" s="169"/>
    </row>
    <row r="3964" spans="2:10" x14ac:dyDescent="0.15">
      <c r="B3964" s="11"/>
      <c r="C3964" s="11"/>
      <c r="D3964" s="1"/>
      <c r="E3964" s="153"/>
      <c r="F3964" s="153"/>
      <c r="G3964" s="153"/>
      <c r="H3964" s="153"/>
      <c r="I3964" s="169"/>
    </row>
    <row r="3966" spans="2:10" ht="14" x14ac:dyDescent="0.15">
      <c r="B3966" s="101"/>
      <c r="C3966" s="83"/>
      <c r="D3966" s="84"/>
      <c r="E3966" s="83"/>
      <c r="F3966" s="83"/>
      <c r="G3966" s="102"/>
      <c r="H3966" s="83"/>
      <c r="I3966" s="85"/>
      <c r="J3966" s="85"/>
    </row>
    <row r="3967" spans="2:10" ht="14" x14ac:dyDescent="0.15">
      <c r="B3967" s="101"/>
      <c r="C3967" s="83"/>
      <c r="D3967" s="84"/>
      <c r="E3967" s="83"/>
      <c r="F3967" s="83"/>
      <c r="G3967" s="102"/>
      <c r="H3967" s="83"/>
      <c r="I3967" s="85"/>
      <c r="J3967" s="85"/>
    </row>
    <row r="3968" spans="2:10" ht="14" x14ac:dyDescent="0.15">
      <c r="B3968" s="83"/>
      <c r="C3968" s="83"/>
      <c r="D3968" s="84"/>
      <c r="E3968" s="83"/>
      <c r="F3968" s="83"/>
      <c r="G3968" s="103"/>
      <c r="H3968" s="83"/>
      <c r="I3968" s="85"/>
      <c r="J3968" s="85"/>
    </row>
    <row r="3971" spans="2:9" ht="14" thickBot="1" x14ac:dyDescent="0.2"/>
    <row r="3972" spans="2:9" ht="15.75" customHeight="1" x14ac:dyDescent="0.15">
      <c r="B3972" s="607" t="s">
        <v>1065</v>
      </c>
      <c r="C3972" s="608"/>
      <c r="D3972" s="608"/>
      <c r="E3972" s="608"/>
      <c r="F3972" s="609"/>
      <c r="G3972" s="1"/>
      <c r="H3972" s="638" t="s">
        <v>20</v>
      </c>
      <c r="I3972" s="639"/>
    </row>
    <row r="3973" spans="2:9" ht="15.75" customHeight="1" x14ac:dyDescent="0.15">
      <c r="B3973" s="604" t="s">
        <v>446</v>
      </c>
      <c r="C3973" s="605"/>
      <c r="D3973" s="605"/>
      <c r="E3973" s="605"/>
      <c r="F3973" s="606"/>
      <c r="G3973" s="63"/>
      <c r="H3973" s="640"/>
      <c r="I3973" s="641"/>
    </row>
    <row r="3974" spans="2:9" ht="12.75" customHeight="1" x14ac:dyDescent="0.15">
      <c r="B3974" s="610" t="s">
        <v>447</v>
      </c>
      <c r="C3974" s="611"/>
      <c r="D3974" s="611"/>
      <c r="E3974" s="611"/>
      <c r="F3974" s="612"/>
      <c r="G3974" s="63"/>
      <c r="H3974" s="642"/>
      <c r="I3974" s="643"/>
    </row>
    <row r="3975" spans="2:9" ht="13.5" customHeight="1" thickBot="1" x14ac:dyDescent="0.2">
      <c r="B3975" s="613"/>
      <c r="C3975" s="614"/>
      <c r="D3975" s="614"/>
      <c r="E3975" s="614"/>
      <c r="F3975" s="615"/>
      <c r="G3975" s="1"/>
      <c r="H3975" s="668" t="s">
        <v>852</v>
      </c>
      <c r="I3975" s="669"/>
    </row>
    <row r="3976" spans="2:9" ht="13.5" customHeight="1" thickBot="1" x14ac:dyDescent="0.2">
      <c r="B3976" s="37"/>
      <c r="C3976" s="61"/>
      <c r="D3976" s="1"/>
      <c r="E3976" s="1"/>
      <c r="F3976" s="1"/>
      <c r="G3976" s="1"/>
      <c r="H3976" s="670"/>
      <c r="I3976" s="671"/>
    </row>
    <row r="3977" spans="2:9" ht="12.75" customHeight="1" x14ac:dyDescent="0.15">
      <c r="B3977" s="619" t="s">
        <v>1070</v>
      </c>
      <c r="C3977" s="620"/>
      <c r="D3977" s="620"/>
      <c r="E3977" s="620"/>
      <c r="F3977" s="621"/>
      <c r="G3977" s="1"/>
      <c r="H3977" s="670"/>
      <c r="I3977" s="671"/>
    </row>
    <row r="3978" spans="2:9" ht="12.75" customHeight="1" x14ac:dyDescent="0.15">
      <c r="B3978" s="622"/>
      <c r="C3978" s="623"/>
      <c r="D3978" s="623"/>
      <c r="E3978" s="623"/>
      <c r="F3978" s="624"/>
      <c r="H3978" s="670"/>
      <c r="I3978" s="671"/>
    </row>
    <row r="3979" spans="2:9" ht="12.75" customHeight="1" x14ac:dyDescent="0.15">
      <c r="B3979" s="622"/>
      <c r="C3979" s="623"/>
      <c r="D3979" s="623"/>
      <c r="E3979" s="623"/>
      <c r="F3979" s="624"/>
      <c r="G3979" s="11"/>
      <c r="H3979" s="672"/>
      <c r="I3979" s="673"/>
    </row>
    <row r="3980" spans="2:9" ht="13.5" customHeight="1" thickBot="1" x14ac:dyDescent="0.2">
      <c r="B3980" s="625"/>
      <c r="C3980" s="626"/>
      <c r="D3980" s="626"/>
      <c r="E3980" s="626"/>
      <c r="F3980" s="627"/>
      <c r="H3980" s="64" t="s">
        <v>45</v>
      </c>
      <c r="I3980" s="17" t="s">
        <v>316</v>
      </c>
    </row>
    <row r="3981" spans="2:9" x14ac:dyDescent="0.15">
      <c r="B3981" s="18"/>
      <c r="C3981" s="18"/>
      <c r="D3981" s="1"/>
      <c r="E3981" s="18"/>
      <c r="F3981" s="18"/>
      <c r="G3981" s="18"/>
      <c r="H3981" s="18"/>
      <c r="I3981" s="1"/>
    </row>
    <row r="3982" spans="2:9" ht="14" thickBot="1" x14ac:dyDescent="0.2">
      <c r="B3982" s="12" t="s">
        <v>21</v>
      </c>
      <c r="C3982" s="12"/>
      <c r="D3982" s="1"/>
      <c r="E3982" s="1"/>
      <c r="F3982" s="1"/>
      <c r="G3982" s="1"/>
      <c r="H3982" s="1"/>
      <c r="I3982" s="1"/>
    </row>
    <row r="3983" spans="2:9" x14ac:dyDescent="0.15">
      <c r="B3983" s="628" t="s">
        <v>22</v>
      </c>
      <c r="C3983" s="629"/>
      <c r="D3983" s="630"/>
      <c r="E3983" s="205" t="s">
        <v>23</v>
      </c>
      <c r="F3983" s="19" t="s">
        <v>47</v>
      </c>
      <c r="G3983" s="205" t="s">
        <v>24</v>
      </c>
      <c r="H3983" s="204" t="s">
        <v>25</v>
      </c>
      <c r="I3983" s="43"/>
    </row>
    <row r="3984" spans="2:9" x14ac:dyDescent="0.15">
      <c r="B3984" s="631" t="s">
        <v>56</v>
      </c>
      <c r="C3984" s="632"/>
      <c r="D3984" s="633"/>
      <c r="E3984" s="5"/>
      <c r="F3984" s="160"/>
      <c r="G3984" s="58"/>
      <c r="H3984" s="160">
        <f>I4008*0.05</f>
        <v>2906.9395833333333</v>
      </c>
      <c r="I3984" s="44"/>
    </row>
    <row r="3985" spans="2:9" ht="14" thickBot="1" x14ac:dyDescent="0.2">
      <c r="B3985" s="634"/>
      <c r="C3985" s="635"/>
      <c r="D3985" s="636"/>
      <c r="E3985" s="21"/>
      <c r="F3985" s="22"/>
      <c r="G3985" s="23"/>
      <c r="H3985" s="47"/>
      <c r="I3985" s="48"/>
    </row>
    <row r="3986" spans="2:9" ht="14" thickBot="1" x14ac:dyDescent="0.2">
      <c r="B3986" s="1"/>
      <c r="C3986" s="1"/>
      <c r="D3986" s="1"/>
      <c r="E3986" s="1"/>
      <c r="F3986" s="1"/>
      <c r="G3986" s="1"/>
      <c r="H3986" s="37" t="s">
        <v>26</v>
      </c>
      <c r="I3986" s="161">
        <f>SUM(H3984:H3985)</f>
        <v>2906.9395833333333</v>
      </c>
    </row>
    <row r="3987" spans="2:9" ht="14" thickBot="1" x14ac:dyDescent="0.2">
      <c r="B3987" s="12" t="s">
        <v>27</v>
      </c>
      <c r="C3987" s="12"/>
      <c r="D3987" s="1"/>
      <c r="E3987" s="1"/>
      <c r="F3987" s="1"/>
      <c r="G3987" s="1"/>
      <c r="H3987" s="1"/>
      <c r="I3987" s="1"/>
    </row>
    <row r="3988" spans="2:9" x14ac:dyDescent="0.15">
      <c r="B3988" s="628" t="s">
        <v>22</v>
      </c>
      <c r="C3988" s="629"/>
      <c r="D3988" s="630"/>
      <c r="E3988" s="205" t="s">
        <v>28</v>
      </c>
      <c r="F3988" s="205" t="s">
        <v>29</v>
      </c>
      <c r="G3988" s="205" t="s">
        <v>30</v>
      </c>
      <c r="H3988" s="204" t="s">
        <v>25</v>
      </c>
      <c r="I3988" s="43"/>
    </row>
    <row r="3989" spans="2:9" x14ac:dyDescent="0.15">
      <c r="B3989" s="4" t="s">
        <v>176</v>
      </c>
      <c r="C3989" s="24"/>
      <c r="D3989" s="6"/>
      <c r="E3989" s="3" t="s">
        <v>193</v>
      </c>
      <c r="F3989" s="162">
        <f>MATERIALES!C168</f>
        <v>2250</v>
      </c>
      <c r="G3989" s="65">
        <v>6</v>
      </c>
      <c r="H3989" s="163">
        <f t="shared" ref="H3989:H3995" si="26">G3989*F3989</f>
        <v>13500</v>
      </c>
      <c r="I3989" s="44"/>
    </row>
    <row r="3990" spans="2:9" x14ac:dyDescent="0.15">
      <c r="B3990" s="4" t="s">
        <v>118</v>
      </c>
      <c r="C3990" s="24"/>
      <c r="D3990" s="6"/>
      <c r="E3990" s="3" t="s">
        <v>316</v>
      </c>
      <c r="F3990" s="162">
        <f>MATERIALES!C169</f>
        <v>3375</v>
      </c>
      <c r="G3990" s="65">
        <v>1</v>
      </c>
      <c r="H3990" s="163">
        <f t="shared" si="26"/>
        <v>3375</v>
      </c>
      <c r="I3990" s="44"/>
    </row>
    <row r="3991" spans="2:9" x14ac:dyDescent="0.15">
      <c r="B3991" s="4" t="s">
        <v>89</v>
      </c>
      <c r="C3991" s="24"/>
      <c r="D3991" s="6"/>
      <c r="E3991" s="3" t="s">
        <v>316</v>
      </c>
      <c r="F3991" s="162">
        <f>MATERIALES!C170</f>
        <v>2565</v>
      </c>
      <c r="G3991" s="65">
        <v>1</v>
      </c>
      <c r="H3991" s="163">
        <f t="shared" si="26"/>
        <v>2565</v>
      </c>
      <c r="I3991" s="44"/>
    </row>
    <row r="3992" spans="2:9" x14ac:dyDescent="0.15">
      <c r="B3992" s="4" t="s">
        <v>850</v>
      </c>
      <c r="C3992" s="24"/>
      <c r="D3992" s="6"/>
      <c r="E3992" s="3" t="s">
        <v>193</v>
      </c>
      <c r="F3992" s="162">
        <f>MATERIALES!C164</f>
        <v>3240</v>
      </c>
      <c r="G3992" s="65">
        <v>24</v>
      </c>
      <c r="H3992" s="163">
        <f t="shared" si="26"/>
        <v>77760</v>
      </c>
      <c r="I3992" s="44"/>
    </row>
    <row r="3993" spans="2:9" x14ac:dyDescent="0.15">
      <c r="B3993" s="4" t="s">
        <v>70</v>
      </c>
      <c r="C3993" s="24"/>
      <c r="D3993" s="6"/>
      <c r="E3993" s="3" t="s">
        <v>316</v>
      </c>
      <c r="F3993" s="162">
        <f>MATERIALES!C166</f>
        <v>3375</v>
      </c>
      <c r="G3993" s="65">
        <v>2</v>
      </c>
      <c r="H3993" s="163">
        <f t="shared" si="26"/>
        <v>6750</v>
      </c>
      <c r="I3993" s="44"/>
    </row>
    <row r="3994" spans="2:9" x14ac:dyDescent="0.15">
      <c r="B3994" s="4" t="s">
        <v>135</v>
      </c>
      <c r="C3994" s="24"/>
      <c r="D3994" s="6"/>
      <c r="E3994" s="3" t="s">
        <v>103</v>
      </c>
      <c r="F3994" s="162">
        <f>MATERIALES!C27</f>
        <v>286200</v>
      </c>
      <c r="G3994" s="65">
        <v>2.5000000000000001E-3</v>
      </c>
      <c r="H3994" s="163">
        <f t="shared" si="26"/>
        <v>715.5</v>
      </c>
      <c r="I3994" s="44"/>
    </row>
    <row r="3995" spans="2:9" x14ac:dyDescent="0.15">
      <c r="B3995" s="4" t="s">
        <v>71</v>
      </c>
      <c r="C3995" s="24"/>
      <c r="D3995" s="6"/>
      <c r="E3995" s="3" t="s">
        <v>44</v>
      </c>
      <c r="F3995" s="162">
        <f>MATERIALES!C165</f>
        <v>27000</v>
      </c>
      <c r="G3995" s="65">
        <v>0.02</v>
      </c>
      <c r="H3995" s="163">
        <f t="shared" si="26"/>
        <v>540</v>
      </c>
      <c r="I3995" s="44"/>
    </row>
    <row r="3996" spans="2:9" ht="14" thickBot="1" x14ac:dyDescent="0.2">
      <c r="B3996" s="25"/>
      <c r="C3996" s="26"/>
      <c r="D3996" s="27"/>
      <c r="E3996" s="21"/>
      <c r="F3996" s="22"/>
      <c r="G3996" s="165"/>
      <c r="H3996" s="47"/>
      <c r="I3996" s="48"/>
    </row>
    <row r="3997" spans="2:9" ht="14" thickBot="1" x14ac:dyDescent="0.2">
      <c r="B3997" s="1"/>
      <c r="C3997" s="1"/>
      <c r="D3997" s="1"/>
      <c r="E3997" s="1"/>
      <c r="F3997" s="1"/>
      <c r="G3997" s="1"/>
      <c r="H3997" s="37" t="s">
        <v>26</v>
      </c>
      <c r="I3997" s="161">
        <f>SUM(H3989:H3996)</f>
        <v>105205.5</v>
      </c>
    </row>
    <row r="3998" spans="2:9" ht="14" thickBot="1" x14ac:dyDescent="0.2">
      <c r="B3998" s="28" t="s">
        <v>31</v>
      </c>
      <c r="C3998" s="28"/>
      <c r="D3998" s="26"/>
      <c r="E3998" s="1"/>
      <c r="F3998" s="1"/>
      <c r="G3998" s="1"/>
      <c r="H3998" s="1"/>
      <c r="I3998" s="1"/>
    </row>
    <row r="3999" spans="2:9" x14ac:dyDescent="0.15">
      <c r="B3999" s="51" t="s">
        <v>32</v>
      </c>
      <c r="C3999" s="52"/>
      <c r="D3999" s="96" t="s">
        <v>33</v>
      </c>
      <c r="E3999" s="205" t="s">
        <v>34</v>
      </c>
      <c r="F3999" s="205" t="s">
        <v>35</v>
      </c>
      <c r="G3999" s="205" t="s">
        <v>36</v>
      </c>
      <c r="H3999" s="59" t="s">
        <v>25</v>
      </c>
      <c r="I3999" s="43"/>
    </row>
    <row r="4000" spans="2:9" x14ac:dyDescent="0.15">
      <c r="B4000" s="4" t="s">
        <v>79</v>
      </c>
      <c r="C4000" s="6"/>
      <c r="D4000" s="53">
        <v>0.25</v>
      </c>
      <c r="E4000" s="2">
        <v>43</v>
      </c>
      <c r="F4000" s="2">
        <f>E4000*D4000</f>
        <v>10.75</v>
      </c>
      <c r="G4000" s="160">
        <v>1100</v>
      </c>
      <c r="H4000" s="20">
        <f>G4000*F4000</f>
        <v>11825</v>
      </c>
      <c r="I4000" s="44"/>
    </row>
    <row r="4001" spans="1:10" ht="14" thickBot="1" x14ac:dyDescent="0.2">
      <c r="B4001" s="33"/>
      <c r="C4001" s="54"/>
      <c r="D4001" s="21"/>
      <c r="E4001" s="22"/>
      <c r="F4001" s="23"/>
      <c r="G4001" s="47"/>
      <c r="H4001" s="21"/>
      <c r="I4001" s="48"/>
    </row>
    <row r="4002" spans="1:10" ht="14" thickBot="1" x14ac:dyDescent="0.2">
      <c r="B4002" s="1"/>
      <c r="C4002" s="1"/>
      <c r="D4002" s="1"/>
      <c r="E4002" s="1"/>
      <c r="F4002" s="1"/>
      <c r="G4002" s="1"/>
      <c r="H4002" s="37" t="s">
        <v>26</v>
      </c>
      <c r="I4002" s="161">
        <f>SUM(H4000:H4001)</f>
        <v>11825</v>
      </c>
    </row>
    <row r="4003" spans="1:10" ht="14" thickBot="1" x14ac:dyDescent="0.2">
      <c r="B4003" s="28" t="s">
        <v>37</v>
      </c>
      <c r="C4003" s="28"/>
      <c r="D4003" s="1"/>
      <c r="E4003" s="1"/>
      <c r="F4003" s="1"/>
      <c r="G4003" s="1"/>
      <c r="H4003" s="1"/>
      <c r="I4003" s="1"/>
    </row>
    <row r="4004" spans="1:10" x14ac:dyDescent="0.15">
      <c r="B4004" s="51" t="s">
        <v>38</v>
      </c>
      <c r="C4004" s="86"/>
      <c r="D4004" s="31" t="s">
        <v>39</v>
      </c>
      <c r="E4004" s="205" t="s">
        <v>40</v>
      </c>
      <c r="F4004" s="19" t="s">
        <v>41</v>
      </c>
      <c r="G4004" s="31" t="s">
        <v>24</v>
      </c>
      <c r="H4004" s="59" t="s">
        <v>25</v>
      </c>
      <c r="I4004" s="43"/>
    </row>
    <row r="4005" spans="1:10" x14ac:dyDescent="0.15">
      <c r="A4005" s="11"/>
      <c r="B4005" s="4" t="s">
        <v>106</v>
      </c>
      <c r="C4005" s="24"/>
      <c r="D4005" s="32">
        <f>'MANO DE OBRA'!E16</f>
        <v>95333</v>
      </c>
      <c r="E4005" s="166">
        <v>1.75</v>
      </c>
      <c r="F4005" s="162">
        <f>+E4005*D4005</f>
        <v>166832.75</v>
      </c>
      <c r="G4005" s="20">
        <v>6</v>
      </c>
      <c r="H4005" s="167">
        <f>+F4005/G4005</f>
        <v>27805.458333333332</v>
      </c>
      <c r="I4005" s="44"/>
      <c r="J4005" s="11"/>
    </row>
    <row r="4006" spans="1:10" x14ac:dyDescent="0.15">
      <c r="B4006" s="4" t="s">
        <v>177</v>
      </c>
      <c r="C4006" s="24"/>
      <c r="D4006" s="32">
        <f>'MANO DE OBRA'!E14*2</f>
        <v>104000</v>
      </c>
      <c r="E4006" s="166">
        <v>1.75</v>
      </c>
      <c r="F4006" s="162">
        <f>+E4006*D4006</f>
        <v>182000</v>
      </c>
      <c r="G4006" s="20">
        <v>6</v>
      </c>
      <c r="H4006" s="167">
        <f>+F4006/G4006</f>
        <v>30333.333333333332</v>
      </c>
      <c r="I4006" s="44"/>
    </row>
    <row r="4007" spans="1:10" ht="14" thickBot="1" x14ac:dyDescent="0.2">
      <c r="B4007" s="33"/>
      <c r="C4007" s="34"/>
      <c r="D4007" s="22"/>
      <c r="E4007" s="21"/>
      <c r="F4007" s="22"/>
      <c r="G4007" s="23"/>
      <c r="H4007" s="87"/>
      <c r="I4007" s="44"/>
    </row>
    <row r="4008" spans="1:10" ht="14" thickBot="1" x14ac:dyDescent="0.2">
      <c r="B4008" s="1"/>
      <c r="C4008" s="1"/>
      <c r="D4008" s="1"/>
      <c r="E4008" s="1"/>
      <c r="F4008" s="1"/>
      <c r="G4008" s="1"/>
      <c r="H4008" s="37" t="s">
        <v>26</v>
      </c>
      <c r="I4008" s="161">
        <f>SUM(H4005:H4007)</f>
        <v>58138.791666666664</v>
      </c>
    </row>
    <row r="4009" spans="1:10" ht="14" thickBot="1" x14ac:dyDescent="0.2">
      <c r="B4009" s="1"/>
      <c r="C4009" s="1"/>
      <c r="D4009" s="1"/>
      <c r="E4009" s="1"/>
      <c r="F4009" s="1"/>
      <c r="G4009" s="1"/>
      <c r="H4009" s="61"/>
      <c r="I4009" s="1"/>
    </row>
    <row r="4010" spans="1:10" ht="15" thickBot="1" x14ac:dyDescent="0.2">
      <c r="B4010" s="1"/>
      <c r="C4010" s="1"/>
      <c r="D4010" s="1"/>
      <c r="E4010" s="1"/>
      <c r="F4010" s="35" t="s">
        <v>43</v>
      </c>
      <c r="G4010" s="16"/>
      <c r="H4010" s="16"/>
      <c r="I4010" s="325">
        <f>ROUND((I3986+I3997+I4002+I4008),0)</f>
        <v>178076</v>
      </c>
    </row>
    <row r="4011" spans="1:10" x14ac:dyDescent="0.15">
      <c r="B4011" s="12"/>
      <c r="C4011" s="12"/>
      <c r="D4011" s="1"/>
      <c r="E4011" s="1"/>
      <c r="F4011" s="1"/>
      <c r="G4011" s="1"/>
      <c r="H4011" s="170"/>
      <c r="I4011" s="170"/>
    </row>
    <row r="4012" spans="1:10" x14ac:dyDescent="0.15">
      <c r="B4012" s="16"/>
      <c r="C4012" s="16"/>
      <c r="D4012" s="16"/>
      <c r="E4012" s="16"/>
      <c r="F4012" s="16"/>
      <c r="G4012" s="61"/>
      <c r="H4012" s="171"/>
      <c r="I4012" s="170"/>
    </row>
    <row r="4013" spans="1:10" x14ac:dyDescent="0.15">
      <c r="B4013" s="1"/>
      <c r="C4013" s="1"/>
      <c r="D4013" s="1"/>
      <c r="E4013" s="1"/>
      <c r="F4013" s="1"/>
      <c r="G4013" s="159"/>
      <c r="H4013" s="170"/>
      <c r="I4013" s="170"/>
    </row>
    <row r="4014" spans="1:10" x14ac:dyDescent="0.15">
      <c r="B4014" s="1"/>
      <c r="C4014" s="1"/>
      <c r="D4014" s="1"/>
      <c r="E4014" s="1"/>
      <c r="F4014" s="1"/>
      <c r="G4014" s="159"/>
      <c r="H4014" s="170"/>
      <c r="I4014" s="170"/>
    </row>
    <row r="4015" spans="1:10" x14ac:dyDescent="0.15">
      <c r="B4015" s="1"/>
      <c r="C4015" s="1"/>
      <c r="D4015" s="1"/>
      <c r="E4015" s="1"/>
      <c r="F4015" s="1"/>
      <c r="G4015" s="159"/>
      <c r="H4015" s="170"/>
      <c r="I4015" s="170"/>
    </row>
    <row r="4016" spans="1:10" x14ac:dyDescent="0.15">
      <c r="B4016" s="1"/>
      <c r="C4016" s="1"/>
      <c r="D4016" s="1"/>
      <c r="E4016" s="1"/>
      <c r="F4016" s="1"/>
      <c r="G4016" s="1"/>
      <c r="H4016" s="37"/>
      <c r="I4016" s="170"/>
    </row>
    <row r="4017" spans="1:10" x14ac:dyDescent="0.15">
      <c r="B4017" s="1"/>
      <c r="C4017" s="1"/>
      <c r="D4017" s="1"/>
      <c r="E4017" s="1"/>
      <c r="F4017" s="1"/>
      <c r="G4017" s="1"/>
      <c r="H4017" s="37"/>
      <c r="I4017" s="170"/>
    </row>
    <row r="4018" spans="1:10" ht="14" x14ac:dyDescent="0.15">
      <c r="B4018" s="101"/>
      <c r="C4018" s="1"/>
      <c r="D4018" s="1"/>
      <c r="E4018" s="1"/>
      <c r="F4018" s="1"/>
      <c r="G4018" s="1"/>
      <c r="H4018" s="1"/>
      <c r="I4018" s="170"/>
    </row>
    <row r="4019" spans="1:10" ht="14" x14ac:dyDescent="0.15">
      <c r="B4019" s="101"/>
      <c r="C4019" s="1"/>
      <c r="D4019" s="1"/>
      <c r="E4019" s="1"/>
      <c r="F4019" s="1"/>
      <c r="G4019" s="1"/>
      <c r="H4019" s="1"/>
      <c r="I4019" s="170"/>
    </row>
    <row r="4020" spans="1:10" ht="14" x14ac:dyDescent="0.15">
      <c r="B4020" s="101"/>
      <c r="C4020" s="1"/>
      <c r="D4020" s="1"/>
      <c r="E4020" s="1"/>
      <c r="F4020" s="1"/>
      <c r="G4020" s="1"/>
      <c r="H4020" s="1"/>
      <c r="I4020" s="170"/>
    </row>
    <row r="4021" spans="1:10" ht="14" x14ac:dyDescent="0.15">
      <c r="B4021" s="101"/>
      <c r="C4021" s="1"/>
      <c r="D4021" s="1"/>
      <c r="E4021" s="1"/>
      <c r="F4021" s="1"/>
      <c r="G4021" s="1"/>
      <c r="H4021" s="1"/>
      <c r="I4021" s="170"/>
    </row>
    <row r="4022" spans="1:10" ht="14" x14ac:dyDescent="0.15">
      <c r="B4022" s="101"/>
      <c r="C4022" s="1"/>
      <c r="D4022" s="1"/>
      <c r="E4022" s="1"/>
      <c r="F4022" s="1"/>
      <c r="G4022" s="1"/>
      <c r="H4022" s="1"/>
      <c r="I4022" s="170"/>
    </row>
    <row r="4023" spans="1:10" ht="14" x14ac:dyDescent="0.15">
      <c r="B4023" s="101"/>
      <c r="C4023" s="1"/>
      <c r="D4023" s="1"/>
      <c r="E4023" s="1"/>
      <c r="F4023" s="1"/>
      <c r="G4023" s="1"/>
      <c r="H4023" s="1"/>
      <c r="I4023" s="170"/>
    </row>
    <row r="4024" spans="1:10" ht="14" x14ac:dyDescent="0.15">
      <c r="B4024" s="101"/>
      <c r="C4024" s="1"/>
      <c r="D4024" s="1"/>
      <c r="E4024" s="1"/>
      <c r="F4024" s="1"/>
      <c r="G4024" s="1"/>
      <c r="H4024" s="1"/>
      <c r="I4024" s="170"/>
    </row>
    <row r="4025" spans="1:10" ht="14" x14ac:dyDescent="0.15">
      <c r="B4025" s="83"/>
      <c r="C4025" s="11"/>
      <c r="D4025" s="1"/>
      <c r="E4025" s="637"/>
      <c r="F4025" s="637"/>
      <c r="G4025" s="637"/>
      <c r="H4025" s="637"/>
      <c r="I4025" s="169"/>
    </row>
    <row r="4026" spans="1:10" x14ac:dyDescent="0.15">
      <c r="B4026" s="11"/>
      <c r="C4026" s="11"/>
      <c r="D4026" s="1"/>
      <c r="E4026" s="153"/>
      <c r="F4026" s="153"/>
      <c r="G4026" s="153"/>
      <c r="H4026" s="153"/>
      <c r="I4026" s="169"/>
    </row>
    <row r="4027" spans="1:10" x14ac:dyDescent="0.15">
      <c r="B4027" s="11"/>
      <c r="C4027" s="11"/>
      <c r="D4027" s="1"/>
      <c r="E4027" s="153"/>
      <c r="F4027" s="153"/>
      <c r="G4027" s="153"/>
      <c r="H4027" s="153"/>
      <c r="I4027" s="169"/>
    </row>
    <row r="4028" spans="1:10" x14ac:dyDescent="0.15">
      <c r="B4028" s="11"/>
      <c r="C4028" s="11"/>
      <c r="D4028" s="1"/>
      <c r="E4028" s="153"/>
      <c r="F4028" s="153"/>
      <c r="G4028" s="153"/>
      <c r="H4028" s="153"/>
      <c r="I4028" s="169"/>
    </row>
    <row r="4029" spans="1:10" x14ac:dyDescent="0.15">
      <c r="B4029" s="11"/>
      <c r="C4029" s="11"/>
      <c r="D4029" s="1"/>
      <c r="E4029" s="153"/>
      <c r="F4029" s="153"/>
      <c r="G4029" s="153"/>
      <c r="H4029" s="153"/>
      <c r="I4029" s="169"/>
    </row>
    <row r="4030" spans="1:10" x14ac:dyDescent="0.15">
      <c r="B4030" s="11"/>
      <c r="C4030" s="11"/>
      <c r="D4030" s="1"/>
      <c r="E4030" s="153"/>
      <c r="F4030" s="153"/>
      <c r="G4030" s="153"/>
      <c r="H4030" s="153"/>
      <c r="I4030" s="169"/>
    </row>
    <row r="4031" spans="1:10" ht="14" x14ac:dyDescent="0.15">
      <c r="A4031" s="85"/>
      <c r="B4031" s="83"/>
      <c r="C4031" s="83"/>
      <c r="D4031" s="84"/>
      <c r="E4031" s="83"/>
      <c r="F4031" s="154"/>
      <c r="G4031" s="155"/>
      <c r="H4031" s="156"/>
      <c r="I4031" s="157"/>
      <c r="J4031" s="85"/>
    </row>
    <row r="4032" spans="1:10" ht="15" thickBot="1" x14ac:dyDescent="0.2">
      <c r="B4032" s="83"/>
      <c r="C4032" s="11"/>
      <c r="D4032" s="11"/>
      <c r="E4032" s="11"/>
      <c r="F4032" s="691"/>
      <c r="G4032" s="691"/>
      <c r="H4032" s="691"/>
      <c r="I4032" s="691"/>
    </row>
    <row r="4033" spans="2:9" ht="15.75" customHeight="1" x14ac:dyDescent="0.15">
      <c r="B4033" s="607" t="s">
        <v>1065</v>
      </c>
      <c r="C4033" s="608"/>
      <c r="D4033" s="608"/>
      <c r="E4033" s="608"/>
      <c r="F4033" s="609"/>
      <c r="G4033" s="1"/>
      <c r="H4033" s="638" t="s">
        <v>20</v>
      </c>
      <c r="I4033" s="639"/>
    </row>
    <row r="4034" spans="2:9" ht="15.75" customHeight="1" x14ac:dyDescent="0.15">
      <c r="B4034" s="604" t="s">
        <v>446</v>
      </c>
      <c r="C4034" s="605"/>
      <c r="D4034" s="605"/>
      <c r="E4034" s="605"/>
      <c r="F4034" s="606"/>
      <c r="G4034" s="63"/>
      <c r="H4034" s="640"/>
      <c r="I4034" s="641"/>
    </row>
    <row r="4035" spans="2:9" ht="12.75" customHeight="1" x14ac:dyDescent="0.15">
      <c r="B4035" s="610" t="s">
        <v>447</v>
      </c>
      <c r="C4035" s="611"/>
      <c r="D4035" s="611"/>
      <c r="E4035" s="611"/>
      <c r="F4035" s="612"/>
      <c r="G4035" s="63"/>
      <c r="H4035" s="642"/>
      <c r="I4035" s="643"/>
    </row>
    <row r="4036" spans="2:9" ht="13.5" customHeight="1" thickBot="1" x14ac:dyDescent="0.2">
      <c r="B4036" s="613"/>
      <c r="C4036" s="614"/>
      <c r="D4036" s="614"/>
      <c r="E4036" s="614"/>
      <c r="F4036" s="615"/>
      <c r="G4036" s="1"/>
      <c r="H4036" s="668" t="s">
        <v>853</v>
      </c>
      <c r="I4036" s="669"/>
    </row>
    <row r="4037" spans="2:9" ht="14" thickBot="1" x14ac:dyDescent="0.2">
      <c r="B4037" s="37"/>
      <c r="C4037" s="61"/>
      <c r="D4037" s="1"/>
      <c r="E4037" s="1"/>
      <c r="F4037" s="1"/>
      <c r="G4037" s="1"/>
      <c r="H4037" s="670"/>
      <c r="I4037" s="671"/>
    </row>
    <row r="4038" spans="2:9" ht="12.75" customHeight="1" x14ac:dyDescent="0.15">
      <c r="B4038" s="619" t="s">
        <v>1070</v>
      </c>
      <c r="C4038" s="620"/>
      <c r="D4038" s="620"/>
      <c r="E4038" s="620"/>
      <c r="F4038" s="621"/>
      <c r="G4038" s="1"/>
      <c r="H4038" s="670"/>
      <c r="I4038" s="671"/>
    </row>
    <row r="4039" spans="2:9" ht="12.75" customHeight="1" x14ac:dyDescent="0.15">
      <c r="B4039" s="622"/>
      <c r="C4039" s="623"/>
      <c r="D4039" s="623"/>
      <c r="E4039" s="623"/>
      <c r="F4039" s="624"/>
      <c r="H4039" s="670"/>
      <c r="I4039" s="671"/>
    </row>
    <row r="4040" spans="2:9" ht="12.75" customHeight="1" x14ac:dyDescent="0.15">
      <c r="B4040" s="622"/>
      <c r="C4040" s="623"/>
      <c r="D4040" s="623"/>
      <c r="E4040" s="623"/>
      <c r="F4040" s="624"/>
      <c r="G4040" s="11"/>
      <c r="H4040" s="672"/>
      <c r="I4040" s="673"/>
    </row>
    <row r="4041" spans="2:9" ht="13.5" customHeight="1" thickBot="1" x14ac:dyDescent="0.2">
      <c r="B4041" s="625"/>
      <c r="C4041" s="626"/>
      <c r="D4041" s="626"/>
      <c r="E4041" s="626"/>
      <c r="F4041" s="627"/>
      <c r="H4041" s="64" t="s">
        <v>45</v>
      </c>
      <c r="I4041" s="17" t="s">
        <v>316</v>
      </c>
    </row>
    <row r="4042" spans="2:9" x14ac:dyDescent="0.15">
      <c r="B4042" s="18"/>
      <c r="C4042" s="18"/>
      <c r="D4042" s="1"/>
      <c r="E4042" s="18"/>
      <c r="F4042" s="18"/>
      <c r="G4042" s="18"/>
      <c r="H4042" s="18"/>
      <c r="I4042" s="1"/>
    </row>
    <row r="4043" spans="2:9" ht="14" thickBot="1" x14ac:dyDescent="0.2">
      <c r="B4043" s="12" t="s">
        <v>21</v>
      </c>
      <c r="C4043" s="12"/>
      <c r="D4043" s="1"/>
      <c r="E4043" s="1"/>
      <c r="F4043" s="1"/>
      <c r="G4043" s="1"/>
      <c r="H4043" s="1"/>
      <c r="I4043" s="1"/>
    </row>
    <row r="4044" spans="2:9" x14ac:dyDescent="0.15">
      <c r="B4044" s="628" t="s">
        <v>22</v>
      </c>
      <c r="C4044" s="629"/>
      <c r="D4044" s="630"/>
      <c r="E4044" s="205" t="s">
        <v>23</v>
      </c>
      <c r="F4044" s="19" t="s">
        <v>47</v>
      </c>
      <c r="G4044" s="205" t="s">
        <v>24</v>
      </c>
      <c r="H4044" s="204" t="s">
        <v>25</v>
      </c>
      <c r="I4044" s="43"/>
    </row>
    <row r="4045" spans="2:9" x14ac:dyDescent="0.15">
      <c r="B4045" s="631" t="s">
        <v>56</v>
      </c>
      <c r="C4045" s="632"/>
      <c r="D4045" s="633"/>
      <c r="E4045" s="5"/>
      <c r="F4045" s="160"/>
      <c r="G4045" s="58"/>
      <c r="H4045" s="160">
        <f>I4069*0.05</f>
        <v>2906.9395833333333</v>
      </c>
      <c r="I4045" s="44"/>
    </row>
    <row r="4046" spans="2:9" ht="14" thickBot="1" x14ac:dyDescent="0.2">
      <c r="B4046" s="634"/>
      <c r="C4046" s="635"/>
      <c r="D4046" s="636"/>
      <c r="E4046" s="21"/>
      <c r="F4046" s="22"/>
      <c r="G4046" s="23"/>
      <c r="H4046" s="47"/>
      <c r="I4046" s="48"/>
    </row>
    <row r="4047" spans="2:9" ht="14" thickBot="1" x14ac:dyDescent="0.2">
      <c r="B4047" s="1"/>
      <c r="C4047" s="1"/>
      <c r="D4047" s="1"/>
      <c r="E4047" s="1"/>
      <c r="F4047" s="1"/>
      <c r="G4047" s="1"/>
      <c r="H4047" s="37" t="s">
        <v>26</v>
      </c>
      <c r="I4047" s="161">
        <f>SUM(H4045:H4046)</f>
        <v>2906.9395833333333</v>
      </c>
    </row>
    <row r="4048" spans="2:9" ht="14" thickBot="1" x14ac:dyDescent="0.2">
      <c r="B4048" s="12" t="s">
        <v>27</v>
      </c>
      <c r="C4048" s="12"/>
      <c r="D4048" s="1"/>
      <c r="E4048" s="1"/>
      <c r="F4048" s="1"/>
      <c r="G4048" s="1"/>
      <c r="H4048" s="1"/>
      <c r="I4048" s="1"/>
    </row>
    <row r="4049" spans="2:9" x14ac:dyDescent="0.15">
      <c r="B4049" s="628" t="s">
        <v>22</v>
      </c>
      <c r="C4049" s="629"/>
      <c r="D4049" s="630"/>
      <c r="E4049" s="205" t="s">
        <v>28</v>
      </c>
      <c r="F4049" s="205" t="s">
        <v>29</v>
      </c>
      <c r="G4049" s="205" t="s">
        <v>30</v>
      </c>
      <c r="H4049" s="204" t="s">
        <v>25</v>
      </c>
      <c r="I4049" s="43"/>
    </row>
    <row r="4050" spans="2:9" x14ac:dyDescent="0.15">
      <c r="B4050" s="4" t="s">
        <v>176</v>
      </c>
      <c r="C4050" s="24"/>
      <c r="D4050" s="6"/>
      <c r="E4050" s="3" t="s">
        <v>193</v>
      </c>
      <c r="F4050" s="162">
        <f>MATERIALES!C168</f>
        <v>2250</v>
      </c>
      <c r="G4050" s="65">
        <v>13</v>
      </c>
      <c r="H4050" s="163">
        <f t="shared" ref="H4050:H4056" si="27">G4050*F4050</f>
        <v>29250</v>
      </c>
      <c r="I4050" s="44"/>
    </row>
    <row r="4051" spans="2:9" x14ac:dyDescent="0.15">
      <c r="B4051" s="4" t="s">
        <v>118</v>
      </c>
      <c r="C4051" s="24"/>
      <c r="D4051" s="6"/>
      <c r="E4051" s="3" t="s">
        <v>316</v>
      </c>
      <c r="F4051" s="162">
        <f>MATERIALES!C169</f>
        <v>3375</v>
      </c>
      <c r="G4051" s="65">
        <v>1</v>
      </c>
      <c r="H4051" s="163">
        <f t="shared" si="27"/>
        <v>3375</v>
      </c>
      <c r="I4051" s="44"/>
    </row>
    <row r="4052" spans="2:9" x14ac:dyDescent="0.15">
      <c r="B4052" s="4" t="s">
        <v>89</v>
      </c>
      <c r="C4052" s="24"/>
      <c r="D4052" s="6"/>
      <c r="E4052" s="3" t="s">
        <v>316</v>
      </c>
      <c r="F4052" s="162">
        <f>MATERIALES!C170</f>
        <v>2565</v>
      </c>
      <c r="G4052" s="65">
        <v>1</v>
      </c>
      <c r="H4052" s="163">
        <f t="shared" si="27"/>
        <v>2565</v>
      </c>
      <c r="I4052" s="44"/>
    </row>
    <row r="4053" spans="2:9" x14ac:dyDescent="0.15">
      <c r="B4053" s="4" t="s">
        <v>850</v>
      </c>
      <c r="C4053" s="24"/>
      <c r="D4053" s="6"/>
      <c r="E4053" s="3" t="s">
        <v>193</v>
      </c>
      <c r="F4053" s="162">
        <f>MATERIALES!C164</f>
        <v>3240</v>
      </c>
      <c r="G4053" s="65">
        <v>36</v>
      </c>
      <c r="H4053" s="163">
        <f t="shared" si="27"/>
        <v>116640</v>
      </c>
      <c r="I4053" s="44"/>
    </row>
    <row r="4054" spans="2:9" x14ac:dyDescent="0.15">
      <c r="B4054" s="4" t="s">
        <v>70</v>
      </c>
      <c r="C4054" s="24"/>
      <c r="D4054" s="6"/>
      <c r="E4054" s="3" t="s">
        <v>316</v>
      </c>
      <c r="F4054" s="162">
        <f>MATERIALES!C166</f>
        <v>3375</v>
      </c>
      <c r="G4054" s="65">
        <v>2</v>
      </c>
      <c r="H4054" s="163">
        <f t="shared" si="27"/>
        <v>6750</v>
      </c>
      <c r="I4054" s="44"/>
    </row>
    <row r="4055" spans="2:9" x14ac:dyDescent="0.15">
      <c r="B4055" s="4" t="s">
        <v>135</v>
      </c>
      <c r="C4055" s="24"/>
      <c r="D4055" s="6"/>
      <c r="E4055" s="3" t="s">
        <v>103</v>
      </c>
      <c r="F4055" s="162">
        <f>MATERIALES!C27</f>
        <v>286200</v>
      </c>
      <c r="G4055" s="65">
        <v>0.01</v>
      </c>
      <c r="H4055" s="163">
        <f t="shared" si="27"/>
        <v>2862</v>
      </c>
      <c r="I4055" s="44"/>
    </row>
    <row r="4056" spans="2:9" x14ac:dyDescent="0.15">
      <c r="B4056" s="4" t="s">
        <v>71</v>
      </c>
      <c r="C4056" s="24"/>
      <c r="D4056" s="6"/>
      <c r="E4056" s="3" t="s">
        <v>316</v>
      </c>
      <c r="F4056" s="162">
        <f>MATERIALES!C165</f>
        <v>27000</v>
      </c>
      <c r="G4056" s="65">
        <v>0.02</v>
      </c>
      <c r="H4056" s="163">
        <f t="shared" si="27"/>
        <v>540</v>
      </c>
      <c r="I4056" s="44"/>
    </row>
    <row r="4057" spans="2:9" ht="14" thickBot="1" x14ac:dyDescent="0.2">
      <c r="B4057" s="25"/>
      <c r="C4057" s="26"/>
      <c r="D4057" s="27"/>
      <c r="E4057" s="21"/>
      <c r="F4057" s="22"/>
      <c r="G4057" s="165"/>
      <c r="H4057" s="47"/>
      <c r="I4057" s="48"/>
    </row>
    <row r="4058" spans="2:9" ht="14" thickBot="1" x14ac:dyDescent="0.2">
      <c r="B4058" s="1"/>
      <c r="C4058" s="1"/>
      <c r="D4058" s="1"/>
      <c r="E4058" s="1"/>
      <c r="F4058" s="1"/>
      <c r="G4058" s="1"/>
      <c r="H4058" s="37" t="s">
        <v>26</v>
      </c>
      <c r="I4058" s="161">
        <f>SUM(H4050:H4057)</f>
        <v>161982</v>
      </c>
    </row>
    <row r="4059" spans="2:9" ht="14" thickBot="1" x14ac:dyDescent="0.2">
      <c r="B4059" s="28" t="s">
        <v>31</v>
      </c>
      <c r="C4059" s="28"/>
      <c r="D4059" s="26"/>
      <c r="E4059" s="1"/>
      <c r="F4059" s="1"/>
      <c r="G4059" s="1"/>
      <c r="H4059" s="1"/>
      <c r="I4059" s="1"/>
    </row>
    <row r="4060" spans="2:9" x14ac:dyDescent="0.15">
      <c r="B4060" s="51" t="s">
        <v>32</v>
      </c>
      <c r="C4060" s="52"/>
      <c r="D4060" s="96" t="s">
        <v>33</v>
      </c>
      <c r="E4060" s="205" t="s">
        <v>34</v>
      </c>
      <c r="F4060" s="205" t="s">
        <v>35</v>
      </c>
      <c r="G4060" s="205" t="s">
        <v>36</v>
      </c>
      <c r="H4060" s="59" t="s">
        <v>25</v>
      </c>
      <c r="I4060" s="43"/>
    </row>
    <row r="4061" spans="2:9" x14ac:dyDescent="0.15">
      <c r="B4061" s="4" t="s">
        <v>79</v>
      </c>
      <c r="C4061" s="6"/>
      <c r="D4061" s="53">
        <v>0.25</v>
      </c>
      <c r="E4061" s="2">
        <v>43</v>
      </c>
      <c r="F4061" s="2">
        <f>E4061*D4061</f>
        <v>10.75</v>
      </c>
      <c r="G4061" s="160">
        <v>1100</v>
      </c>
      <c r="H4061" s="20">
        <f>G4061*F4061</f>
        <v>11825</v>
      </c>
      <c r="I4061" s="44"/>
    </row>
    <row r="4062" spans="2:9" ht="14" thickBot="1" x14ac:dyDescent="0.2">
      <c r="B4062" s="33"/>
      <c r="C4062" s="54"/>
      <c r="D4062" s="21"/>
      <c r="E4062" s="22"/>
      <c r="F4062" s="23"/>
      <c r="G4062" s="47"/>
      <c r="H4062" s="21"/>
      <c r="I4062" s="48"/>
    </row>
    <row r="4063" spans="2:9" ht="14" thickBot="1" x14ac:dyDescent="0.2">
      <c r="B4063" s="1"/>
      <c r="C4063" s="1"/>
      <c r="D4063" s="1"/>
      <c r="E4063" s="1"/>
      <c r="F4063" s="1"/>
      <c r="G4063" s="1"/>
      <c r="H4063" s="37" t="s">
        <v>26</v>
      </c>
      <c r="I4063" s="161">
        <f>SUM(H4061:H4062)</f>
        <v>11825</v>
      </c>
    </row>
    <row r="4064" spans="2:9" ht="14" thickBot="1" x14ac:dyDescent="0.2">
      <c r="B4064" s="28" t="s">
        <v>37</v>
      </c>
      <c r="C4064" s="28"/>
      <c r="D4064" s="1"/>
      <c r="E4064" s="1"/>
      <c r="F4064" s="1"/>
      <c r="G4064" s="1"/>
      <c r="H4064" s="1"/>
      <c r="I4064" s="1"/>
    </row>
    <row r="4065" spans="1:10" x14ac:dyDescent="0.15">
      <c r="B4065" s="51" t="s">
        <v>38</v>
      </c>
      <c r="C4065" s="86"/>
      <c r="D4065" s="31" t="s">
        <v>39</v>
      </c>
      <c r="E4065" s="205" t="s">
        <v>40</v>
      </c>
      <c r="F4065" s="19" t="s">
        <v>41</v>
      </c>
      <c r="G4065" s="31" t="s">
        <v>24</v>
      </c>
      <c r="H4065" s="59" t="s">
        <v>25</v>
      </c>
      <c r="I4065" s="43"/>
    </row>
    <row r="4066" spans="1:10" x14ac:dyDescent="0.15">
      <c r="A4066" s="11"/>
      <c r="B4066" s="4" t="s">
        <v>106</v>
      </c>
      <c r="C4066" s="24"/>
      <c r="D4066" s="32">
        <f>'MANO DE OBRA'!E16</f>
        <v>95333</v>
      </c>
      <c r="E4066" s="166">
        <v>1.75</v>
      </c>
      <c r="F4066" s="162">
        <f>+E4066*D4066</f>
        <v>166832.75</v>
      </c>
      <c r="G4066" s="20">
        <v>6</v>
      </c>
      <c r="H4066" s="167">
        <f>+F4066/G4066</f>
        <v>27805.458333333332</v>
      </c>
      <c r="I4066" s="44"/>
      <c r="J4066" s="11"/>
    </row>
    <row r="4067" spans="1:10" x14ac:dyDescent="0.15">
      <c r="B4067" s="4" t="s">
        <v>177</v>
      </c>
      <c r="C4067" s="24"/>
      <c r="D4067" s="32">
        <f>'MANO DE OBRA'!E14*2</f>
        <v>104000</v>
      </c>
      <c r="E4067" s="166">
        <v>1.75</v>
      </c>
      <c r="F4067" s="162">
        <f>+E4067*D4067</f>
        <v>182000</v>
      </c>
      <c r="G4067" s="20">
        <v>6</v>
      </c>
      <c r="H4067" s="167">
        <f>+F4067/G4067</f>
        <v>30333.333333333332</v>
      </c>
      <c r="I4067" s="44"/>
    </row>
    <row r="4068" spans="1:10" ht="14" thickBot="1" x14ac:dyDescent="0.2">
      <c r="B4068" s="33"/>
      <c r="C4068" s="34"/>
      <c r="D4068" s="22"/>
      <c r="E4068" s="21"/>
      <c r="F4068" s="22"/>
      <c r="G4068" s="23"/>
      <c r="H4068" s="87"/>
      <c r="I4068" s="44"/>
    </row>
    <row r="4069" spans="1:10" ht="14" thickBot="1" x14ac:dyDescent="0.2">
      <c r="B4069" s="1"/>
      <c r="C4069" s="1"/>
      <c r="D4069" s="1"/>
      <c r="E4069" s="1"/>
      <c r="F4069" s="1"/>
      <c r="G4069" s="1"/>
      <c r="H4069" s="37" t="s">
        <v>26</v>
      </c>
      <c r="I4069" s="161">
        <f>SUM(H4066:H4068)</f>
        <v>58138.791666666664</v>
      </c>
    </row>
    <row r="4070" spans="1:10" ht="14" thickBot="1" x14ac:dyDescent="0.2">
      <c r="B4070" s="1"/>
      <c r="C4070" s="1"/>
      <c r="D4070" s="1"/>
      <c r="E4070" s="1"/>
      <c r="F4070" s="1"/>
      <c r="G4070" s="1"/>
      <c r="H4070" s="61"/>
      <c r="I4070" s="1"/>
    </row>
    <row r="4071" spans="1:10" ht="15" thickBot="1" x14ac:dyDescent="0.2">
      <c r="B4071" s="1"/>
      <c r="C4071" s="1"/>
      <c r="D4071" s="1"/>
      <c r="E4071" s="1"/>
      <c r="F4071" s="35" t="s">
        <v>43</v>
      </c>
      <c r="G4071" s="16"/>
      <c r="H4071" s="16"/>
      <c r="I4071" s="325">
        <f>ROUND((I4047+I4058+I4063+I4069),0)</f>
        <v>234853</v>
      </c>
    </row>
    <row r="4072" spans="1:10" x14ac:dyDescent="0.15">
      <c r="B4072" s="12"/>
      <c r="C4072" s="12"/>
      <c r="D4072" s="1"/>
      <c r="E4072" s="1"/>
      <c r="F4072" s="1"/>
      <c r="G4072" s="1"/>
      <c r="H4072" s="170"/>
      <c r="I4072" s="170"/>
    </row>
    <row r="4073" spans="1:10" x14ac:dyDescent="0.15">
      <c r="B4073" s="16"/>
      <c r="C4073" s="16"/>
      <c r="D4073" s="16"/>
      <c r="E4073" s="16"/>
      <c r="F4073" s="16"/>
      <c r="G4073" s="61"/>
      <c r="H4073" s="171"/>
      <c r="I4073" s="170"/>
    </row>
    <row r="4074" spans="1:10" x14ac:dyDescent="0.15">
      <c r="B4074" s="1"/>
      <c r="C4074" s="1"/>
      <c r="D4074" s="1"/>
      <c r="E4074" s="1"/>
      <c r="F4074" s="1"/>
      <c r="G4074" s="159"/>
      <c r="H4074" s="170"/>
      <c r="I4074" s="170"/>
    </row>
    <row r="4075" spans="1:10" x14ac:dyDescent="0.15">
      <c r="B4075" s="1"/>
      <c r="C4075" s="1"/>
      <c r="D4075" s="1"/>
      <c r="E4075" s="1"/>
      <c r="F4075" s="1"/>
      <c r="G4075" s="159"/>
      <c r="H4075" s="170"/>
      <c r="I4075" s="170"/>
    </row>
    <row r="4076" spans="1:10" x14ac:dyDescent="0.15">
      <c r="B4076" s="1"/>
      <c r="C4076" s="1"/>
      <c r="D4076" s="1"/>
      <c r="E4076" s="1"/>
      <c r="F4076" s="1"/>
      <c r="G4076" s="159"/>
      <c r="H4076" s="170"/>
      <c r="I4076" s="170"/>
    </row>
    <row r="4077" spans="1:10" x14ac:dyDescent="0.15">
      <c r="B4077" s="1"/>
      <c r="C4077" s="1"/>
      <c r="D4077" s="1"/>
      <c r="E4077" s="1"/>
      <c r="F4077" s="1"/>
      <c r="G4077" s="159"/>
      <c r="H4077" s="170"/>
      <c r="I4077" s="170"/>
    </row>
    <row r="4078" spans="1:10" x14ac:dyDescent="0.15">
      <c r="B4078" s="1"/>
      <c r="C4078" s="1"/>
      <c r="D4078" s="1"/>
      <c r="E4078" s="1"/>
      <c r="F4078" s="1"/>
      <c r="G4078" s="1"/>
      <c r="H4078" s="37"/>
      <c r="I4078" s="170"/>
    </row>
    <row r="4079" spans="1:10" x14ac:dyDescent="0.15">
      <c r="B4079" s="1"/>
      <c r="C4079" s="1"/>
      <c r="D4079" s="1"/>
      <c r="E4079" s="1"/>
      <c r="F4079" s="1"/>
      <c r="G4079" s="1"/>
      <c r="H4079" s="37"/>
      <c r="I4079" s="170"/>
    </row>
    <row r="4080" spans="1:10" ht="14" x14ac:dyDescent="0.15">
      <c r="B4080" s="101"/>
      <c r="C4080" s="1"/>
      <c r="D4080" s="1"/>
      <c r="E4080" s="1"/>
      <c r="F4080" s="1"/>
      <c r="G4080" s="1"/>
      <c r="H4080" s="1"/>
      <c r="I4080" s="170"/>
    </row>
    <row r="4081" spans="1:10" ht="14" x14ac:dyDescent="0.15">
      <c r="B4081" s="101"/>
      <c r="C4081" s="1"/>
      <c r="D4081" s="1"/>
      <c r="E4081" s="1"/>
      <c r="F4081" s="1"/>
      <c r="G4081" s="1"/>
      <c r="H4081" s="1"/>
      <c r="I4081" s="170"/>
    </row>
    <row r="4082" spans="1:10" ht="14" x14ac:dyDescent="0.15">
      <c r="B4082" s="101"/>
      <c r="C4082" s="1"/>
      <c r="D4082" s="1"/>
      <c r="E4082" s="1"/>
      <c r="F4082" s="1"/>
      <c r="G4082" s="1"/>
      <c r="H4082" s="1"/>
      <c r="I4082" s="170"/>
    </row>
    <row r="4083" spans="1:10" ht="14" x14ac:dyDescent="0.15">
      <c r="B4083" s="101"/>
      <c r="C4083" s="1"/>
      <c r="D4083" s="1"/>
      <c r="E4083" s="1"/>
      <c r="F4083" s="1"/>
      <c r="G4083" s="1"/>
      <c r="H4083" s="1"/>
      <c r="I4083" s="170"/>
    </row>
    <row r="4084" spans="1:10" ht="14" x14ac:dyDescent="0.15">
      <c r="B4084" s="101"/>
      <c r="C4084" s="1"/>
      <c r="D4084" s="1"/>
      <c r="E4084" s="1"/>
      <c r="F4084" s="1"/>
      <c r="G4084" s="1"/>
      <c r="H4084" s="1"/>
      <c r="I4084" s="170"/>
    </row>
    <row r="4085" spans="1:10" ht="14" x14ac:dyDescent="0.15">
      <c r="B4085" s="101"/>
      <c r="C4085" s="1"/>
      <c r="D4085" s="1"/>
      <c r="E4085" s="1"/>
      <c r="F4085" s="1"/>
      <c r="G4085" s="1"/>
      <c r="H4085" s="1"/>
      <c r="I4085" s="170"/>
    </row>
    <row r="4086" spans="1:10" ht="14" x14ac:dyDescent="0.15">
      <c r="B4086" s="83"/>
      <c r="C4086" s="11"/>
      <c r="D4086" s="1"/>
      <c r="E4086" s="637"/>
      <c r="F4086" s="637"/>
      <c r="G4086" s="637"/>
      <c r="H4086" s="637"/>
      <c r="I4086" s="169"/>
    </row>
    <row r="4087" spans="1:10" x14ac:dyDescent="0.15">
      <c r="B4087" s="11"/>
      <c r="C4087" s="11"/>
      <c r="D4087" s="1"/>
      <c r="E4087" s="153"/>
      <c r="F4087" s="153"/>
      <c r="G4087" s="153"/>
      <c r="H4087" s="153"/>
      <c r="I4087" s="169"/>
    </row>
    <row r="4088" spans="1:10" x14ac:dyDescent="0.15">
      <c r="B4088" s="11"/>
      <c r="C4088" s="11"/>
      <c r="D4088" s="1"/>
      <c r="E4088" s="153"/>
      <c r="F4088" s="153"/>
      <c r="G4088" s="153"/>
      <c r="H4088" s="153"/>
      <c r="I4088" s="169"/>
    </row>
    <row r="4089" spans="1:10" x14ac:dyDescent="0.15">
      <c r="B4089" s="11"/>
      <c r="C4089" s="11"/>
      <c r="D4089" s="1"/>
      <c r="E4089" s="153"/>
      <c r="F4089" s="153"/>
      <c r="G4089" s="153"/>
      <c r="H4089" s="153"/>
      <c r="I4089" s="169"/>
    </row>
    <row r="4090" spans="1:10" ht="14" x14ac:dyDescent="0.15">
      <c r="A4090" s="85"/>
      <c r="B4090" s="101"/>
      <c r="C4090" s="83"/>
      <c r="D4090" s="84"/>
      <c r="E4090" s="83"/>
      <c r="F4090" s="158"/>
      <c r="G4090" s="155"/>
      <c r="H4090" s="83"/>
      <c r="I4090" s="83"/>
      <c r="J4090" s="85"/>
    </row>
    <row r="4091" spans="1:10" ht="14" x14ac:dyDescent="0.15">
      <c r="A4091" s="85"/>
      <c r="B4091" s="83"/>
      <c r="C4091" s="83"/>
      <c r="D4091" s="84"/>
      <c r="E4091" s="83"/>
      <c r="F4091" s="154"/>
      <c r="G4091" s="155"/>
      <c r="H4091" s="156"/>
      <c r="I4091" s="157"/>
      <c r="J4091" s="85"/>
    </row>
    <row r="4092" spans="1:10" ht="14" x14ac:dyDescent="0.15">
      <c r="B4092" s="83"/>
      <c r="C4092" s="11"/>
      <c r="D4092" s="11"/>
      <c r="E4092" s="11"/>
      <c r="F4092" s="691"/>
      <c r="G4092" s="691"/>
      <c r="H4092" s="691"/>
      <c r="I4092" s="691"/>
    </row>
    <row r="4093" spans="1:10" ht="14" thickBot="1" x14ac:dyDescent="0.2"/>
    <row r="4094" spans="1:10" ht="15.75" customHeight="1" x14ac:dyDescent="0.15">
      <c r="B4094" s="607" t="s">
        <v>1065</v>
      </c>
      <c r="C4094" s="608"/>
      <c r="D4094" s="608"/>
      <c r="E4094" s="608"/>
      <c r="F4094" s="609"/>
      <c r="G4094" s="1"/>
      <c r="H4094" s="638" t="s">
        <v>20</v>
      </c>
      <c r="I4094" s="639"/>
    </row>
    <row r="4095" spans="1:10" ht="15.75" customHeight="1" x14ac:dyDescent="0.15">
      <c r="B4095" s="604" t="s">
        <v>446</v>
      </c>
      <c r="C4095" s="605"/>
      <c r="D4095" s="605"/>
      <c r="E4095" s="605"/>
      <c r="F4095" s="606"/>
      <c r="G4095" s="63"/>
      <c r="H4095" s="640"/>
      <c r="I4095" s="641"/>
    </row>
    <row r="4096" spans="1:10" ht="12.75" customHeight="1" x14ac:dyDescent="0.15">
      <c r="B4096" s="610" t="s">
        <v>447</v>
      </c>
      <c r="C4096" s="611"/>
      <c r="D4096" s="611"/>
      <c r="E4096" s="611"/>
      <c r="F4096" s="612"/>
      <c r="G4096" s="63"/>
      <c r="H4096" s="642"/>
      <c r="I4096" s="643"/>
    </row>
    <row r="4097" spans="2:9" ht="13.5" customHeight="1" thickBot="1" x14ac:dyDescent="0.2">
      <c r="B4097" s="613"/>
      <c r="C4097" s="614"/>
      <c r="D4097" s="614"/>
      <c r="E4097" s="614"/>
      <c r="F4097" s="615"/>
      <c r="G4097" s="1"/>
      <c r="H4097" s="668" t="s">
        <v>854</v>
      </c>
      <c r="I4097" s="669"/>
    </row>
    <row r="4098" spans="2:9" ht="14" thickBot="1" x14ac:dyDescent="0.2">
      <c r="B4098" s="37"/>
      <c r="C4098" s="61"/>
      <c r="D4098" s="1"/>
      <c r="E4098" s="1"/>
      <c r="F4098" s="1"/>
      <c r="G4098" s="1"/>
      <c r="H4098" s="670"/>
      <c r="I4098" s="671"/>
    </row>
    <row r="4099" spans="2:9" ht="12.75" customHeight="1" x14ac:dyDescent="0.15">
      <c r="B4099" s="619" t="s">
        <v>1070</v>
      </c>
      <c r="C4099" s="620"/>
      <c r="D4099" s="620"/>
      <c r="E4099" s="620"/>
      <c r="F4099" s="621"/>
      <c r="G4099" s="1"/>
      <c r="H4099" s="670"/>
      <c r="I4099" s="671"/>
    </row>
    <row r="4100" spans="2:9" ht="12.75" customHeight="1" x14ac:dyDescent="0.15">
      <c r="B4100" s="622"/>
      <c r="C4100" s="623"/>
      <c r="D4100" s="623"/>
      <c r="E4100" s="623"/>
      <c r="F4100" s="624"/>
      <c r="H4100" s="670"/>
      <c r="I4100" s="671"/>
    </row>
    <row r="4101" spans="2:9" ht="12.75" customHeight="1" x14ac:dyDescent="0.15">
      <c r="B4101" s="622"/>
      <c r="C4101" s="623"/>
      <c r="D4101" s="623"/>
      <c r="E4101" s="623"/>
      <c r="F4101" s="624"/>
      <c r="G4101" s="11"/>
      <c r="H4101" s="672"/>
      <c r="I4101" s="673"/>
    </row>
    <row r="4102" spans="2:9" ht="13.5" customHeight="1" thickBot="1" x14ac:dyDescent="0.2">
      <c r="B4102" s="625"/>
      <c r="C4102" s="626"/>
      <c r="D4102" s="626"/>
      <c r="E4102" s="626"/>
      <c r="F4102" s="627"/>
      <c r="H4102" s="64" t="s">
        <v>45</v>
      </c>
      <c r="I4102" s="17" t="s">
        <v>316</v>
      </c>
    </row>
    <row r="4103" spans="2:9" x14ac:dyDescent="0.15">
      <c r="B4103" s="18"/>
      <c r="C4103" s="18"/>
      <c r="D4103" s="1"/>
      <c r="E4103" s="18"/>
      <c r="F4103" s="18"/>
      <c r="G4103" s="18"/>
      <c r="H4103" s="18"/>
      <c r="I4103" s="1"/>
    </row>
    <row r="4104" spans="2:9" ht="14" thickBot="1" x14ac:dyDescent="0.2">
      <c r="B4104" s="12" t="s">
        <v>21</v>
      </c>
      <c r="C4104" s="12"/>
      <c r="D4104" s="1"/>
      <c r="E4104" s="1"/>
      <c r="F4104" s="1"/>
      <c r="G4104" s="1"/>
      <c r="H4104" s="1"/>
      <c r="I4104" s="1"/>
    </row>
    <row r="4105" spans="2:9" x14ac:dyDescent="0.15">
      <c r="B4105" s="628" t="s">
        <v>22</v>
      </c>
      <c r="C4105" s="629"/>
      <c r="D4105" s="630"/>
      <c r="E4105" s="205" t="s">
        <v>23</v>
      </c>
      <c r="F4105" s="19" t="s">
        <v>47</v>
      </c>
      <c r="G4105" s="205" t="s">
        <v>24</v>
      </c>
      <c r="H4105" s="204" t="s">
        <v>25</v>
      </c>
      <c r="I4105" s="43"/>
    </row>
    <row r="4106" spans="2:9" x14ac:dyDescent="0.15">
      <c r="B4106" s="631" t="s">
        <v>56</v>
      </c>
      <c r="C4106" s="632"/>
      <c r="D4106" s="633"/>
      <c r="E4106" s="5"/>
      <c r="F4106" s="160"/>
      <c r="G4106" s="58"/>
      <c r="H4106" s="160">
        <f>I4125*0.05</f>
        <v>138.48296875000003</v>
      </c>
      <c r="I4106" s="44"/>
    </row>
    <row r="4107" spans="2:9" ht="14" thickBot="1" x14ac:dyDescent="0.2">
      <c r="B4107" s="634"/>
      <c r="C4107" s="635"/>
      <c r="D4107" s="636"/>
      <c r="E4107" s="21"/>
      <c r="F4107" s="22"/>
      <c r="G4107" s="23"/>
      <c r="H4107" s="47"/>
      <c r="I4107" s="48"/>
    </row>
    <row r="4108" spans="2:9" ht="14" thickBot="1" x14ac:dyDescent="0.2">
      <c r="B4108" s="1"/>
      <c r="C4108" s="1"/>
      <c r="D4108" s="1"/>
      <c r="E4108" s="1"/>
      <c r="F4108" s="1"/>
      <c r="G4108" s="1"/>
      <c r="H4108" s="37" t="s">
        <v>26</v>
      </c>
      <c r="I4108" s="161">
        <f>SUM(H4106:H4107)</f>
        <v>138.48296875000003</v>
      </c>
    </row>
    <row r="4109" spans="2:9" ht="14" thickBot="1" x14ac:dyDescent="0.2">
      <c r="B4109" s="12" t="s">
        <v>27</v>
      </c>
      <c r="C4109" s="12"/>
      <c r="D4109" s="1"/>
      <c r="E4109" s="1"/>
      <c r="F4109" s="1"/>
      <c r="G4109" s="1"/>
      <c r="H4109" s="1"/>
      <c r="I4109" s="1"/>
    </row>
    <row r="4110" spans="2:9" x14ac:dyDescent="0.15">
      <c r="B4110" s="628" t="s">
        <v>22</v>
      </c>
      <c r="C4110" s="629"/>
      <c r="D4110" s="630"/>
      <c r="E4110" s="205" t="s">
        <v>28</v>
      </c>
      <c r="F4110" s="205" t="s">
        <v>29</v>
      </c>
      <c r="G4110" s="205" t="s">
        <v>30</v>
      </c>
      <c r="H4110" s="204" t="s">
        <v>25</v>
      </c>
      <c r="I4110" s="43"/>
    </row>
    <row r="4111" spans="2:9" x14ac:dyDescent="0.15">
      <c r="B4111" s="4" t="s">
        <v>849</v>
      </c>
      <c r="C4111" s="24"/>
      <c r="D4111" s="6"/>
      <c r="E4111" s="3" t="s">
        <v>316</v>
      </c>
      <c r="F4111" s="162">
        <f>MATERIALES!C171</f>
        <v>20250</v>
      </c>
      <c r="G4111" s="65">
        <v>1</v>
      </c>
      <c r="H4111" s="163">
        <f>G4111*F4111</f>
        <v>20250</v>
      </c>
      <c r="I4111" s="44"/>
    </row>
    <row r="4112" spans="2:9" x14ac:dyDescent="0.15">
      <c r="B4112" s="4" t="s">
        <v>71</v>
      </c>
      <c r="C4112" s="24"/>
      <c r="D4112" s="6"/>
      <c r="E4112" s="3" t="s">
        <v>316</v>
      </c>
      <c r="F4112" s="164">
        <f>MATERIALES!C165</f>
        <v>27000</v>
      </c>
      <c r="G4112" s="65">
        <v>0.01</v>
      </c>
      <c r="H4112" s="163">
        <f>G4112*F4112</f>
        <v>270</v>
      </c>
      <c r="I4112" s="44"/>
    </row>
    <row r="4113" spans="2:9" ht="14" thickBot="1" x14ac:dyDescent="0.2">
      <c r="B4113" s="25"/>
      <c r="C4113" s="26"/>
      <c r="D4113" s="27"/>
      <c r="E4113" s="21"/>
      <c r="F4113" s="22"/>
      <c r="G4113" s="165"/>
      <c r="H4113" s="47"/>
      <c r="I4113" s="48"/>
    </row>
    <row r="4114" spans="2:9" ht="14" thickBot="1" x14ac:dyDescent="0.2">
      <c r="B4114" s="1"/>
      <c r="C4114" s="1"/>
      <c r="D4114" s="1"/>
      <c r="E4114" s="1"/>
      <c r="F4114" s="1"/>
      <c r="G4114" s="1"/>
      <c r="H4114" s="37" t="s">
        <v>26</v>
      </c>
      <c r="I4114" s="161">
        <f>SUM(H4111:H4113)</f>
        <v>20520</v>
      </c>
    </row>
    <row r="4115" spans="2:9" ht="14" thickBot="1" x14ac:dyDescent="0.2">
      <c r="B4115" s="28" t="s">
        <v>31</v>
      </c>
      <c r="C4115" s="28"/>
      <c r="D4115" s="26"/>
      <c r="E4115" s="1"/>
      <c r="F4115" s="1"/>
      <c r="G4115" s="1"/>
      <c r="H4115" s="1"/>
      <c r="I4115" s="1"/>
    </row>
    <row r="4116" spans="2:9" x14ac:dyDescent="0.15">
      <c r="B4116" s="51" t="s">
        <v>32</v>
      </c>
      <c r="C4116" s="52"/>
      <c r="D4116" s="96" t="s">
        <v>33</v>
      </c>
      <c r="E4116" s="205" t="s">
        <v>34</v>
      </c>
      <c r="F4116" s="205" t="s">
        <v>35</v>
      </c>
      <c r="G4116" s="205" t="s">
        <v>36</v>
      </c>
      <c r="H4116" s="59" t="s">
        <v>25</v>
      </c>
      <c r="I4116" s="43"/>
    </row>
    <row r="4117" spans="2:9" x14ac:dyDescent="0.15">
      <c r="B4117" s="4" t="s">
        <v>79</v>
      </c>
      <c r="C4117" s="6"/>
      <c r="D4117" s="53">
        <v>2.5000000000000001E-2</v>
      </c>
      <c r="E4117" s="2">
        <v>43</v>
      </c>
      <c r="F4117" s="2">
        <f>E4117*D4117</f>
        <v>1.075</v>
      </c>
      <c r="G4117" s="160">
        <v>1100</v>
      </c>
      <c r="H4117" s="20">
        <f>G4117*F4117</f>
        <v>1182.5</v>
      </c>
      <c r="I4117" s="44"/>
    </row>
    <row r="4118" spans="2:9" ht="14" thickBot="1" x14ac:dyDescent="0.2">
      <c r="B4118" s="33"/>
      <c r="C4118" s="54"/>
      <c r="D4118" s="21"/>
      <c r="E4118" s="22"/>
      <c r="F4118" s="23"/>
      <c r="G4118" s="47"/>
      <c r="H4118" s="21"/>
      <c r="I4118" s="48"/>
    </row>
    <row r="4119" spans="2:9" ht="14" thickBot="1" x14ac:dyDescent="0.2">
      <c r="B4119" s="1"/>
      <c r="C4119" s="1"/>
      <c r="D4119" s="1"/>
      <c r="E4119" s="1"/>
      <c r="F4119" s="1"/>
      <c r="G4119" s="1"/>
      <c r="H4119" s="37" t="s">
        <v>26</v>
      </c>
      <c r="I4119" s="161">
        <f>SUM(H4117:H4118)</f>
        <v>1182.5</v>
      </c>
    </row>
    <row r="4120" spans="2:9" ht="14" thickBot="1" x14ac:dyDescent="0.2">
      <c r="B4120" s="28" t="s">
        <v>37</v>
      </c>
      <c r="C4120" s="28"/>
      <c r="D4120" s="1"/>
      <c r="E4120" s="1"/>
      <c r="F4120" s="1"/>
      <c r="G4120" s="1"/>
      <c r="H4120" s="1"/>
      <c r="I4120" s="1"/>
    </row>
    <row r="4121" spans="2:9" x14ac:dyDescent="0.15">
      <c r="B4121" s="51" t="s">
        <v>38</v>
      </c>
      <c r="C4121" s="86"/>
      <c r="D4121" s="31" t="s">
        <v>39</v>
      </c>
      <c r="E4121" s="205" t="s">
        <v>40</v>
      </c>
      <c r="F4121" s="19" t="s">
        <v>41</v>
      </c>
      <c r="G4121" s="31" t="s">
        <v>24</v>
      </c>
      <c r="H4121" s="59" t="s">
        <v>25</v>
      </c>
      <c r="I4121" s="43"/>
    </row>
    <row r="4122" spans="2:9" x14ac:dyDescent="0.15">
      <c r="B4122" s="4" t="s">
        <v>106</v>
      </c>
      <c r="C4122" s="24"/>
      <c r="D4122" s="32">
        <f>'[3]MANO DE OBRA'!E14</f>
        <v>81926</v>
      </c>
      <c r="E4122" s="166">
        <v>1.75</v>
      </c>
      <c r="F4122" s="162">
        <f>+E4122*D4122</f>
        <v>143370.5</v>
      </c>
      <c r="G4122" s="20">
        <v>80</v>
      </c>
      <c r="H4122" s="167">
        <f>+F4122/G4122</f>
        <v>1792.1312499999999</v>
      </c>
      <c r="I4122" s="44"/>
    </row>
    <row r="4123" spans="2:9" x14ac:dyDescent="0.15">
      <c r="B4123" s="4" t="s">
        <v>179</v>
      </c>
      <c r="C4123" s="24"/>
      <c r="D4123" s="32">
        <f>'[3]MANO DE OBRA'!E12</f>
        <v>44687</v>
      </c>
      <c r="E4123" s="166">
        <v>1.75</v>
      </c>
      <c r="F4123" s="162">
        <f>+E4123*D4123</f>
        <v>78202.25</v>
      </c>
      <c r="G4123" s="20">
        <v>80</v>
      </c>
      <c r="H4123" s="167">
        <f>+F4123/G4123</f>
        <v>977.52812500000005</v>
      </c>
      <c r="I4123" s="44"/>
    </row>
    <row r="4124" spans="2:9" ht="14" thickBot="1" x14ac:dyDescent="0.2">
      <c r="B4124" s="33"/>
      <c r="C4124" s="34"/>
      <c r="D4124" s="22"/>
      <c r="E4124" s="21"/>
      <c r="F4124" s="22"/>
      <c r="G4124" s="23"/>
      <c r="H4124" s="87"/>
      <c r="I4124" s="44"/>
    </row>
    <row r="4125" spans="2:9" ht="14" thickBot="1" x14ac:dyDescent="0.2">
      <c r="B4125" s="1"/>
      <c r="C4125" s="1"/>
      <c r="D4125" s="1"/>
      <c r="E4125" s="1"/>
      <c r="F4125" s="1"/>
      <c r="G4125" s="1"/>
      <c r="H4125" s="37" t="s">
        <v>26</v>
      </c>
      <c r="I4125" s="161">
        <f>SUM(H4122:H4124)</f>
        <v>2769.6593750000002</v>
      </c>
    </row>
    <row r="4126" spans="2:9" ht="14" thickBot="1" x14ac:dyDescent="0.2">
      <c r="B4126" s="1"/>
      <c r="C4126" s="1"/>
      <c r="D4126" s="1"/>
      <c r="E4126" s="1"/>
      <c r="F4126" s="1"/>
      <c r="G4126" s="1"/>
      <c r="H4126" s="61"/>
      <c r="I4126" s="1"/>
    </row>
    <row r="4127" spans="2:9" ht="15" thickBot="1" x14ac:dyDescent="0.2">
      <c r="B4127" s="1"/>
      <c r="C4127" s="1"/>
      <c r="D4127" s="1"/>
      <c r="E4127" s="1"/>
      <c r="F4127" s="35" t="s">
        <v>43</v>
      </c>
      <c r="G4127" s="16"/>
      <c r="H4127" s="16"/>
      <c r="I4127" s="325">
        <f>ROUND((I4108+I4114+I4119+I4125),0)</f>
        <v>24611</v>
      </c>
    </row>
    <row r="4128" spans="2:9" x14ac:dyDescent="0.15">
      <c r="B4128" s="12"/>
      <c r="C4128" s="12"/>
      <c r="D4128" s="1"/>
      <c r="E4128" s="1"/>
      <c r="F4128" s="1"/>
      <c r="G4128" s="1"/>
      <c r="H4128" s="170"/>
      <c r="I4128" s="170"/>
    </row>
    <row r="4129" spans="2:9" x14ac:dyDescent="0.15">
      <c r="B4129" s="16"/>
      <c r="C4129" s="16"/>
      <c r="D4129" s="16"/>
      <c r="E4129" s="16"/>
      <c r="F4129" s="16"/>
      <c r="G4129" s="61"/>
      <c r="H4129" s="171"/>
      <c r="I4129" s="170"/>
    </row>
    <row r="4130" spans="2:9" x14ac:dyDescent="0.15">
      <c r="B4130" s="1"/>
      <c r="C4130" s="1"/>
      <c r="D4130" s="1"/>
      <c r="E4130" s="1"/>
      <c r="F4130" s="1"/>
      <c r="G4130" s="159"/>
      <c r="H4130" s="170"/>
      <c r="I4130" s="170"/>
    </row>
    <row r="4131" spans="2:9" x14ac:dyDescent="0.15">
      <c r="B4131" s="1"/>
      <c r="C4131" s="1"/>
      <c r="D4131" s="1"/>
      <c r="E4131" s="1"/>
      <c r="F4131" s="1"/>
      <c r="G4131" s="159"/>
      <c r="H4131" s="170"/>
      <c r="I4131" s="170"/>
    </row>
    <row r="4132" spans="2:9" x14ac:dyDescent="0.15">
      <c r="B4132" s="1"/>
      <c r="C4132" s="1"/>
      <c r="D4132" s="1"/>
      <c r="E4132" s="1"/>
      <c r="F4132" s="1"/>
      <c r="G4132" s="159"/>
      <c r="H4132" s="170"/>
      <c r="I4132" s="170"/>
    </row>
    <row r="4133" spans="2:9" x14ac:dyDescent="0.15">
      <c r="B4133" s="1"/>
      <c r="C4133" s="1"/>
      <c r="D4133" s="1"/>
      <c r="E4133" s="1"/>
      <c r="F4133" s="1"/>
      <c r="G4133" s="1"/>
      <c r="H4133" s="37"/>
      <c r="I4133" s="170"/>
    </row>
    <row r="4134" spans="2:9" ht="14" x14ac:dyDescent="0.15">
      <c r="B4134" s="101"/>
      <c r="C4134" s="1"/>
      <c r="D4134" s="1"/>
      <c r="E4134" s="1"/>
      <c r="F4134" s="1"/>
      <c r="G4134" s="1"/>
      <c r="H4134" s="1"/>
      <c r="I4134" s="170"/>
    </row>
    <row r="4135" spans="2:9" ht="14" x14ac:dyDescent="0.15">
      <c r="B4135" s="83"/>
      <c r="C4135" s="11"/>
      <c r="D4135" s="1"/>
      <c r="E4135" s="637"/>
      <c r="F4135" s="637"/>
      <c r="G4135" s="637"/>
      <c r="H4135" s="637"/>
      <c r="I4135" s="169"/>
    </row>
    <row r="4136" spans="2:9" x14ac:dyDescent="0.15">
      <c r="B4136" s="11"/>
      <c r="C4136" s="11"/>
      <c r="D4136" s="1"/>
      <c r="E4136" s="153"/>
      <c r="F4136" s="153"/>
      <c r="G4136" s="153"/>
      <c r="H4136" s="153"/>
      <c r="I4136" s="169"/>
    </row>
    <row r="4137" spans="2:9" x14ac:dyDescent="0.15">
      <c r="B4137" s="11"/>
      <c r="C4137" s="11"/>
      <c r="D4137" s="1"/>
      <c r="E4137" s="153"/>
      <c r="F4137" s="153"/>
      <c r="G4137" s="153"/>
      <c r="H4137" s="153"/>
      <c r="I4137" s="169"/>
    </row>
    <row r="4138" spans="2:9" x14ac:dyDescent="0.15">
      <c r="B4138" s="11"/>
      <c r="C4138" s="11"/>
      <c r="D4138" s="1"/>
      <c r="E4138" s="153"/>
      <c r="F4138" s="153"/>
      <c r="G4138" s="153"/>
      <c r="H4138" s="153"/>
      <c r="I4138" s="169"/>
    </row>
    <row r="4139" spans="2:9" x14ac:dyDescent="0.15">
      <c r="B4139" s="11"/>
      <c r="C4139" s="11"/>
      <c r="D4139" s="1"/>
      <c r="E4139" s="153"/>
      <c r="F4139" s="153"/>
      <c r="G4139" s="153"/>
      <c r="H4139" s="153"/>
      <c r="I4139" s="169"/>
    </row>
    <row r="4140" spans="2:9" x14ac:dyDescent="0.15">
      <c r="B4140" s="11"/>
      <c r="C4140" s="11"/>
      <c r="D4140" s="1"/>
      <c r="E4140" s="153"/>
      <c r="F4140" s="153"/>
      <c r="G4140" s="153"/>
      <c r="H4140" s="153"/>
      <c r="I4140" s="169"/>
    </row>
    <row r="4141" spans="2:9" x14ac:dyDescent="0.15">
      <c r="B4141" s="11"/>
      <c r="C4141" s="11"/>
      <c r="D4141" s="1"/>
      <c r="E4141" s="153"/>
      <c r="F4141" s="153"/>
      <c r="G4141" s="153"/>
      <c r="H4141" s="153"/>
      <c r="I4141" s="169"/>
    </row>
    <row r="4142" spans="2:9" x14ac:dyDescent="0.15">
      <c r="B4142" s="11"/>
      <c r="C4142" s="11"/>
      <c r="D4142" s="1"/>
      <c r="E4142" s="153"/>
      <c r="F4142" s="153"/>
      <c r="G4142" s="153"/>
      <c r="H4142" s="153"/>
      <c r="I4142" s="169"/>
    </row>
    <row r="4143" spans="2:9" x14ac:dyDescent="0.15">
      <c r="B4143" s="11"/>
      <c r="C4143" s="11"/>
      <c r="D4143" s="1"/>
      <c r="E4143" s="153"/>
      <c r="F4143" s="153"/>
      <c r="G4143" s="153"/>
      <c r="H4143" s="153"/>
      <c r="I4143" s="169"/>
    </row>
    <row r="4144" spans="2:9" x14ac:dyDescent="0.15">
      <c r="B4144" s="11"/>
      <c r="C4144" s="11"/>
      <c r="D4144" s="1"/>
      <c r="E4144" s="153"/>
      <c r="F4144" s="153"/>
      <c r="G4144" s="153"/>
      <c r="H4144" s="153"/>
      <c r="I4144" s="169"/>
    </row>
    <row r="4145" spans="1:10" x14ac:dyDescent="0.15">
      <c r="B4145" s="11"/>
      <c r="C4145" s="11"/>
      <c r="D4145" s="1"/>
      <c r="E4145" s="153"/>
      <c r="F4145" s="153"/>
      <c r="G4145" s="153"/>
      <c r="H4145" s="153"/>
      <c r="I4145" s="169"/>
    </row>
    <row r="4146" spans="1:10" x14ac:dyDescent="0.15">
      <c r="B4146" s="11"/>
      <c r="C4146" s="11"/>
      <c r="D4146" s="1"/>
      <c r="E4146" s="153"/>
      <c r="F4146" s="153"/>
      <c r="G4146" s="153"/>
      <c r="H4146" s="153"/>
      <c r="I4146" s="169"/>
    </row>
    <row r="4147" spans="1:10" x14ac:dyDescent="0.15">
      <c r="B4147" s="11"/>
      <c r="C4147" s="11"/>
      <c r="D4147" s="1"/>
      <c r="E4147" s="153"/>
      <c r="F4147" s="153"/>
      <c r="G4147" s="153"/>
      <c r="H4147" s="153"/>
      <c r="I4147" s="169"/>
    </row>
    <row r="4148" spans="1:10" ht="13.5" customHeight="1" x14ac:dyDescent="0.15">
      <c r="B4148" s="11"/>
      <c r="C4148" s="11"/>
      <c r="D4148" s="1"/>
      <c r="E4148" s="153"/>
      <c r="F4148" s="153"/>
      <c r="G4148" s="153"/>
      <c r="H4148" s="153"/>
      <c r="I4148" s="169"/>
    </row>
    <row r="4149" spans="1:10" x14ac:dyDescent="0.15">
      <c r="B4149" s="11"/>
      <c r="C4149" s="11"/>
      <c r="D4149" s="1"/>
      <c r="E4149" s="153"/>
      <c r="F4149" s="153"/>
      <c r="G4149" s="153"/>
      <c r="H4149" s="153"/>
      <c r="I4149" s="169"/>
    </row>
    <row r="4150" spans="1:10" x14ac:dyDescent="0.15">
      <c r="B4150" s="11"/>
      <c r="C4150" s="11"/>
      <c r="D4150" s="1"/>
      <c r="E4150" s="153"/>
      <c r="F4150" s="153"/>
      <c r="G4150" s="153"/>
      <c r="H4150" s="153"/>
      <c r="I4150" s="169"/>
    </row>
    <row r="4151" spans="1:10" x14ac:dyDescent="0.15">
      <c r="B4151" s="11"/>
      <c r="C4151" s="11"/>
      <c r="D4151" s="1"/>
      <c r="E4151" s="153"/>
      <c r="F4151" s="153"/>
      <c r="G4151" s="153"/>
      <c r="H4151" s="153"/>
      <c r="I4151" s="169"/>
    </row>
    <row r="4152" spans="1:10" x14ac:dyDescent="0.15">
      <c r="B4152" s="11"/>
      <c r="C4152" s="11"/>
      <c r="D4152" s="1"/>
      <c r="E4152" s="153"/>
      <c r="F4152" s="153"/>
      <c r="G4152" s="153"/>
      <c r="H4152" s="153"/>
      <c r="I4152" s="169"/>
    </row>
    <row r="4153" spans="1:10" ht="14" x14ac:dyDescent="0.15">
      <c r="A4153" s="85"/>
      <c r="B4153" s="101"/>
      <c r="C4153" s="83"/>
      <c r="D4153" s="84"/>
      <c r="E4153" s="83"/>
      <c r="F4153" s="158"/>
      <c r="G4153" s="155"/>
      <c r="H4153" s="83"/>
      <c r="I4153" s="83"/>
      <c r="J4153" s="85"/>
    </row>
    <row r="4154" spans="1:10" ht="14" x14ac:dyDescent="0.15">
      <c r="A4154" s="85"/>
      <c r="B4154" s="83"/>
      <c r="C4154" s="83"/>
      <c r="D4154" s="84"/>
      <c r="E4154" s="83"/>
      <c r="F4154" s="154"/>
      <c r="G4154" s="155"/>
      <c r="H4154" s="156"/>
      <c r="I4154" s="157"/>
      <c r="J4154" s="85"/>
    </row>
    <row r="4155" spans="1:10" ht="14" x14ac:dyDescent="0.15">
      <c r="B4155" s="83"/>
      <c r="C4155" s="11"/>
      <c r="D4155" s="11"/>
      <c r="E4155" s="11"/>
      <c r="F4155" s="691"/>
      <c r="G4155" s="691"/>
      <c r="H4155" s="691"/>
      <c r="I4155" s="691"/>
    </row>
    <row r="4156" spans="1:10" ht="14" thickBot="1" x14ac:dyDescent="0.2">
      <c r="B4156" s="11"/>
      <c r="C4156" s="11"/>
      <c r="D4156" s="1"/>
      <c r="E4156" s="153"/>
      <c r="F4156" s="153"/>
      <c r="G4156" s="153"/>
      <c r="H4156" s="153"/>
      <c r="I4156" s="169"/>
    </row>
    <row r="4157" spans="1:10" ht="15.75" customHeight="1" x14ac:dyDescent="0.15">
      <c r="B4157" s="607" t="s">
        <v>1065</v>
      </c>
      <c r="C4157" s="608"/>
      <c r="D4157" s="608"/>
      <c r="E4157" s="608"/>
      <c r="F4157" s="609"/>
      <c r="G4157" s="1"/>
      <c r="H4157" s="638" t="s">
        <v>20</v>
      </c>
      <c r="I4157" s="639"/>
    </row>
    <row r="4158" spans="1:10" ht="15.75" customHeight="1" x14ac:dyDescent="0.15">
      <c r="B4158" s="604" t="s">
        <v>446</v>
      </c>
      <c r="C4158" s="605"/>
      <c r="D4158" s="605"/>
      <c r="E4158" s="605"/>
      <c r="F4158" s="606"/>
      <c r="G4158" s="63"/>
      <c r="H4158" s="640"/>
      <c r="I4158" s="641"/>
    </row>
    <row r="4159" spans="1:10" ht="12.75" customHeight="1" x14ac:dyDescent="0.15">
      <c r="B4159" s="610" t="s">
        <v>447</v>
      </c>
      <c r="C4159" s="611"/>
      <c r="D4159" s="611"/>
      <c r="E4159" s="611"/>
      <c r="F4159" s="612"/>
      <c r="G4159" s="63"/>
      <c r="H4159" s="642"/>
      <c r="I4159" s="643"/>
    </row>
    <row r="4160" spans="1:10" ht="13.5" customHeight="1" thickBot="1" x14ac:dyDescent="0.2">
      <c r="B4160" s="613"/>
      <c r="C4160" s="614"/>
      <c r="D4160" s="614"/>
      <c r="E4160" s="614"/>
      <c r="F4160" s="615"/>
      <c r="G4160" s="1"/>
      <c r="H4160" s="668" t="s">
        <v>855</v>
      </c>
      <c r="I4160" s="669"/>
    </row>
    <row r="4161" spans="2:9" ht="14" thickBot="1" x14ac:dyDescent="0.2">
      <c r="B4161" s="37"/>
      <c r="C4161" s="61"/>
      <c r="D4161" s="1"/>
      <c r="E4161" s="1"/>
      <c r="F4161" s="1"/>
      <c r="G4161" s="1"/>
      <c r="H4161" s="670"/>
      <c r="I4161" s="671"/>
    </row>
    <row r="4162" spans="2:9" ht="12.75" customHeight="1" x14ac:dyDescent="0.15">
      <c r="B4162" s="619" t="s">
        <v>1070</v>
      </c>
      <c r="C4162" s="620"/>
      <c r="D4162" s="620"/>
      <c r="E4162" s="620"/>
      <c r="F4162" s="621"/>
      <c r="G4162" s="1"/>
      <c r="H4162" s="670"/>
      <c r="I4162" s="671"/>
    </row>
    <row r="4163" spans="2:9" ht="12.75" customHeight="1" x14ac:dyDescent="0.15">
      <c r="B4163" s="622"/>
      <c r="C4163" s="623"/>
      <c r="D4163" s="623"/>
      <c r="E4163" s="623"/>
      <c r="F4163" s="624"/>
      <c r="H4163" s="670"/>
      <c r="I4163" s="671"/>
    </row>
    <row r="4164" spans="2:9" ht="12.75" customHeight="1" x14ac:dyDescent="0.15">
      <c r="B4164" s="622"/>
      <c r="C4164" s="623"/>
      <c r="D4164" s="623"/>
      <c r="E4164" s="623"/>
      <c r="F4164" s="624"/>
      <c r="G4164" s="11"/>
      <c r="H4164" s="672"/>
      <c r="I4164" s="673"/>
    </row>
    <row r="4165" spans="2:9" ht="13.5" customHeight="1" thickBot="1" x14ac:dyDescent="0.2">
      <c r="B4165" s="625"/>
      <c r="C4165" s="626"/>
      <c r="D4165" s="626"/>
      <c r="E4165" s="626"/>
      <c r="F4165" s="627"/>
      <c r="H4165" s="64" t="s">
        <v>45</v>
      </c>
      <c r="I4165" s="17" t="s">
        <v>316</v>
      </c>
    </row>
    <row r="4166" spans="2:9" x14ac:dyDescent="0.15">
      <c r="B4166" s="18"/>
      <c r="C4166" s="18"/>
      <c r="D4166" s="1"/>
      <c r="E4166" s="18"/>
      <c r="F4166" s="18"/>
      <c r="G4166" s="18"/>
      <c r="H4166" s="18"/>
      <c r="I4166" s="1"/>
    </row>
    <row r="4167" spans="2:9" ht="14" thickBot="1" x14ac:dyDescent="0.2">
      <c r="B4167" s="12" t="s">
        <v>21</v>
      </c>
      <c r="C4167" s="12"/>
      <c r="D4167" s="1"/>
      <c r="E4167" s="1"/>
      <c r="F4167" s="1"/>
      <c r="G4167" s="1"/>
      <c r="H4167" s="1"/>
      <c r="I4167" s="1"/>
    </row>
    <row r="4168" spans="2:9" x14ac:dyDescent="0.15">
      <c r="B4168" s="628" t="s">
        <v>22</v>
      </c>
      <c r="C4168" s="629"/>
      <c r="D4168" s="630"/>
      <c r="E4168" s="205" t="s">
        <v>23</v>
      </c>
      <c r="F4168" s="19" t="s">
        <v>47</v>
      </c>
      <c r="G4168" s="205" t="s">
        <v>24</v>
      </c>
      <c r="H4168" s="204" t="s">
        <v>25</v>
      </c>
      <c r="I4168" s="43"/>
    </row>
    <row r="4169" spans="2:9" x14ac:dyDescent="0.15">
      <c r="B4169" s="631" t="s">
        <v>56</v>
      </c>
      <c r="C4169" s="632"/>
      <c r="D4169" s="633"/>
      <c r="E4169" s="5"/>
      <c r="F4169" s="160"/>
      <c r="G4169" s="58"/>
      <c r="H4169" s="160">
        <f>I4188*0.05</f>
        <v>644.58187500000008</v>
      </c>
      <c r="I4169" s="44"/>
    </row>
    <row r="4170" spans="2:9" ht="14" thickBot="1" x14ac:dyDescent="0.2">
      <c r="B4170" s="634"/>
      <c r="C4170" s="635"/>
      <c r="D4170" s="636"/>
      <c r="E4170" s="21"/>
      <c r="F4170" s="22"/>
      <c r="G4170" s="23"/>
      <c r="H4170" s="47"/>
      <c r="I4170" s="48"/>
    </row>
    <row r="4171" spans="2:9" ht="14" thickBot="1" x14ac:dyDescent="0.2">
      <c r="B4171" s="1"/>
      <c r="C4171" s="1"/>
      <c r="D4171" s="1"/>
      <c r="E4171" s="1"/>
      <c r="F4171" s="1"/>
      <c r="G4171" s="1"/>
      <c r="H4171" s="37" t="s">
        <v>26</v>
      </c>
      <c r="I4171" s="161">
        <f>SUM(H4169:H4170)</f>
        <v>644.58187500000008</v>
      </c>
    </row>
    <row r="4172" spans="2:9" ht="14" thickBot="1" x14ac:dyDescent="0.2">
      <c r="B4172" s="12" t="s">
        <v>27</v>
      </c>
      <c r="C4172" s="12"/>
      <c r="D4172" s="1"/>
      <c r="E4172" s="1"/>
      <c r="F4172" s="1"/>
      <c r="G4172" s="1"/>
      <c r="H4172" s="1"/>
      <c r="I4172" s="1"/>
    </row>
    <row r="4173" spans="2:9" x14ac:dyDescent="0.15">
      <c r="B4173" s="628" t="s">
        <v>22</v>
      </c>
      <c r="C4173" s="629"/>
      <c r="D4173" s="630"/>
      <c r="E4173" s="205" t="s">
        <v>28</v>
      </c>
      <c r="F4173" s="205" t="s">
        <v>29</v>
      </c>
      <c r="G4173" s="205" t="s">
        <v>30</v>
      </c>
      <c r="H4173" s="204" t="s">
        <v>25</v>
      </c>
      <c r="I4173" s="43"/>
    </row>
    <row r="4174" spans="2:9" x14ac:dyDescent="0.15">
      <c r="B4174" s="4" t="s">
        <v>848</v>
      </c>
      <c r="C4174" s="24"/>
      <c r="D4174" s="6"/>
      <c r="E4174" s="3" t="s">
        <v>316</v>
      </c>
      <c r="F4174" s="162">
        <f>MATERIALES!C178</f>
        <v>29700.000000000004</v>
      </c>
      <c r="G4174" s="65">
        <v>1</v>
      </c>
      <c r="H4174" s="163">
        <f>G4174*F4174</f>
        <v>29700.000000000004</v>
      </c>
      <c r="I4174" s="44"/>
    </row>
    <row r="4175" spans="2:9" x14ac:dyDescent="0.15">
      <c r="B4175" s="4" t="s">
        <v>69</v>
      </c>
      <c r="C4175" s="24"/>
      <c r="D4175" s="6"/>
      <c r="E4175" s="3" t="s">
        <v>19</v>
      </c>
      <c r="F4175" s="164">
        <v>5000</v>
      </c>
      <c r="G4175" s="65">
        <v>1</v>
      </c>
      <c r="H4175" s="163">
        <f>G4175*F4175</f>
        <v>5000</v>
      </c>
      <c r="I4175" s="44"/>
    </row>
    <row r="4176" spans="2:9" ht="14" thickBot="1" x14ac:dyDescent="0.2">
      <c r="B4176" s="25"/>
      <c r="C4176" s="26"/>
      <c r="D4176" s="27"/>
      <c r="E4176" s="21"/>
      <c r="F4176" s="22"/>
      <c r="G4176" s="165"/>
      <c r="H4176" s="47"/>
      <c r="I4176" s="48"/>
    </row>
    <row r="4177" spans="2:9" ht="14" thickBot="1" x14ac:dyDescent="0.2">
      <c r="B4177" s="1"/>
      <c r="C4177" s="1"/>
      <c r="D4177" s="1"/>
      <c r="E4177" s="1"/>
      <c r="F4177" s="1"/>
      <c r="G4177" s="1"/>
      <c r="H4177" s="37" t="s">
        <v>26</v>
      </c>
      <c r="I4177" s="161">
        <f>SUM(H4174:H4175)</f>
        <v>34700</v>
      </c>
    </row>
    <row r="4178" spans="2:9" ht="14" thickBot="1" x14ac:dyDescent="0.2">
      <c r="B4178" s="28" t="s">
        <v>31</v>
      </c>
      <c r="C4178" s="28"/>
      <c r="D4178" s="26"/>
      <c r="E4178" s="1"/>
      <c r="F4178" s="1"/>
      <c r="G4178" s="1"/>
      <c r="H4178" s="1"/>
      <c r="I4178" s="1"/>
    </row>
    <row r="4179" spans="2:9" x14ac:dyDescent="0.15">
      <c r="B4179" s="51" t="s">
        <v>32</v>
      </c>
      <c r="C4179" s="52"/>
      <c r="D4179" s="96" t="s">
        <v>33</v>
      </c>
      <c r="E4179" s="205" t="s">
        <v>34</v>
      </c>
      <c r="F4179" s="205" t="s">
        <v>35</v>
      </c>
      <c r="G4179" s="205" t="s">
        <v>36</v>
      </c>
      <c r="H4179" s="59" t="s">
        <v>25</v>
      </c>
      <c r="I4179" s="43"/>
    </row>
    <row r="4180" spans="2:9" x14ac:dyDescent="0.15">
      <c r="B4180" s="4" t="s">
        <v>79</v>
      </c>
      <c r="C4180" s="6"/>
      <c r="D4180" s="53">
        <v>0.05</v>
      </c>
      <c r="E4180" s="2">
        <v>43</v>
      </c>
      <c r="F4180" s="2">
        <f>E4180*D4180</f>
        <v>2.15</v>
      </c>
      <c r="G4180" s="160">
        <v>1100</v>
      </c>
      <c r="H4180" s="20">
        <f>G4180*F4180</f>
        <v>2365</v>
      </c>
      <c r="I4180" s="44"/>
    </row>
    <row r="4181" spans="2:9" ht="14" thickBot="1" x14ac:dyDescent="0.2">
      <c r="B4181" s="33"/>
      <c r="C4181" s="54"/>
      <c r="D4181" s="21"/>
      <c r="E4181" s="22"/>
      <c r="F4181" s="23"/>
      <c r="G4181" s="47"/>
      <c r="H4181" s="21"/>
      <c r="I4181" s="48"/>
    </row>
    <row r="4182" spans="2:9" ht="14" thickBot="1" x14ac:dyDescent="0.2">
      <c r="B4182" s="1"/>
      <c r="C4182" s="1"/>
      <c r="D4182" s="1"/>
      <c r="E4182" s="1"/>
      <c r="F4182" s="1"/>
      <c r="G4182" s="1"/>
      <c r="H4182" s="37" t="s">
        <v>26</v>
      </c>
      <c r="I4182" s="161">
        <f>SUM(H4180:H4181)</f>
        <v>2365</v>
      </c>
    </row>
    <row r="4183" spans="2:9" ht="14" thickBot="1" x14ac:dyDescent="0.2">
      <c r="B4183" s="28" t="s">
        <v>37</v>
      </c>
      <c r="C4183" s="28"/>
      <c r="D4183" s="1"/>
      <c r="E4183" s="1"/>
      <c r="F4183" s="1"/>
      <c r="G4183" s="1"/>
      <c r="H4183" s="1"/>
      <c r="I4183" s="1"/>
    </row>
    <row r="4184" spans="2:9" x14ac:dyDescent="0.15">
      <c r="B4184" s="51" t="s">
        <v>38</v>
      </c>
      <c r="C4184" s="86"/>
      <c r="D4184" s="31" t="s">
        <v>39</v>
      </c>
      <c r="E4184" s="205" t="s">
        <v>40</v>
      </c>
      <c r="F4184" s="19" t="s">
        <v>41</v>
      </c>
      <c r="G4184" s="31" t="s">
        <v>24</v>
      </c>
      <c r="H4184" s="59" t="s">
        <v>25</v>
      </c>
      <c r="I4184" s="43"/>
    </row>
    <row r="4185" spans="2:9" x14ac:dyDescent="0.15">
      <c r="B4185" s="4" t="s">
        <v>106</v>
      </c>
      <c r="C4185" s="24"/>
      <c r="D4185" s="32">
        <f>'MANO DE OBRA'!E15</f>
        <v>95333</v>
      </c>
      <c r="E4185" s="166">
        <v>1.75</v>
      </c>
      <c r="F4185" s="162">
        <f>+E4185*D4185</f>
        <v>166832.75</v>
      </c>
      <c r="G4185" s="20">
        <v>20</v>
      </c>
      <c r="H4185" s="167">
        <f>+F4185/G4185</f>
        <v>8341.6375000000007</v>
      </c>
      <c r="I4185" s="44"/>
    </row>
    <row r="4186" spans="2:9" x14ac:dyDescent="0.15">
      <c r="B4186" s="4" t="s">
        <v>179</v>
      </c>
      <c r="C4186" s="24"/>
      <c r="D4186" s="32">
        <f>'MANO DE OBRA'!E14</f>
        <v>52000</v>
      </c>
      <c r="E4186" s="166">
        <v>1.75</v>
      </c>
      <c r="F4186" s="162">
        <f>+E4186*D4186</f>
        <v>91000</v>
      </c>
      <c r="G4186" s="20">
        <v>20</v>
      </c>
      <c r="H4186" s="167">
        <f>+F4186/G4186</f>
        <v>4550</v>
      </c>
      <c r="I4186" s="44"/>
    </row>
    <row r="4187" spans="2:9" ht="14" thickBot="1" x14ac:dyDescent="0.2">
      <c r="B4187" s="33"/>
      <c r="C4187" s="34"/>
      <c r="D4187" s="22"/>
      <c r="E4187" s="21"/>
      <c r="F4187" s="22"/>
      <c r="G4187" s="23"/>
      <c r="H4187" s="87"/>
      <c r="I4187" s="44"/>
    </row>
    <row r="4188" spans="2:9" ht="14" thickBot="1" x14ac:dyDescent="0.2">
      <c r="B4188" s="1"/>
      <c r="C4188" s="1"/>
      <c r="D4188" s="1"/>
      <c r="E4188" s="1"/>
      <c r="F4188" s="1"/>
      <c r="G4188" s="1"/>
      <c r="H4188" s="37" t="s">
        <v>26</v>
      </c>
      <c r="I4188" s="161">
        <f>SUM(H4185:H4187)</f>
        <v>12891.637500000001</v>
      </c>
    </row>
    <row r="4189" spans="2:9" ht="14" thickBot="1" x14ac:dyDescent="0.2">
      <c r="B4189" s="1"/>
      <c r="C4189" s="1"/>
      <c r="D4189" s="1"/>
      <c r="E4189" s="1"/>
      <c r="F4189" s="1"/>
      <c r="G4189" s="1"/>
      <c r="H4189" s="61"/>
      <c r="I4189" s="1"/>
    </row>
    <row r="4190" spans="2:9" ht="15" thickBot="1" x14ac:dyDescent="0.2">
      <c r="B4190" s="1"/>
      <c r="C4190" s="1"/>
      <c r="D4190" s="1"/>
      <c r="E4190" s="1"/>
      <c r="F4190" s="35" t="s">
        <v>43</v>
      </c>
      <c r="G4190" s="16"/>
      <c r="H4190" s="16"/>
      <c r="I4190" s="222">
        <f>ROUND((I4171+I4177+I4182+I4188),0)</f>
        <v>50601</v>
      </c>
    </row>
    <row r="4191" spans="2:9" x14ac:dyDescent="0.15">
      <c r="B4191" s="12"/>
      <c r="C4191" s="12"/>
      <c r="D4191" s="1"/>
      <c r="E4191" s="1"/>
      <c r="F4191" s="1"/>
      <c r="G4191" s="1"/>
      <c r="H4191" s="170"/>
      <c r="I4191" s="170"/>
    </row>
    <row r="4192" spans="2:9" x14ac:dyDescent="0.15">
      <c r="B4192" s="16"/>
      <c r="C4192" s="16"/>
      <c r="D4192" s="16"/>
      <c r="E4192" s="16"/>
      <c r="F4192" s="16"/>
      <c r="G4192" s="61"/>
      <c r="H4192" s="171"/>
      <c r="I4192" s="170"/>
    </row>
    <row r="4193" spans="2:9" x14ac:dyDescent="0.15">
      <c r="B4193" s="1"/>
      <c r="C4193" s="1"/>
      <c r="D4193" s="1"/>
      <c r="E4193" s="1"/>
      <c r="F4193" s="1"/>
      <c r="G4193" s="159"/>
      <c r="H4193" s="170"/>
      <c r="I4193" s="170"/>
    </row>
    <row r="4194" spans="2:9" x14ac:dyDescent="0.15">
      <c r="B4194" s="1"/>
      <c r="C4194" s="1"/>
      <c r="D4194" s="1"/>
      <c r="E4194" s="1"/>
      <c r="F4194" s="1"/>
      <c r="G4194" s="159"/>
      <c r="H4194" s="170"/>
      <c r="I4194" s="170"/>
    </row>
    <row r="4195" spans="2:9" x14ac:dyDescent="0.15">
      <c r="B4195" s="1"/>
      <c r="C4195" s="1"/>
      <c r="D4195" s="1"/>
      <c r="E4195" s="1"/>
      <c r="F4195" s="1"/>
      <c r="G4195" s="159"/>
      <c r="H4195" s="170"/>
      <c r="I4195" s="170"/>
    </row>
    <row r="4196" spans="2:9" x14ac:dyDescent="0.15">
      <c r="B4196" s="1"/>
      <c r="C4196" s="1"/>
      <c r="D4196" s="1"/>
      <c r="E4196" s="1"/>
      <c r="F4196" s="1"/>
      <c r="G4196" s="1"/>
      <c r="H4196" s="37"/>
      <c r="I4196" s="170"/>
    </row>
    <row r="4197" spans="2:9" ht="14" x14ac:dyDescent="0.15">
      <c r="B4197" s="101"/>
      <c r="C4197" s="1"/>
      <c r="D4197" s="1"/>
      <c r="E4197" s="1"/>
      <c r="F4197" s="1"/>
      <c r="G4197" s="1"/>
      <c r="H4197" s="1"/>
      <c r="I4197" s="170"/>
    </row>
    <row r="4198" spans="2:9" ht="14" x14ac:dyDescent="0.15">
      <c r="B4198" s="83"/>
      <c r="C4198" s="11"/>
      <c r="D4198" s="1"/>
      <c r="E4198" s="637"/>
      <c r="F4198" s="637"/>
      <c r="G4198" s="637"/>
      <c r="H4198" s="637"/>
      <c r="I4198" s="169"/>
    </row>
    <row r="4199" spans="2:9" ht="14" x14ac:dyDescent="0.15">
      <c r="B4199" s="83"/>
      <c r="C4199" s="11"/>
      <c r="D4199" s="1"/>
      <c r="E4199" s="153"/>
      <c r="F4199" s="153"/>
      <c r="G4199" s="153"/>
      <c r="H4199" s="153"/>
      <c r="I4199" s="169"/>
    </row>
    <row r="4200" spans="2:9" ht="14" x14ac:dyDescent="0.15">
      <c r="B4200" s="83"/>
      <c r="C4200" s="11"/>
      <c r="D4200" s="1"/>
      <c r="E4200" s="153"/>
      <c r="F4200" s="153"/>
      <c r="G4200" s="153"/>
      <c r="H4200" s="153"/>
      <c r="I4200" s="169"/>
    </row>
    <row r="4201" spans="2:9" ht="14" x14ac:dyDescent="0.15">
      <c r="B4201" s="83"/>
      <c r="C4201" s="11"/>
      <c r="D4201" s="1"/>
      <c r="E4201" s="153"/>
      <c r="F4201" s="153"/>
      <c r="G4201" s="153"/>
      <c r="H4201" s="153"/>
      <c r="I4201" s="169"/>
    </row>
    <row r="4202" spans="2:9" ht="14" x14ac:dyDescent="0.15">
      <c r="B4202" s="101"/>
      <c r="C4202" s="11"/>
      <c r="D4202" s="1"/>
      <c r="E4202" s="153"/>
      <c r="F4202" s="153"/>
      <c r="G4202" s="153"/>
      <c r="H4202" s="153"/>
      <c r="I4202" s="169"/>
    </row>
    <row r="4203" spans="2:9" ht="14" x14ac:dyDescent="0.15">
      <c r="B4203" s="83"/>
      <c r="C4203" s="11"/>
      <c r="D4203" s="1"/>
      <c r="E4203" s="153"/>
      <c r="F4203" s="153"/>
      <c r="G4203" s="153"/>
      <c r="H4203" s="153"/>
      <c r="I4203" s="169"/>
    </row>
    <row r="4204" spans="2:9" x14ac:dyDescent="0.15">
      <c r="B4204" s="11"/>
      <c r="C4204" s="11"/>
      <c r="D4204" s="1"/>
      <c r="E4204" s="153"/>
      <c r="F4204" s="153"/>
      <c r="G4204" s="153"/>
      <c r="H4204" s="153"/>
      <c r="I4204" s="169"/>
    </row>
    <row r="4205" spans="2:9" x14ac:dyDescent="0.15">
      <c r="B4205" s="11"/>
      <c r="C4205" s="11"/>
      <c r="D4205" s="1"/>
      <c r="E4205" s="153"/>
      <c r="F4205" s="153"/>
      <c r="G4205" s="153"/>
      <c r="H4205" s="153"/>
      <c r="I4205" s="169"/>
    </row>
    <row r="4206" spans="2:9" x14ac:dyDescent="0.15">
      <c r="B4206" s="11"/>
      <c r="C4206" s="11"/>
      <c r="D4206" s="1"/>
      <c r="E4206" s="153"/>
      <c r="F4206" s="153"/>
      <c r="G4206" s="153"/>
      <c r="H4206" s="153"/>
      <c r="I4206" s="169"/>
    </row>
    <row r="4207" spans="2:9" x14ac:dyDescent="0.15">
      <c r="B4207" s="11"/>
      <c r="C4207" s="11"/>
      <c r="D4207" s="1"/>
      <c r="E4207" s="153"/>
      <c r="F4207" s="153"/>
      <c r="G4207" s="153"/>
      <c r="H4207" s="153"/>
      <c r="I4207" s="169"/>
    </row>
    <row r="4208" spans="2:9" x14ac:dyDescent="0.15">
      <c r="B4208" s="11"/>
      <c r="C4208" s="11"/>
      <c r="D4208" s="1"/>
      <c r="E4208" s="153"/>
      <c r="F4208" s="153"/>
      <c r="G4208" s="153"/>
      <c r="H4208" s="153"/>
      <c r="I4208" s="169"/>
    </row>
    <row r="4209" spans="2:10" x14ac:dyDescent="0.15">
      <c r="B4209" s="11"/>
      <c r="C4209" s="11"/>
      <c r="D4209" s="1"/>
      <c r="E4209" s="153"/>
      <c r="F4209" s="153"/>
      <c r="G4209" s="153"/>
      <c r="H4209" s="153"/>
      <c r="I4209" s="169"/>
    </row>
    <row r="4210" spans="2:10" x14ac:dyDescent="0.15">
      <c r="B4210" s="11"/>
      <c r="C4210" s="11"/>
      <c r="D4210" s="1"/>
      <c r="E4210" s="153"/>
      <c r="F4210" s="153"/>
      <c r="G4210" s="153"/>
      <c r="H4210" s="153"/>
      <c r="I4210" s="169"/>
    </row>
    <row r="4211" spans="2:10" x14ac:dyDescent="0.15">
      <c r="B4211" s="11"/>
      <c r="C4211" s="11"/>
      <c r="D4211" s="1"/>
      <c r="E4211" s="153"/>
      <c r="F4211" s="153"/>
      <c r="G4211" s="153"/>
      <c r="H4211" s="153"/>
      <c r="I4211" s="169"/>
    </row>
    <row r="4212" spans="2:10" x14ac:dyDescent="0.15">
      <c r="B4212" s="11"/>
      <c r="C4212" s="11"/>
      <c r="D4212" s="1"/>
      <c r="E4212" s="153"/>
      <c r="F4212" s="153"/>
      <c r="G4212" s="153"/>
      <c r="H4212" s="153"/>
      <c r="I4212" s="169"/>
    </row>
    <row r="4213" spans="2:10" ht="14" x14ac:dyDescent="0.15">
      <c r="B4213" s="101"/>
      <c r="C4213" s="83"/>
      <c r="D4213" s="84"/>
      <c r="E4213" s="83"/>
      <c r="F4213" s="158"/>
      <c r="G4213" s="155"/>
      <c r="H4213" s="83"/>
      <c r="I4213" s="83"/>
      <c r="J4213" s="85"/>
    </row>
    <row r="4214" spans="2:10" ht="14" x14ac:dyDescent="0.15">
      <c r="B4214" s="83"/>
      <c r="C4214" s="83"/>
      <c r="D4214" s="84"/>
      <c r="E4214" s="83"/>
      <c r="F4214" s="154"/>
      <c r="G4214" s="155"/>
      <c r="H4214" s="156"/>
      <c r="I4214" s="157"/>
      <c r="J4214" s="85"/>
    </row>
    <row r="4215" spans="2:10" ht="14" x14ac:dyDescent="0.15">
      <c r="B4215" s="83"/>
      <c r="C4215" s="11"/>
      <c r="D4215" s="11"/>
      <c r="E4215" s="11"/>
      <c r="F4215" s="691"/>
      <c r="G4215" s="691"/>
      <c r="H4215" s="691"/>
      <c r="I4215" s="691"/>
    </row>
    <row r="4216" spans="2:10" x14ac:dyDescent="0.15">
      <c r="B4216" s="11"/>
      <c r="C4216" s="11"/>
      <c r="D4216" s="1"/>
      <c r="E4216" s="153"/>
      <c r="F4216" s="153"/>
      <c r="G4216" s="153"/>
      <c r="H4216" s="153"/>
      <c r="I4216" s="169"/>
    </row>
    <row r="4217" spans="2:10" ht="14" thickBot="1" x14ac:dyDescent="0.2"/>
    <row r="4218" spans="2:10" ht="15.75" customHeight="1" x14ac:dyDescent="0.15">
      <c r="B4218" s="607" t="s">
        <v>1065</v>
      </c>
      <c r="C4218" s="608"/>
      <c r="D4218" s="608"/>
      <c r="E4218" s="608"/>
      <c r="F4218" s="609"/>
      <c r="G4218" s="1"/>
      <c r="H4218" s="638" t="s">
        <v>20</v>
      </c>
      <c r="I4218" s="639"/>
    </row>
    <row r="4219" spans="2:10" ht="15.75" customHeight="1" x14ac:dyDescent="0.15">
      <c r="B4219" s="604" t="s">
        <v>446</v>
      </c>
      <c r="C4219" s="605"/>
      <c r="D4219" s="605"/>
      <c r="E4219" s="605"/>
      <c r="F4219" s="606"/>
      <c r="G4219" s="63"/>
      <c r="H4219" s="640"/>
      <c r="I4219" s="641"/>
    </row>
    <row r="4220" spans="2:10" ht="12.75" customHeight="1" x14ac:dyDescent="0.15">
      <c r="B4220" s="610" t="s">
        <v>447</v>
      </c>
      <c r="C4220" s="611"/>
      <c r="D4220" s="611"/>
      <c r="E4220" s="611"/>
      <c r="F4220" s="612"/>
      <c r="G4220" s="63"/>
      <c r="H4220" s="642"/>
      <c r="I4220" s="643"/>
    </row>
    <row r="4221" spans="2:10" ht="13.5" customHeight="1" thickBot="1" x14ac:dyDescent="0.2">
      <c r="B4221" s="613"/>
      <c r="C4221" s="614"/>
      <c r="D4221" s="614"/>
      <c r="E4221" s="614"/>
      <c r="F4221" s="615"/>
      <c r="G4221" s="1"/>
      <c r="H4221" s="676" t="s">
        <v>856</v>
      </c>
      <c r="I4221" s="677"/>
    </row>
    <row r="4222" spans="2:10" ht="14" thickBot="1" x14ac:dyDescent="0.2">
      <c r="B4222" s="37"/>
      <c r="C4222" s="61"/>
      <c r="D4222" s="1"/>
      <c r="E4222" s="1"/>
      <c r="F4222" s="1"/>
      <c r="G4222" s="1"/>
      <c r="H4222" s="678"/>
      <c r="I4222" s="679"/>
    </row>
    <row r="4223" spans="2:10" ht="12.75" customHeight="1" x14ac:dyDescent="0.15">
      <c r="B4223" s="619" t="s">
        <v>1070</v>
      </c>
      <c r="C4223" s="620"/>
      <c r="D4223" s="620"/>
      <c r="E4223" s="620"/>
      <c r="F4223" s="621"/>
      <c r="G4223" s="1"/>
      <c r="H4223" s="678"/>
      <c r="I4223" s="679"/>
    </row>
    <row r="4224" spans="2:10" ht="12.75" customHeight="1" x14ac:dyDescent="0.15">
      <c r="B4224" s="622"/>
      <c r="C4224" s="623"/>
      <c r="D4224" s="623"/>
      <c r="E4224" s="623"/>
      <c r="F4224" s="624"/>
      <c r="H4224" s="678"/>
      <c r="I4224" s="679"/>
    </row>
    <row r="4225" spans="2:9" ht="13.5" customHeight="1" x14ac:dyDescent="0.15">
      <c r="B4225" s="622"/>
      <c r="C4225" s="623"/>
      <c r="D4225" s="623"/>
      <c r="E4225" s="623"/>
      <c r="F4225" s="624"/>
      <c r="G4225" s="11"/>
      <c r="H4225" s="680"/>
      <c r="I4225" s="681"/>
    </row>
    <row r="4226" spans="2:9" ht="13.5" customHeight="1" thickBot="1" x14ac:dyDescent="0.2">
      <c r="B4226" s="625"/>
      <c r="C4226" s="626"/>
      <c r="D4226" s="626"/>
      <c r="E4226" s="626"/>
      <c r="F4226" s="627"/>
      <c r="H4226" s="64" t="s">
        <v>45</v>
      </c>
      <c r="I4226" s="17" t="s">
        <v>73</v>
      </c>
    </row>
    <row r="4227" spans="2:9" x14ac:dyDescent="0.15">
      <c r="B4227" s="18"/>
      <c r="C4227" s="18"/>
      <c r="D4227" s="1"/>
      <c r="E4227" s="18"/>
      <c r="F4227" s="18"/>
      <c r="G4227" s="18"/>
      <c r="H4227" s="18"/>
      <c r="I4227" s="1"/>
    </row>
    <row r="4228" spans="2:9" ht="14" thickBot="1" x14ac:dyDescent="0.2">
      <c r="B4228" s="12" t="s">
        <v>21</v>
      </c>
      <c r="C4228" s="12"/>
      <c r="D4228" s="1"/>
      <c r="E4228" s="1"/>
      <c r="F4228" s="1"/>
      <c r="G4228" s="1"/>
      <c r="H4228" s="1"/>
      <c r="I4228" s="1"/>
    </row>
    <row r="4229" spans="2:9" x14ac:dyDescent="0.15">
      <c r="B4229" s="628" t="s">
        <v>22</v>
      </c>
      <c r="C4229" s="629"/>
      <c r="D4229" s="630"/>
      <c r="E4229" s="205" t="s">
        <v>23</v>
      </c>
      <c r="F4229" s="19" t="s">
        <v>47</v>
      </c>
      <c r="G4229" s="205" t="s">
        <v>24</v>
      </c>
      <c r="H4229" s="204" t="s">
        <v>25</v>
      </c>
      <c r="I4229" s="43"/>
    </row>
    <row r="4230" spans="2:9" x14ac:dyDescent="0.15">
      <c r="B4230" s="631" t="s">
        <v>56</v>
      </c>
      <c r="C4230" s="632"/>
      <c r="D4230" s="633"/>
      <c r="E4230" s="5"/>
      <c r="F4230" s="409"/>
      <c r="G4230" s="58"/>
      <c r="H4230" s="409">
        <f>I4251*0.05</f>
        <v>358.63953947368429</v>
      </c>
      <c r="I4230" s="44"/>
    </row>
    <row r="4231" spans="2:9" ht="14" thickBot="1" x14ac:dyDescent="0.2">
      <c r="B4231" s="634"/>
      <c r="C4231" s="635"/>
      <c r="D4231" s="636"/>
      <c r="E4231" s="21"/>
      <c r="F4231" s="22"/>
      <c r="G4231" s="23"/>
      <c r="H4231" s="47"/>
      <c r="I4231" s="48"/>
    </row>
    <row r="4232" spans="2:9" ht="14" thickBot="1" x14ac:dyDescent="0.2">
      <c r="B4232" s="1"/>
      <c r="C4232" s="1"/>
      <c r="D4232" s="1"/>
      <c r="E4232" s="1"/>
      <c r="F4232" s="1"/>
      <c r="G4232" s="1"/>
      <c r="H4232" s="37" t="s">
        <v>26</v>
      </c>
      <c r="I4232" s="405">
        <f>SUM(H4230:H4231)</f>
        <v>358.63953947368429</v>
      </c>
    </row>
    <row r="4233" spans="2:9" ht="14" thickBot="1" x14ac:dyDescent="0.2">
      <c r="B4233" s="12" t="s">
        <v>27</v>
      </c>
      <c r="C4233" s="12"/>
      <c r="D4233" s="1"/>
      <c r="E4233" s="1"/>
      <c r="F4233" s="1"/>
      <c r="G4233" s="1"/>
      <c r="H4233" s="1"/>
      <c r="I4233" s="1"/>
    </row>
    <row r="4234" spans="2:9" x14ac:dyDescent="0.15">
      <c r="B4234" s="628" t="s">
        <v>22</v>
      </c>
      <c r="C4234" s="629"/>
      <c r="D4234" s="630"/>
      <c r="E4234" s="205" t="s">
        <v>28</v>
      </c>
      <c r="F4234" s="205" t="s">
        <v>29</v>
      </c>
      <c r="G4234" s="205" t="s">
        <v>30</v>
      </c>
      <c r="H4234" s="204" t="s">
        <v>25</v>
      </c>
      <c r="I4234" s="43"/>
    </row>
    <row r="4235" spans="2:9" x14ac:dyDescent="0.15">
      <c r="B4235" s="4" t="s">
        <v>858</v>
      </c>
      <c r="C4235" s="24"/>
      <c r="D4235" s="6"/>
      <c r="E4235" s="3" t="s">
        <v>426</v>
      </c>
      <c r="F4235" s="408">
        <f>MATERIALES!C174</f>
        <v>14175.000000000002</v>
      </c>
      <c r="G4235" s="65">
        <v>1</v>
      </c>
      <c r="H4235" s="407">
        <f>G4235*F4235</f>
        <v>14175.000000000002</v>
      </c>
      <c r="I4235" s="44"/>
    </row>
    <row r="4236" spans="2:9" x14ac:dyDescent="0.15">
      <c r="B4236" s="4" t="s">
        <v>71</v>
      </c>
      <c r="C4236" s="24"/>
      <c r="D4236" s="6"/>
      <c r="E4236" s="3" t="s">
        <v>44</v>
      </c>
      <c r="F4236" s="408">
        <f>MATERIALES!C165</f>
        <v>27000</v>
      </c>
      <c r="G4236" s="65">
        <v>0.01</v>
      </c>
      <c r="H4236" s="407">
        <f>G4236*F4236</f>
        <v>270</v>
      </c>
      <c r="I4236" s="44"/>
    </row>
    <row r="4237" spans="2:9" ht="14" thickBot="1" x14ac:dyDescent="0.2">
      <c r="B4237" s="25"/>
      <c r="C4237" s="26"/>
      <c r="D4237" s="27"/>
      <c r="E4237" s="21"/>
      <c r="F4237" s="22"/>
      <c r="G4237" s="406"/>
      <c r="H4237" s="47"/>
      <c r="I4237" s="48"/>
    </row>
    <row r="4238" spans="2:9" ht="14" thickBot="1" x14ac:dyDescent="0.2">
      <c r="B4238" s="1"/>
      <c r="C4238" s="1"/>
      <c r="D4238" s="1"/>
      <c r="E4238" s="1"/>
      <c r="F4238" s="1"/>
      <c r="G4238" s="1"/>
      <c r="H4238" s="37" t="s">
        <v>26</v>
      </c>
      <c r="I4238" s="405">
        <f>SUM(H4235:H4237)</f>
        <v>14445.000000000002</v>
      </c>
    </row>
    <row r="4239" spans="2:9" ht="14" thickBot="1" x14ac:dyDescent="0.2">
      <c r="B4239" s="28" t="s">
        <v>31</v>
      </c>
      <c r="C4239" s="28"/>
      <c r="D4239" s="26"/>
      <c r="E4239" s="1"/>
      <c r="F4239" s="1"/>
      <c r="G4239" s="1"/>
      <c r="H4239" s="1"/>
      <c r="I4239" s="1"/>
    </row>
    <row r="4240" spans="2:9" x14ac:dyDescent="0.15">
      <c r="B4240" s="51" t="s">
        <v>32</v>
      </c>
      <c r="C4240" s="52"/>
      <c r="D4240" s="291" t="s">
        <v>33</v>
      </c>
      <c r="E4240" s="205" t="s">
        <v>34</v>
      </c>
      <c r="F4240" s="205" t="s">
        <v>35</v>
      </c>
      <c r="G4240" s="205" t="s">
        <v>36</v>
      </c>
      <c r="H4240" s="59" t="s">
        <v>25</v>
      </c>
      <c r="I4240" s="43"/>
    </row>
    <row r="4241" spans="2:9" x14ac:dyDescent="0.15">
      <c r="B4241" s="4" t="s">
        <v>79</v>
      </c>
      <c r="C4241" s="6"/>
      <c r="D4241" s="53">
        <v>0.05</v>
      </c>
      <c r="E4241" s="2">
        <v>43</v>
      </c>
      <c r="F4241" s="2">
        <f>E4241*D4241</f>
        <v>2.15</v>
      </c>
      <c r="G4241" s="160">
        <v>1100</v>
      </c>
      <c r="H4241" s="20">
        <f>G4241*F4241</f>
        <v>2365</v>
      </c>
      <c r="I4241" s="44"/>
    </row>
    <row r="4242" spans="2:9" x14ac:dyDescent="0.15">
      <c r="B4242" s="310"/>
      <c r="C4242" s="66"/>
      <c r="D4242" s="67"/>
      <c r="E4242" s="68"/>
      <c r="F4242" s="68"/>
      <c r="G4242" s="69"/>
      <c r="H4242" s="65"/>
      <c r="I4242" s="44"/>
    </row>
    <row r="4243" spans="2:9" ht="14" thickBot="1" x14ac:dyDescent="0.2">
      <c r="B4243" s="33"/>
      <c r="C4243" s="54"/>
      <c r="D4243" s="21"/>
      <c r="E4243" s="22"/>
      <c r="F4243" s="23"/>
      <c r="G4243" s="47"/>
      <c r="H4243" s="21"/>
      <c r="I4243" s="44"/>
    </row>
    <row r="4244" spans="2:9" ht="14" thickBot="1" x14ac:dyDescent="0.2">
      <c r="B4244" s="1"/>
      <c r="C4244" s="1"/>
      <c r="D4244" s="1"/>
      <c r="E4244" s="1"/>
      <c r="F4244" s="1"/>
      <c r="G4244" s="1"/>
      <c r="H4244" s="37" t="s">
        <v>26</v>
      </c>
      <c r="I4244" s="405">
        <f>SUM(H4241:H4243)</f>
        <v>2365</v>
      </c>
    </row>
    <row r="4245" spans="2:9" ht="14" thickBot="1" x14ac:dyDescent="0.2">
      <c r="B4245" s="28" t="s">
        <v>37</v>
      </c>
      <c r="C4245" s="28"/>
      <c r="D4245" s="1"/>
      <c r="E4245" s="1"/>
      <c r="F4245" s="1"/>
      <c r="G4245" s="1"/>
      <c r="H4245" s="1"/>
      <c r="I4245" s="1"/>
    </row>
    <row r="4246" spans="2:9" x14ac:dyDescent="0.15">
      <c r="B4246" s="51" t="s">
        <v>38</v>
      </c>
      <c r="C4246" s="86"/>
      <c r="D4246" s="31" t="s">
        <v>39</v>
      </c>
      <c r="E4246" s="205" t="s">
        <v>40</v>
      </c>
      <c r="F4246" s="19" t="s">
        <v>41</v>
      </c>
      <c r="G4246" s="31" t="s">
        <v>24</v>
      </c>
      <c r="H4246" s="204" t="s">
        <v>25</v>
      </c>
      <c r="I4246" s="43"/>
    </row>
    <row r="4247" spans="2:9" x14ac:dyDescent="0.15">
      <c r="B4247" s="4" t="s">
        <v>106</v>
      </c>
      <c r="C4247" s="24"/>
      <c r="D4247" s="32">
        <f>'MANO DE OBRA'!E16</f>
        <v>95333</v>
      </c>
      <c r="E4247" s="402">
        <v>1.85</v>
      </c>
      <c r="F4247" s="404">
        <f>+E4247*D4247</f>
        <v>176366.05000000002</v>
      </c>
      <c r="G4247" s="20">
        <v>38</v>
      </c>
      <c r="H4247" s="403">
        <f>+F4247/G4247</f>
        <v>4641.2118421052637</v>
      </c>
      <c r="I4247" s="44"/>
    </row>
    <row r="4248" spans="2:9" x14ac:dyDescent="0.15">
      <c r="B4248" s="4" t="s">
        <v>72</v>
      </c>
      <c r="C4248" s="24"/>
      <c r="D4248" s="32">
        <f>'MANO DE OBRA'!E14</f>
        <v>52000</v>
      </c>
      <c r="E4248" s="402">
        <v>1.85</v>
      </c>
      <c r="F4248" s="404">
        <f>+E4248*D4248</f>
        <v>96200</v>
      </c>
      <c r="G4248" s="20">
        <v>38</v>
      </c>
      <c r="H4248" s="403">
        <f>+F4248/G4248</f>
        <v>2531.5789473684213</v>
      </c>
      <c r="I4248" s="44"/>
    </row>
    <row r="4249" spans="2:9" x14ac:dyDescent="0.15">
      <c r="B4249" s="4"/>
      <c r="C4249" s="24"/>
      <c r="D4249" s="32"/>
      <c r="E4249" s="402"/>
      <c r="F4249" s="20"/>
      <c r="G4249" s="20"/>
      <c r="H4249" s="55"/>
      <c r="I4249" s="44"/>
    </row>
    <row r="4250" spans="2:9" ht="14" thickBot="1" x14ac:dyDescent="0.2">
      <c r="B4250" s="33"/>
      <c r="C4250" s="34"/>
      <c r="D4250" s="22"/>
      <c r="E4250" s="21"/>
      <c r="F4250" s="22"/>
      <c r="G4250" s="23"/>
      <c r="H4250" s="47"/>
      <c r="I4250" s="48"/>
    </row>
    <row r="4251" spans="2:9" ht="14" thickBot="1" x14ac:dyDescent="0.2">
      <c r="B4251" s="1"/>
      <c r="C4251" s="1"/>
      <c r="D4251" s="1"/>
      <c r="E4251" s="1"/>
      <c r="F4251" s="1"/>
      <c r="G4251" s="1"/>
      <c r="H4251" s="37" t="s">
        <v>26</v>
      </c>
      <c r="I4251" s="401">
        <f>SUM(H4247:H4250)</f>
        <v>7172.7907894736854</v>
      </c>
    </row>
    <row r="4252" spans="2:9" ht="14" thickBot="1" x14ac:dyDescent="0.2">
      <c r="B4252" s="1"/>
      <c r="C4252" s="1"/>
      <c r="D4252" s="1"/>
      <c r="E4252" s="1"/>
      <c r="F4252" s="1"/>
      <c r="G4252" s="1"/>
      <c r="H4252" s="61"/>
      <c r="I4252" s="1"/>
    </row>
    <row r="4253" spans="2:9" ht="15" thickBot="1" x14ac:dyDescent="0.2">
      <c r="B4253" s="1"/>
      <c r="C4253" s="1"/>
      <c r="D4253" s="1"/>
      <c r="E4253" s="1"/>
      <c r="F4253" s="35" t="s">
        <v>43</v>
      </c>
      <c r="G4253" s="16"/>
      <c r="H4253" s="16"/>
      <c r="I4253" s="325">
        <f>ROUND((I4232+I4238+I4244+I4251),0)</f>
        <v>24341</v>
      </c>
    </row>
    <row r="4254" spans="2:9" ht="14" x14ac:dyDescent="0.15">
      <c r="B4254" s="1"/>
      <c r="C4254" s="1"/>
      <c r="D4254" s="1"/>
      <c r="E4254" s="1"/>
      <c r="F4254" s="15"/>
      <c r="G4254" s="16"/>
      <c r="H4254" s="16"/>
      <c r="I4254" s="400"/>
    </row>
    <row r="4255" spans="2:9" ht="14" x14ac:dyDescent="0.15">
      <c r="B4255" s="1"/>
      <c r="C4255" s="1"/>
      <c r="D4255" s="1"/>
      <c r="E4255" s="1"/>
      <c r="F4255" s="15"/>
      <c r="G4255" s="16"/>
      <c r="H4255" s="16"/>
      <c r="I4255" s="400"/>
    </row>
    <row r="4256" spans="2:9" ht="14" x14ac:dyDescent="0.15">
      <c r="B4256" s="1"/>
      <c r="C4256" s="1"/>
      <c r="D4256" s="1"/>
      <c r="E4256" s="1"/>
      <c r="F4256" s="15"/>
      <c r="G4256" s="16"/>
      <c r="H4256" s="16"/>
      <c r="I4256" s="400"/>
    </row>
    <row r="4257" spans="2:9" ht="14" x14ac:dyDescent="0.15">
      <c r="B4257" s="1"/>
      <c r="C4257" s="1"/>
      <c r="D4257" s="1"/>
      <c r="E4257" s="1"/>
      <c r="F4257" s="15"/>
      <c r="G4257" s="16"/>
      <c r="H4257" s="16"/>
      <c r="I4257" s="400"/>
    </row>
    <row r="4258" spans="2:9" ht="14" x14ac:dyDescent="0.15">
      <c r="B4258" s="1"/>
      <c r="C4258" s="1"/>
      <c r="D4258" s="1"/>
      <c r="E4258" s="1"/>
      <c r="F4258" s="15"/>
      <c r="G4258" s="16"/>
      <c r="H4258" s="16"/>
      <c r="I4258" s="400"/>
    </row>
    <row r="4259" spans="2:9" ht="14" x14ac:dyDescent="0.15">
      <c r="B4259" s="1"/>
      <c r="C4259" s="1"/>
      <c r="D4259" s="1"/>
      <c r="E4259" s="1"/>
      <c r="F4259" s="15"/>
      <c r="G4259" s="16"/>
      <c r="H4259" s="16"/>
      <c r="I4259" s="400"/>
    </row>
    <row r="4260" spans="2:9" ht="14" x14ac:dyDescent="0.15">
      <c r="B4260" s="1"/>
      <c r="C4260" s="1"/>
      <c r="D4260" s="1"/>
      <c r="E4260" s="1"/>
      <c r="F4260" s="15"/>
      <c r="G4260" s="16"/>
      <c r="H4260" s="16"/>
      <c r="I4260" s="400"/>
    </row>
    <row r="4261" spans="2:9" ht="14" x14ac:dyDescent="0.15">
      <c r="B4261" s="1"/>
      <c r="C4261" s="1"/>
      <c r="D4261" s="1"/>
      <c r="E4261" s="1"/>
      <c r="F4261" s="15"/>
      <c r="G4261" s="16"/>
      <c r="H4261" s="16"/>
      <c r="I4261" s="400"/>
    </row>
    <row r="4262" spans="2:9" ht="14" x14ac:dyDescent="0.15">
      <c r="B4262" s="1"/>
      <c r="C4262" s="1"/>
      <c r="D4262" s="1"/>
      <c r="E4262" s="1"/>
      <c r="F4262" s="15"/>
      <c r="G4262" s="16"/>
      <c r="H4262" s="16"/>
      <c r="I4262" s="400"/>
    </row>
    <row r="4263" spans="2:9" ht="14" x14ac:dyDescent="0.15">
      <c r="B4263" s="1"/>
      <c r="C4263" s="1"/>
      <c r="D4263" s="1"/>
      <c r="E4263" s="1"/>
      <c r="F4263" s="15"/>
      <c r="G4263" s="16"/>
      <c r="H4263" s="16"/>
      <c r="I4263" s="400"/>
    </row>
    <row r="4264" spans="2:9" ht="14" x14ac:dyDescent="0.15">
      <c r="B4264" s="1"/>
      <c r="C4264" s="1"/>
      <c r="D4264" s="1"/>
      <c r="E4264" s="1"/>
      <c r="F4264" s="15"/>
      <c r="G4264" s="16"/>
      <c r="H4264" s="16"/>
      <c r="I4264" s="400"/>
    </row>
    <row r="4265" spans="2:9" ht="14" x14ac:dyDescent="0.15">
      <c r="B4265" s="1"/>
      <c r="C4265" s="1"/>
      <c r="D4265" s="1"/>
      <c r="E4265" s="1"/>
      <c r="F4265" s="15"/>
      <c r="G4265" s="16"/>
      <c r="H4265" s="16"/>
      <c r="I4265" s="400"/>
    </row>
    <row r="4266" spans="2:9" x14ac:dyDescent="0.15">
      <c r="B4266" s="11"/>
      <c r="C4266" s="11"/>
      <c r="D4266" s="1"/>
      <c r="E4266" s="153"/>
      <c r="F4266" s="153"/>
      <c r="G4266" s="153"/>
      <c r="H4266" s="153"/>
      <c r="I4266" s="62"/>
    </row>
    <row r="4267" spans="2:9" x14ac:dyDescent="0.15">
      <c r="B4267" s="11"/>
      <c r="C4267" s="11"/>
      <c r="D4267" s="1"/>
      <c r="E4267" s="153"/>
      <c r="F4267" s="153"/>
      <c r="G4267" s="153"/>
      <c r="H4267" s="153"/>
      <c r="I4267" s="62"/>
    </row>
    <row r="4268" spans="2:9" x14ac:dyDescent="0.15">
      <c r="B4268" s="11"/>
      <c r="C4268" s="11"/>
      <c r="D4268" s="1"/>
      <c r="E4268" s="153"/>
      <c r="F4268" s="153"/>
      <c r="G4268" s="153"/>
      <c r="H4268" s="153"/>
      <c r="I4268" s="62"/>
    </row>
    <row r="4269" spans="2:9" x14ac:dyDescent="0.15">
      <c r="B4269" s="11"/>
      <c r="C4269" s="11"/>
      <c r="D4269" s="1"/>
      <c r="E4269" s="153"/>
      <c r="F4269" s="153"/>
      <c r="G4269" s="153"/>
      <c r="H4269" s="153"/>
      <c r="I4269" s="62"/>
    </row>
    <row r="4270" spans="2:9" x14ac:dyDescent="0.15">
      <c r="B4270" s="11"/>
      <c r="C4270" s="11"/>
      <c r="D4270" s="1"/>
      <c r="E4270" s="153"/>
      <c r="F4270" s="153"/>
      <c r="G4270" s="153"/>
      <c r="H4270" s="153"/>
      <c r="I4270" s="62"/>
    </row>
    <row r="4271" spans="2:9" x14ac:dyDescent="0.15">
      <c r="B4271" s="11"/>
      <c r="C4271" s="11"/>
      <c r="D4271" s="1"/>
      <c r="E4271" s="153"/>
      <c r="F4271" s="153"/>
      <c r="G4271" s="153"/>
      <c r="H4271" s="153"/>
      <c r="I4271" s="62"/>
    </row>
    <row r="4272" spans="2:9" x14ac:dyDescent="0.15">
      <c r="B4272" s="11"/>
      <c r="C4272" s="11"/>
      <c r="D4272" s="1"/>
      <c r="E4272" s="153"/>
      <c r="F4272" s="153"/>
      <c r="G4272" s="153"/>
      <c r="H4272" s="153"/>
      <c r="I4272" s="62"/>
    </row>
    <row r="4273" spans="2:9" x14ac:dyDescent="0.15">
      <c r="B4273" s="11"/>
      <c r="C4273" s="11"/>
      <c r="D4273" s="1"/>
      <c r="E4273" s="153"/>
      <c r="F4273" s="153"/>
      <c r="G4273" s="153"/>
      <c r="H4273" s="153"/>
      <c r="I4273" s="62"/>
    </row>
    <row r="4278" spans="2:9" ht="14" thickBot="1" x14ac:dyDescent="0.2"/>
    <row r="4279" spans="2:9" ht="21" customHeight="1" x14ac:dyDescent="0.15">
      <c r="B4279" s="607" t="s">
        <v>1065</v>
      </c>
      <c r="C4279" s="608"/>
      <c r="D4279" s="608"/>
      <c r="E4279" s="608"/>
      <c r="F4279" s="609"/>
      <c r="G4279" s="1"/>
      <c r="H4279" s="638" t="s">
        <v>20</v>
      </c>
      <c r="I4279" s="639"/>
    </row>
    <row r="4280" spans="2:9" ht="16.5" customHeight="1" x14ac:dyDescent="0.15">
      <c r="B4280" s="604" t="s">
        <v>446</v>
      </c>
      <c r="C4280" s="605"/>
      <c r="D4280" s="605"/>
      <c r="E4280" s="605"/>
      <c r="F4280" s="606"/>
      <c r="G4280" s="63"/>
      <c r="H4280" s="640"/>
      <c r="I4280" s="641"/>
    </row>
    <row r="4281" spans="2:9" ht="12.75" customHeight="1" x14ac:dyDescent="0.15">
      <c r="B4281" s="610" t="s">
        <v>447</v>
      </c>
      <c r="C4281" s="611"/>
      <c r="D4281" s="611"/>
      <c r="E4281" s="611"/>
      <c r="F4281" s="612"/>
      <c r="G4281" s="63"/>
      <c r="H4281" s="642"/>
      <c r="I4281" s="643"/>
    </row>
    <row r="4282" spans="2:9" ht="16.5" customHeight="1" thickBot="1" x14ac:dyDescent="0.2">
      <c r="B4282" s="613"/>
      <c r="C4282" s="614"/>
      <c r="D4282" s="614"/>
      <c r="E4282" s="614"/>
      <c r="F4282" s="615"/>
      <c r="G4282" s="1"/>
      <c r="H4282" s="676" t="s">
        <v>857</v>
      </c>
      <c r="I4282" s="677"/>
    </row>
    <row r="4283" spans="2:9" ht="14" thickBot="1" x14ac:dyDescent="0.2">
      <c r="B4283" s="37"/>
      <c r="C4283" s="61"/>
      <c r="D4283" s="1"/>
      <c r="E4283" s="1"/>
      <c r="F4283" s="1"/>
      <c r="G4283" s="1"/>
      <c r="H4283" s="678"/>
      <c r="I4283" s="679"/>
    </row>
    <row r="4284" spans="2:9" ht="12.75" customHeight="1" x14ac:dyDescent="0.15">
      <c r="B4284" s="619" t="s">
        <v>1070</v>
      </c>
      <c r="C4284" s="620"/>
      <c r="D4284" s="620"/>
      <c r="E4284" s="620"/>
      <c r="F4284" s="621"/>
      <c r="G4284" s="1"/>
      <c r="H4284" s="678"/>
      <c r="I4284" s="679"/>
    </row>
    <row r="4285" spans="2:9" ht="12.75" customHeight="1" x14ac:dyDescent="0.15">
      <c r="B4285" s="622"/>
      <c r="C4285" s="623"/>
      <c r="D4285" s="623"/>
      <c r="E4285" s="623"/>
      <c r="F4285" s="624"/>
      <c r="H4285" s="678"/>
      <c r="I4285" s="679"/>
    </row>
    <row r="4286" spans="2:9" ht="13.5" customHeight="1" x14ac:dyDescent="0.15">
      <c r="B4286" s="622"/>
      <c r="C4286" s="623"/>
      <c r="D4286" s="623"/>
      <c r="E4286" s="623"/>
      <c r="F4286" s="624"/>
      <c r="G4286" s="11"/>
      <c r="H4286" s="680"/>
      <c r="I4286" s="681"/>
    </row>
    <row r="4287" spans="2:9" ht="21.75" customHeight="1" thickBot="1" x14ac:dyDescent="0.2">
      <c r="B4287" s="625"/>
      <c r="C4287" s="626"/>
      <c r="D4287" s="626"/>
      <c r="E4287" s="626"/>
      <c r="F4287" s="627"/>
      <c r="H4287" s="64" t="s">
        <v>45</v>
      </c>
      <c r="I4287" s="17" t="s">
        <v>73</v>
      </c>
    </row>
    <row r="4288" spans="2:9" x14ac:dyDescent="0.15">
      <c r="B4288" s="18"/>
      <c r="C4288" s="18"/>
      <c r="D4288" s="1"/>
      <c r="E4288" s="18"/>
      <c r="F4288" s="18"/>
      <c r="G4288" s="18"/>
      <c r="H4288" s="18"/>
      <c r="I4288" s="1"/>
    </row>
    <row r="4289" spans="2:9" ht="14" thickBot="1" x14ac:dyDescent="0.2">
      <c r="B4289" s="12" t="s">
        <v>21</v>
      </c>
      <c r="C4289" s="12"/>
      <c r="D4289" s="1"/>
      <c r="E4289" s="1"/>
      <c r="F4289" s="1"/>
      <c r="G4289" s="1"/>
      <c r="H4289" s="1"/>
      <c r="I4289" s="1"/>
    </row>
    <row r="4290" spans="2:9" x14ac:dyDescent="0.15">
      <c r="B4290" s="628" t="s">
        <v>22</v>
      </c>
      <c r="C4290" s="629"/>
      <c r="D4290" s="630"/>
      <c r="E4290" s="205" t="s">
        <v>23</v>
      </c>
      <c r="F4290" s="19" t="s">
        <v>47</v>
      </c>
      <c r="G4290" s="205" t="s">
        <v>24</v>
      </c>
      <c r="H4290" s="204" t="s">
        <v>25</v>
      </c>
      <c r="I4290" s="43"/>
    </row>
    <row r="4291" spans="2:9" x14ac:dyDescent="0.15">
      <c r="B4291" s="631" t="s">
        <v>56</v>
      </c>
      <c r="C4291" s="632"/>
      <c r="D4291" s="633"/>
      <c r="E4291" s="5"/>
      <c r="F4291" s="409"/>
      <c r="G4291" s="58"/>
      <c r="H4291" s="407">
        <f>I4312*0.05</f>
        <v>13628.302500000003</v>
      </c>
      <c r="I4291" s="44"/>
    </row>
    <row r="4292" spans="2:9" ht="14" thickBot="1" x14ac:dyDescent="0.2">
      <c r="B4292" s="634"/>
      <c r="C4292" s="635"/>
      <c r="D4292" s="636"/>
      <c r="E4292" s="21"/>
      <c r="F4292" s="22"/>
      <c r="G4292" s="23"/>
      <c r="H4292" s="47"/>
      <c r="I4292" s="48"/>
    </row>
    <row r="4293" spans="2:9" ht="14" thickBot="1" x14ac:dyDescent="0.2">
      <c r="B4293" s="1"/>
      <c r="C4293" s="1"/>
      <c r="D4293" s="1"/>
      <c r="E4293" s="1"/>
      <c r="F4293" s="1"/>
      <c r="G4293" s="1"/>
      <c r="H4293" s="37" t="s">
        <v>26</v>
      </c>
      <c r="I4293" s="405">
        <f>SUM(H4291:H4292)</f>
        <v>13628.302500000003</v>
      </c>
    </row>
    <row r="4294" spans="2:9" ht="14" thickBot="1" x14ac:dyDescent="0.2">
      <c r="B4294" s="12" t="s">
        <v>27</v>
      </c>
      <c r="C4294" s="12"/>
      <c r="D4294" s="1"/>
      <c r="E4294" s="1"/>
      <c r="F4294" s="1"/>
      <c r="G4294" s="1"/>
      <c r="H4294" s="1"/>
      <c r="I4294" s="1"/>
    </row>
    <row r="4295" spans="2:9" x14ac:dyDescent="0.15">
      <c r="B4295" s="628" t="s">
        <v>22</v>
      </c>
      <c r="C4295" s="629"/>
      <c r="D4295" s="630"/>
      <c r="E4295" s="205" t="s">
        <v>28</v>
      </c>
      <c r="F4295" s="205" t="s">
        <v>29</v>
      </c>
      <c r="G4295" s="205" t="s">
        <v>30</v>
      </c>
      <c r="H4295" s="204" t="s">
        <v>25</v>
      </c>
      <c r="I4295" s="43"/>
    </row>
    <row r="4296" spans="2:9" x14ac:dyDescent="0.15">
      <c r="B4296" s="4" t="s">
        <v>851</v>
      </c>
      <c r="C4296" s="24"/>
      <c r="D4296" s="6"/>
      <c r="E4296" s="3" t="s">
        <v>426</v>
      </c>
      <c r="F4296" s="408">
        <f>MATERIALES!C179</f>
        <v>2430000</v>
      </c>
      <c r="G4296" s="65">
        <v>1</v>
      </c>
      <c r="H4296" s="407">
        <f>G4296*F4296</f>
        <v>2430000</v>
      </c>
      <c r="I4296" s="44"/>
    </row>
    <row r="4297" spans="2:9" x14ac:dyDescent="0.15">
      <c r="B4297" s="80" t="s">
        <v>69</v>
      </c>
      <c r="C4297" s="81"/>
      <c r="D4297" s="388"/>
      <c r="E4297" s="74" t="s">
        <v>19</v>
      </c>
      <c r="F4297" s="408">
        <v>25000</v>
      </c>
      <c r="G4297" s="65">
        <v>1</v>
      </c>
      <c r="H4297" s="407">
        <f>G4297*F4297</f>
        <v>25000</v>
      </c>
      <c r="I4297" s="44"/>
    </row>
    <row r="4298" spans="2:9" ht="14" thickBot="1" x14ac:dyDescent="0.2">
      <c r="B4298" s="25"/>
      <c r="C4298" s="26"/>
      <c r="D4298" s="27"/>
      <c r="E4298" s="21"/>
      <c r="F4298" s="22"/>
      <c r="G4298" s="406"/>
      <c r="H4298" s="47"/>
      <c r="I4298" s="48"/>
    </row>
    <row r="4299" spans="2:9" ht="14" thickBot="1" x14ac:dyDescent="0.2">
      <c r="B4299" s="1"/>
      <c r="C4299" s="1"/>
      <c r="D4299" s="1"/>
      <c r="E4299" s="1"/>
      <c r="F4299" s="1"/>
      <c r="G4299" s="1"/>
      <c r="H4299" s="37" t="s">
        <v>26</v>
      </c>
      <c r="I4299" s="405">
        <f>SUM(H4296:H4298)</f>
        <v>2455000</v>
      </c>
    </row>
    <row r="4300" spans="2:9" ht="14" thickBot="1" x14ac:dyDescent="0.2">
      <c r="B4300" s="28" t="s">
        <v>31</v>
      </c>
      <c r="C4300" s="28"/>
      <c r="D4300" s="26"/>
      <c r="E4300" s="1"/>
      <c r="F4300" s="1"/>
      <c r="G4300" s="1"/>
      <c r="H4300" s="1"/>
      <c r="I4300" s="1"/>
    </row>
    <row r="4301" spans="2:9" x14ac:dyDescent="0.15">
      <c r="B4301" s="51" t="s">
        <v>32</v>
      </c>
      <c r="C4301" s="52"/>
      <c r="D4301" s="291" t="s">
        <v>33</v>
      </c>
      <c r="E4301" s="205" t="s">
        <v>34</v>
      </c>
      <c r="F4301" s="205" t="s">
        <v>35</v>
      </c>
      <c r="G4301" s="205" t="s">
        <v>36</v>
      </c>
      <c r="H4301" s="59" t="s">
        <v>25</v>
      </c>
      <c r="I4301" s="43"/>
    </row>
    <row r="4302" spans="2:9" x14ac:dyDescent="0.15">
      <c r="B4302" s="4" t="s">
        <v>79</v>
      </c>
      <c r="C4302" s="6"/>
      <c r="D4302" s="53">
        <v>2</v>
      </c>
      <c r="E4302" s="2">
        <v>43</v>
      </c>
      <c r="F4302" s="2">
        <f>E4302*D4302</f>
        <v>86</v>
      </c>
      <c r="G4302" s="160">
        <v>1100</v>
      </c>
      <c r="H4302" s="20">
        <f>G4302*F4302</f>
        <v>94600</v>
      </c>
      <c r="I4302" s="44"/>
    </row>
    <row r="4303" spans="2:9" x14ac:dyDescent="0.15">
      <c r="B4303" s="310"/>
      <c r="C4303" s="66"/>
      <c r="D4303" s="67"/>
      <c r="E4303" s="68"/>
      <c r="F4303" s="68"/>
      <c r="G4303" s="69"/>
      <c r="H4303" s="65"/>
      <c r="I4303" s="44"/>
    </row>
    <row r="4304" spans="2:9" ht="14" thickBot="1" x14ac:dyDescent="0.2">
      <c r="B4304" s="33"/>
      <c r="C4304" s="54"/>
      <c r="D4304" s="21"/>
      <c r="E4304" s="22"/>
      <c r="F4304" s="23"/>
      <c r="G4304" s="47"/>
      <c r="H4304" s="21"/>
      <c r="I4304" s="44"/>
    </row>
    <row r="4305" spans="2:9" ht="14" thickBot="1" x14ac:dyDescent="0.2">
      <c r="B4305" s="1"/>
      <c r="C4305" s="1"/>
      <c r="D4305" s="1"/>
      <c r="E4305" s="1"/>
      <c r="F4305" s="1"/>
      <c r="G4305" s="1"/>
      <c r="H4305" s="37" t="s">
        <v>26</v>
      </c>
      <c r="I4305" s="405">
        <f>SUM(H4302:H4304)</f>
        <v>94600</v>
      </c>
    </row>
    <row r="4306" spans="2:9" ht="14" thickBot="1" x14ac:dyDescent="0.2">
      <c r="B4306" s="28" t="s">
        <v>37</v>
      </c>
      <c r="C4306" s="28"/>
      <c r="D4306" s="1"/>
      <c r="E4306" s="1"/>
      <c r="F4306" s="1"/>
      <c r="G4306" s="1"/>
      <c r="H4306" s="1"/>
      <c r="I4306" s="1"/>
    </row>
    <row r="4307" spans="2:9" x14ac:dyDescent="0.15">
      <c r="B4307" s="51" t="s">
        <v>38</v>
      </c>
      <c r="C4307" s="86"/>
      <c r="D4307" s="31" t="s">
        <v>39</v>
      </c>
      <c r="E4307" s="205" t="s">
        <v>40</v>
      </c>
      <c r="F4307" s="19" t="s">
        <v>41</v>
      </c>
      <c r="G4307" s="31" t="s">
        <v>24</v>
      </c>
      <c r="H4307" s="204" t="s">
        <v>25</v>
      </c>
      <c r="I4307" s="43"/>
    </row>
    <row r="4308" spans="2:9" x14ac:dyDescent="0.15">
      <c r="B4308" s="4" t="s">
        <v>106</v>
      </c>
      <c r="C4308" s="24"/>
      <c r="D4308" s="32">
        <f>'MANO DE OBRA'!E16</f>
        <v>95333</v>
      </c>
      <c r="E4308" s="402">
        <v>1.85</v>
      </c>
      <c r="F4308" s="404">
        <f>+E4308*D4308</f>
        <v>176366.05000000002</v>
      </c>
      <c r="G4308" s="79">
        <v>1</v>
      </c>
      <c r="H4308" s="403">
        <f>+F4308/G4308</f>
        <v>176366.05000000002</v>
      </c>
      <c r="I4308" s="44"/>
    </row>
    <row r="4309" spans="2:9" x14ac:dyDescent="0.15">
      <c r="B4309" s="4" t="s">
        <v>72</v>
      </c>
      <c r="C4309" s="24"/>
      <c r="D4309" s="32">
        <f>'MANO DE OBRA'!E14</f>
        <v>52000</v>
      </c>
      <c r="E4309" s="402">
        <v>1.85</v>
      </c>
      <c r="F4309" s="404">
        <f>+E4309*D4309</f>
        <v>96200</v>
      </c>
      <c r="G4309" s="79">
        <v>1</v>
      </c>
      <c r="H4309" s="403">
        <f>+F4309/G4309</f>
        <v>96200</v>
      </c>
      <c r="I4309" s="44"/>
    </row>
    <row r="4310" spans="2:9" x14ac:dyDescent="0.15">
      <c r="B4310" s="4"/>
      <c r="C4310" s="24"/>
      <c r="D4310" s="32"/>
      <c r="E4310" s="402"/>
      <c r="F4310" s="20"/>
      <c r="G4310" s="20"/>
      <c r="H4310" s="55"/>
      <c r="I4310" s="44"/>
    </row>
    <row r="4311" spans="2:9" ht="14" thickBot="1" x14ac:dyDescent="0.2">
      <c r="B4311" s="33"/>
      <c r="C4311" s="34"/>
      <c r="D4311" s="22"/>
      <c r="E4311" s="21"/>
      <c r="F4311" s="22"/>
      <c r="G4311" s="23"/>
      <c r="H4311" s="47"/>
      <c r="I4311" s="48"/>
    </row>
    <row r="4312" spans="2:9" ht="14" thickBot="1" x14ac:dyDescent="0.2">
      <c r="B4312" s="1"/>
      <c r="C4312" s="1"/>
      <c r="D4312" s="1"/>
      <c r="E4312" s="1"/>
      <c r="F4312" s="1"/>
      <c r="G4312" s="1"/>
      <c r="H4312" s="37" t="s">
        <v>26</v>
      </c>
      <c r="I4312" s="401">
        <f>SUM(H4308:H4311)</f>
        <v>272566.05000000005</v>
      </c>
    </row>
    <row r="4313" spans="2:9" ht="14" thickBot="1" x14ac:dyDescent="0.2">
      <c r="B4313" s="1"/>
      <c r="C4313" s="1"/>
      <c r="D4313" s="1"/>
      <c r="E4313" s="1"/>
      <c r="F4313" s="1"/>
      <c r="G4313" s="1"/>
      <c r="H4313" s="61"/>
      <c r="I4313" s="1"/>
    </row>
    <row r="4314" spans="2:9" ht="15" thickBot="1" x14ac:dyDescent="0.2">
      <c r="B4314" s="1"/>
      <c r="C4314" s="1"/>
      <c r="D4314" s="1"/>
      <c r="E4314" s="1"/>
      <c r="F4314" s="35" t="s">
        <v>43</v>
      </c>
      <c r="G4314" s="16"/>
      <c r="H4314" s="16"/>
      <c r="I4314" s="325">
        <f>ROUND((I4293+I4299+I4305+I4312),0)</f>
        <v>2835794</v>
      </c>
    </row>
    <row r="4315" spans="2:9" ht="14" x14ac:dyDescent="0.15">
      <c r="B4315" s="1"/>
      <c r="C4315" s="1"/>
      <c r="D4315" s="1"/>
      <c r="E4315" s="1"/>
      <c r="F4315" s="15"/>
      <c r="G4315" s="16"/>
      <c r="H4315" s="16"/>
      <c r="I4315" s="400"/>
    </row>
    <row r="4316" spans="2:9" ht="14" x14ac:dyDescent="0.15">
      <c r="B4316" s="1"/>
      <c r="C4316" s="1"/>
      <c r="D4316" s="1"/>
      <c r="E4316" s="1"/>
      <c r="F4316" s="15"/>
      <c r="G4316" s="16"/>
      <c r="H4316" s="16"/>
      <c r="I4316" s="400"/>
    </row>
    <row r="4317" spans="2:9" ht="14" x14ac:dyDescent="0.15">
      <c r="B4317" s="1"/>
      <c r="C4317" s="1"/>
      <c r="D4317" s="1"/>
      <c r="E4317" s="1"/>
      <c r="F4317" s="15"/>
      <c r="G4317" s="16"/>
      <c r="H4317" s="16"/>
      <c r="I4317" s="400"/>
    </row>
    <row r="4318" spans="2:9" ht="14" x14ac:dyDescent="0.15">
      <c r="B4318" s="1"/>
      <c r="C4318" s="1"/>
      <c r="D4318" s="1"/>
      <c r="E4318" s="1"/>
      <c r="F4318" s="15"/>
      <c r="G4318" s="16"/>
      <c r="H4318" s="16"/>
      <c r="I4318" s="400"/>
    </row>
    <row r="4319" spans="2:9" ht="14" x14ac:dyDescent="0.15">
      <c r="B4319" s="1"/>
      <c r="C4319" s="1"/>
      <c r="D4319" s="1"/>
      <c r="E4319" s="1"/>
      <c r="F4319" s="15"/>
      <c r="G4319" s="16"/>
      <c r="H4319" s="16"/>
      <c r="I4319" s="400"/>
    </row>
    <row r="4320" spans="2:9" ht="14" x14ac:dyDescent="0.15">
      <c r="B4320" s="1"/>
      <c r="C4320" s="1"/>
      <c r="D4320" s="1"/>
      <c r="E4320" s="1"/>
      <c r="F4320" s="15"/>
      <c r="G4320" s="16"/>
      <c r="H4320" s="16"/>
      <c r="I4320" s="400"/>
    </row>
    <row r="4321" spans="2:9" ht="14" x14ac:dyDescent="0.15">
      <c r="B4321" s="1"/>
      <c r="C4321" s="1"/>
      <c r="D4321" s="1"/>
      <c r="E4321" s="1"/>
      <c r="F4321" s="15"/>
      <c r="G4321" s="16"/>
      <c r="H4321" s="16"/>
      <c r="I4321" s="400"/>
    </row>
    <row r="4322" spans="2:9" ht="14" x14ac:dyDescent="0.15">
      <c r="B4322" s="1"/>
      <c r="C4322" s="1"/>
      <c r="D4322" s="1"/>
      <c r="E4322" s="1"/>
      <c r="F4322" s="15"/>
      <c r="G4322" s="16"/>
      <c r="H4322" s="16"/>
      <c r="I4322" s="400"/>
    </row>
    <row r="4323" spans="2:9" x14ac:dyDescent="0.15">
      <c r="B4323" s="11"/>
      <c r="C4323" s="11"/>
      <c r="D4323" s="1"/>
      <c r="E4323" s="153"/>
      <c r="F4323" s="153"/>
      <c r="G4323" s="153"/>
      <c r="H4323" s="153"/>
      <c r="I4323" s="62"/>
    </row>
    <row r="4324" spans="2:9" x14ac:dyDescent="0.15">
      <c r="B4324" s="11"/>
      <c r="C4324" s="11"/>
      <c r="D4324" s="1"/>
      <c r="E4324" s="153"/>
      <c r="F4324" s="153"/>
      <c r="G4324" s="153"/>
      <c r="H4324" s="153"/>
      <c r="I4324" s="62"/>
    </row>
    <row r="4325" spans="2:9" x14ac:dyDescent="0.15">
      <c r="B4325" s="11"/>
      <c r="C4325" s="11"/>
      <c r="D4325" s="1"/>
      <c r="E4325" s="153"/>
      <c r="F4325" s="153"/>
      <c r="G4325" s="153"/>
      <c r="H4325" s="153"/>
      <c r="I4325" s="62"/>
    </row>
    <row r="4326" spans="2:9" x14ac:dyDescent="0.15">
      <c r="B4326" s="11"/>
      <c r="C4326" s="11"/>
      <c r="D4326" s="1"/>
      <c r="E4326" s="153"/>
      <c r="F4326" s="153"/>
      <c r="G4326" s="153"/>
      <c r="H4326" s="153"/>
      <c r="I4326" s="62"/>
    </row>
    <row r="4327" spans="2:9" x14ac:dyDescent="0.15">
      <c r="B4327" s="11"/>
      <c r="C4327" s="11"/>
      <c r="D4327" s="1"/>
      <c r="E4327" s="153"/>
      <c r="F4327" s="153"/>
      <c r="G4327" s="153"/>
      <c r="H4327" s="153"/>
      <c r="I4327" s="62"/>
    </row>
    <row r="4328" spans="2:9" x14ac:dyDescent="0.15">
      <c r="B4328" s="11"/>
      <c r="C4328" s="11"/>
      <c r="D4328" s="1"/>
      <c r="E4328" s="153"/>
      <c r="F4328" s="153"/>
      <c r="G4328" s="153"/>
      <c r="H4328" s="153"/>
      <c r="I4328" s="62"/>
    </row>
    <row r="4329" spans="2:9" x14ac:dyDescent="0.15">
      <c r="B4329" s="11"/>
      <c r="C4329" s="11"/>
      <c r="D4329" s="1"/>
      <c r="E4329" s="153"/>
      <c r="F4329" s="153"/>
      <c r="G4329" s="153"/>
      <c r="H4329" s="153"/>
      <c r="I4329" s="62"/>
    </row>
    <row r="4330" spans="2:9" x14ac:dyDescent="0.15">
      <c r="B4330" s="11"/>
      <c r="C4330" s="11"/>
      <c r="D4330" s="1"/>
      <c r="E4330" s="153"/>
      <c r="F4330" s="153"/>
      <c r="G4330" s="153"/>
      <c r="H4330" s="153"/>
      <c r="I4330" s="62"/>
    </row>
    <row r="4331" spans="2:9" x14ac:dyDescent="0.15">
      <c r="B4331" s="11"/>
      <c r="C4331" s="11"/>
      <c r="D4331" s="1"/>
      <c r="E4331" s="153"/>
      <c r="F4331" s="153"/>
      <c r="G4331" s="153"/>
      <c r="H4331" s="153"/>
      <c r="I4331" s="62"/>
    </row>
    <row r="4332" spans="2:9" x14ac:dyDescent="0.15">
      <c r="B4332" s="11"/>
      <c r="C4332" s="11"/>
      <c r="D4332" s="1"/>
      <c r="E4332" s="153"/>
      <c r="F4332" s="153"/>
      <c r="G4332" s="153"/>
      <c r="H4332" s="153"/>
      <c r="I4332" s="62"/>
    </row>
    <row r="4333" spans="2:9" x14ac:dyDescent="0.15">
      <c r="B4333" s="11"/>
      <c r="C4333" s="11"/>
      <c r="D4333" s="1"/>
      <c r="E4333" s="153"/>
      <c r="F4333" s="153"/>
      <c r="G4333" s="153"/>
      <c r="H4333" s="153"/>
      <c r="I4333" s="62"/>
    </row>
    <row r="4334" spans="2:9" x14ac:dyDescent="0.15">
      <c r="B4334" s="11"/>
      <c r="C4334" s="11"/>
      <c r="D4334" s="1"/>
      <c r="E4334" s="153"/>
      <c r="F4334" s="153"/>
      <c r="G4334" s="153"/>
      <c r="H4334" s="153"/>
      <c r="I4334" s="62"/>
    </row>
    <row r="4335" spans="2:9" x14ac:dyDescent="0.15">
      <c r="B4335" s="11"/>
      <c r="C4335" s="11"/>
      <c r="D4335" s="1"/>
      <c r="E4335" s="153"/>
      <c r="F4335" s="153"/>
      <c r="G4335" s="153"/>
      <c r="H4335" s="153"/>
      <c r="I4335" s="62"/>
    </row>
    <row r="4339" spans="2:9" ht="14" thickBot="1" x14ac:dyDescent="0.2"/>
    <row r="4340" spans="2:9" ht="21" customHeight="1" x14ac:dyDescent="0.15">
      <c r="B4340" s="607" t="s">
        <v>1065</v>
      </c>
      <c r="C4340" s="608"/>
      <c r="D4340" s="608"/>
      <c r="E4340" s="608"/>
      <c r="F4340" s="609"/>
      <c r="G4340" s="1"/>
      <c r="H4340" s="638" t="s">
        <v>20</v>
      </c>
      <c r="I4340" s="639"/>
    </row>
    <row r="4341" spans="2:9" ht="16.5" customHeight="1" x14ac:dyDescent="0.15">
      <c r="B4341" s="604" t="s">
        <v>446</v>
      </c>
      <c r="C4341" s="605"/>
      <c r="D4341" s="605"/>
      <c r="E4341" s="605"/>
      <c r="F4341" s="606"/>
      <c r="G4341" s="63"/>
      <c r="H4341" s="640"/>
      <c r="I4341" s="641"/>
    </row>
    <row r="4342" spans="2:9" ht="12.75" customHeight="1" x14ac:dyDescent="0.15">
      <c r="B4342" s="610" t="s">
        <v>447</v>
      </c>
      <c r="C4342" s="611"/>
      <c r="D4342" s="611"/>
      <c r="E4342" s="611"/>
      <c r="F4342" s="612"/>
      <c r="G4342" s="63"/>
      <c r="H4342" s="642"/>
      <c r="I4342" s="643"/>
    </row>
    <row r="4343" spans="2:9" ht="16.5" customHeight="1" thickBot="1" x14ac:dyDescent="0.2">
      <c r="B4343" s="613"/>
      <c r="C4343" s="614"/>
      <c r="D4343" s="614"/>
      <c r="E4343" s="614"/>
      <c r="F4343" s="615"/>
      <c r="G4343" s="1"/>
      <c r="H4343" s="668" t="s">
        <v>859</v>
      </c>
      <c r="I4343" s="669"/>
    </row>
    <row r="4344" spans="2:9" ht="14" thickBot="1" x14ac:dyDescent="0.2">
      <c r="B4344" s="15"/>
      <c r="C4344" s="16"/>
      <c r="D4344" s="1"/>
      <c r="E4344" s="1"/>
      <c r="F4344" s="1"/>
      <c r="G4344" s="1"/>
      <c r="H4344" s="670"/>
      <c r="I4344" s="671"/>
    </row>
    <row r="4345" spans="2:9" ht="12.75" customHeight="1" x14ac:dyDescent="0.15">
      <c r="B4345" s="650" t="s">
        <v>890</v>
      </c>
      <c r="C4345" s="651"/>
      <c r="D4345" s="651"/>
      <c r="E4345" s="651"/>
      <c r="F4345" s="652"/>
      <c r="G4345" s="1"/>
      <c r="H4345" s="670"/>
      <c r="I4345" s="671"/>
    </row>
    <row r="4346" spans="2:9" ht="12.75" customHeight="1" x14ac:dyDescent="0.15">
      <c r="B4346" s="653"/>
      <c r="C4346" s="654"/>
      <c r="D4346" s="654"/>
      <c r="E4346" s="654"/>
      <c r="F4346" s="655"/>
      <c r="H4346" s="670"/>
      <c r="I4346" s="671"/>
    </row>
    <row r="4347" spans="2:9" ht="13.5" customHeight="1" x14ac:dyDescent="0.15">
      <c r="B4347" s="653"/>
      <c r="C4347" s="654"/>
      <c r="D4347" s="654"/>
      <c r="E4347" s="654"/>
      <c r="F4347" s="655"/>
      <c r="G4347" s="11"/>
      <c r="H4347" s="672"/>
      <c r="I4347" s="673"/>
    </row>
    <row r="4348" spans="2:9" ht="21.75" customHeight="1" thickBot="1" x14ac:dyDescent="0.2">
      <c r="B4348" s="656"/>
      <c r="C4348" s="657"/>
      <c r="D4348" s="657"/>
      <c r="E4348" s="657"/>
      <c r="F4348" s="658"/>
      <c r="H4348" s="64" t="s">
        <v>45</v>
      </c>
      <c r="I4348" s="17" t="s">
        <v>316</v>
      </c>
    </row>
    <row r="4349" spans="2:9" x14ac:dyDescent="0.15">
      <c r="B4349" s="18"/>
      <c r="C4349" s="18"/>
      <c r="D4349" s="1"/>
      <c r="E4349" s="18"/>
      <c r="F4349" s="18"/>
      <c r="G4349" s="18"/>
      <c r="H4349" s="18"/>
      <c r="I4349" s="1"/>
    </row>
    <row r="4350" spans="2:9" ht="14" thickBot="1" x14ac:dyDescent="0.2">
      <c r="B4350" s="12" t="s">
        <v>21</v>
      </c>
      <c r="C4350" s="12"/>
      <c r="D4350" s="1"/>
      <c r="E4350" s="1"/>
      <c r="F4350" s="1"/>
      <c r="G4350" s="1"/>
      <c r="H4350" s="1"/>
      <c r="I4350" s="1"/>
    </row>
    <row r="4351" spans="2:9" x14ac:dyDescent="0.15">
      <c r="B4351" s="628" t="s">
        <v>22</v>
      </c>
      <c r="C4351" s="629"/>
      <c r="D4351" s="630"/>
      <c r="E4351" s="205" t="s">
        <v>23</v>
      </c>
      <c r="F4351" s="19" t="s">
        <v>47</v>
      </c>
      <c r="G4351" s="205" t="s">
        <v>24</v>
      </c>
      <c r="H4351" s="204" t="s">
        <v>25</v>
      </c>
      <c r="I4351" s="43"/>
    </row>
    <row r="4352" spans="2:9" x14ac:dyDescent="0.15">
      <c r="B4352" s="631" t="s">
        <v>56</v>
      </c>
      <c r="C4352" s="632"/>
      <c r="D4352" s="633"/>
      <c r="E4352" s="5"/>
      <c r="F4352" s="160"/>
      <c r="G4352" s="392"/>
      <c r="H4352" s="163">
        <f>I4373*0.05</f>
        <v>8847.2124999999996</v>
      </c>
      <c r="I4352" s="44"/>
    </row>
    <row r="4353" spans="1:11" x14ac:dyDescent="0.15">
      <c r="B4353" s="631" t="s">
        <v>837</v>
      </c>
      <c r="C4353" s="632"/>
      <c r="D4353" s="633"/>
      <c r="E4353" s="5"/>
      <c r="F4353" s="160">
        <f>'HERRAMIENTAS Y EQUIPOS'!C25</f>
        <v>45000</v>
      </c>
      <c r="G4353" s="58">
        <v>3</v>
      </c>
      <c r="H4353" s="160">
        <f>F4353/G4353</f>
        <v>15000</v>
      </c>
      <c r="I4353" s="44"/>
      <c r="K4353" s="223"/>
    </row>
    <row r="4354" spans="1:11" ht="14" thickBot="1" x14ac:dyDescent="0.2">
      <c r="B4354" s="634"/>
      <c r="C4354" s="635"/>
      <c r="D4354" s="636"/>
      <c r="E4354" s="21"/>
      <c r="F4354" s="22"/>
      <c r="G4354" s="23"/>
      <c r="H4354" s="47"/>
      <c r="I4354" s="48"/>
    </row>
    <row r="4355" spans="1:11" ht="14" thickBot="1" x14ac:dyDescent="0.2">
      <c r="B4355" s="1"/>
      <c r="C4355" s="1"/>
      <c r="D4355" s="1"/>
      <c r="E4355" s="1"/>
      <c r="F4355" s="1"/>
      <c r="G4355" s="1"/>
      <c r="H4355" s="37" t="s">
        <v>26</v>
      </c>
      <c r="I4355" s="161">
        <f>SUM(H4352:H4354)</f>
        <v>23847.212500000001</v>
      </c>
    </row>
    <row r="4356" spans="1:11" ht="14" thickBot="1" x14ac:dyDescent="0.2">
      <c r="B4356" s="12" t="s">
        <v>27</v>
      </c>
      <c r="C4356" s="12"/>
      <c r="D4356" s="1"/>
      <c r="E4356" s="1"/>
      <c r="F4356" s="1"/>
      <c r="G4356" s="1"/>
      <c r="H4356" s="1"/>
      <c r="I4356" s="1"/>
    </row>
    <row r="4357" spans="1:11" x14ac:dyDescent="0.15">
      <c r="B4357" s="628" t="s">
        <v>22</v>
      </c>
      <c r="C4357" s="629"/>
      <c r="D4357" s="630"/>
      <c r="E4357" s="205" t="s">
        <v>28</v>
      </c>
      <c r="F4357" s="205" t="s">
        <v>29</v>
      </c>
      <c r="G4357" s="205" t="s">
        <v>30</v>
      </c>
      <c r="H4357" s="204" t="s">
        <v>25</v>
      </c>
      <c r="I4357" s="43"/>
    </row>
    <row r="4358" spans="1:11" x14ac:dyDescent="0.15">
      <c r="A4358" s="11"/>
      <c r="B4358" s="4" t="s">
        <v>67</v>
      </c>
      <c r="C4358" s="24"/>
      <c r="D4358" s="6"/>
      <c r="E4358" s="3" t="s">
        <v>58</v>
      </c>
      <c r="F4358" s="162">
        <f>'APU -BASICOS'!H260</f>
        <v>9182</v>
      </c>
      <c r="G4358" s="65">
        <f>(0.7*20*0.56)+(2*6*0.56)</f>
        <v>14.560000000000002</v>
      </c>
      <c r="H4358" s="163">
        <f>G4358*F4358</f>
        <v>133689.92000000001</v>
      </c>
      <c r="I4358" s="44"/>
      <c r="J4358" s="11"/>
    </row>
    <row r="4359" spans="1:11" x14ac:dyDescent="0.15">
      <c r="A4359" s="11"/>
      <c r="B4359" s="4" t="s">
        <v>63</v>
      </c>
      <c r="C4359" s="24"/>
      <c r="D4359" s="6"/>
      <c r="E4359" s="3" t="s">
        <v>6</v>
      </c>
      <c r="F4359" s="162">
        <f>'APU -BASICOS'!H96</f>
        <v>585821</v>
      </c>
      <c r="G4359" s="65">
        <f>(2.8*0.15*0.3)+(0.75*0.75*0.15*2)</f>
        <v>0.29474999999999996</v>
      </c>
      <c r="H4359" s="163">
        <f>G4359*F4359</f>
        <v>172670.73974999998</v>
      </c>
      <c r="I4359" s="44"/>
      <c r="J4359" s="11"/>
    </row>
    <row r="4360" spans="1:11" x14ac:dyDescent="0.15">
      <c r="B4360" s="4"/>
      <c r="C4360" s="24"/>
      <c r="D4360" s="6"/>
      <c r="E4360" s="3"/>
      <c r="F4360" s="162"/>
      <c r="G4360" s="65"/>
      <c r="H4360" s="163"/>
      <c r="I4360" s="44"/>
    </row>
    <row r="4361" spans="1:11" ht="14" thickBot="1" x14ac:dyDescent="0.2">
      <c r="B4361" s="25"/>
      <c r="C4361" s="26"/>
      <c r="D4361" s="27"/>
      <c r="E4361" s="21"/>
      <c r="F4361" s="22"/>
      <c r="G4361" s="165"/>
      <c r="H4361" s="47"/>
      <c r="I4361" s="48"/>
    </row>
    <row r="4362" spans="1:11" ht="14" thickBot="1" x14ac:dyDescent="0.2">
      <c r="B4362" s="1"/>
      <c r="C4362" s="1"/>
      <c r="D4362" s="1"/>
      <c r="E4362" s="1"/>
      <c r="F4362" s="1"/>
      <c r="G4362" s="1"/>
      <c r="H4362" s="37" t="s">
        <v>26</v>
      </c>
      <c r="I4362" s="161">
        <f>SUM(H4358:H4360)</f>
        <v>306360.65974999999</v>
      </c>
    </row>
    <row r="4363" spans="1:11" ht="14" thickBot="1" x14ac:dyDescent="0.2">
      <c r="B4363" s="28" t="s">
        <v>31</v>
      </c>
      <c r="C4363" s="28"/>
      <c r="D4363" s="26"/>
      <c r="E4363" s="1"/>
      <c r="F4363" s="1"/>
      <c r="G4363" s="1"/>
      <c r="H4363" s="1"/>
      <c r="I4363" s="1"/>
    </row>
    <row r="4364" spans="1:11" x14ac:dyDescent="0.15">
      <c r="B4364" s="51" t="s">
        <v>32</v>
      </c>
      <c r="C4364" s="52"/>
      <c r="D4364" s="96" t="s">
        <v>33</v>
      </c>
      <c r="E4364" s="205" t="s">
        <v>34</v>
      </c>
      <c r="F4364" s="205" t="s">
        <v>35</v>
      </c>
      <c r="G4364" s="205" t="s">
        <v>36</v>
      </c>
      <c r="H4364" s="59" t="s">
        <v>25</v>
      </c>
      <c r="I4364" s="43"/>
      <c r="K4364" s="105"/>
    </row>
    <row r="4365" spans="1:11" x14ac:dyDescent="0.15">
      <c r="B4365" s="4" t="s">
        <v>838</v>
      </c>
      <c r="C4365" s="6"/>
      <c r="D4365" s="53">
        <v>0.5</v>
      </c>
      <c r="E4365" s="2">
        <v>15</v>
      </c>
      <c r="F4365" s="2">
        <f>E4365*D4365</f>
        <v>7.5</v>
      </c>
      <c r="G4365" s="160">
        <v>1100</v>
      </c>
      <c r="H4365" s="20">
        <f>G4365*F4365</f>
        <v>8250</v>
      </c>
      <c r="I4365" s="44"/>
    </row>
    <row r="4366" spans="1:11" ht="14" thickBot="1" x14ac:dyDescent="0.2">
      <c r="B4366" s="33"/>
      <c r="C4366" s="54"/>
      <c r="D4366" s="21"/>
      <c r="E4366" s="22"/>
      <c r="F4366" s="23"/>
      <c r="G4366" s="47"/>
      <c r="H4366" s="21"/>
      <c r="I4366" s="48"/>
    </row>
    <row r="4367" spans="1:11" ht="14" thickBot="1" x14ac:dyDescent="0.2">
      <c r="B4367" s="1"/>
      <c r="C4367" s="1"/>
      <c r="D4367" s="1"/>
      <c r="E4367" s="1"/>
      <c r="F4367" s="1"/>
      <c r="G4367" s="1"/>
      <c r="H4367" s="37" t="s">
        <v>26</v>
      </c>
      <c r="I4367" s="161">
        <f>SUM(H4365:H4366)</f>
        <v>8250</v>
      </c>
    </row>
    <row r="4368" spans="1:11" ht="14" thickBot="1" x14ac:dyDescent="0.2">
      <c r="B4368" s="12" t="s">
        <v>37</v>
      </c>
      <c r="C4368" s="12"/>
      <c r="D4368" s="1"/>
      <c r="E4368" s="1"/>
      <c r="F4368" s="1"/>
      <c r="G4368" s="1"/>
      <c r="H4368" s="1"/>
      <c r="I4368" s="1"/>
      <c r="K4368" s="105"/>
    </row>
    <row r="4369" spans="1:11" x14ac:dyDescent="0.15">
      <c r="B4369" s="628" t="s">
        <v>38</v>
      </c>
      <c r="C4369" s="630"/>
      <c r="D4369" s="31" t="s">
        <v>39</v>
      </c>
      <c r="E4369" s="31" t="s">
        <v>40</v>
      </c>
      <c r="F4369" s="399" t="s">
        <v>41</v>
      </c>
      <c r="G4369" s="31" t="s">
        <v>24</v>
      </c>
      <c r="H4369" s="385" t="s">
        <v>25</v>
      </c>
      <c r="I4369" s="43"/>
    </row>
    <row r="4370" spans="1:11" x14ac:dyDescent="0.15">
      <c r="A4370" s="11"/>
      <c r="B4370" s="674" t="s">
        <v>65</v>
      </c>
      <c r="C4370" s="675"/>
      <c r="D4370" s="32">
        <f>'MANO DE OBRA'!E15</f>
        <v>95333</v>
      </c>
      <c r="E4370" s="166">
        <v>1.75</v>
      </c>
      <c r="F4370" s="162">
        <f>+E4370*D4370</f>
        <v>166832.75</v>
      </c>
      <c r="G4370" s="79">
        <v>3</v>
      </c>
      <c r="H4370" s="163">
        <f>+F4370/G4370</f>
        <v>55610.916666666664</v>
      </c>
      <c r="I4370" s="44"/>
      <c r="J4370" s="11"/>
      <c r="K4370" s="105"/>
    </row>
    <row r="4371" spans="1:11" x14ac:dyDescent="0.15">
      <c r="B4371" s="674" t="s">
        <v>442</v>
      </c>
      <c r="C4371" s="675"/>
      <c r="D4371" s="32">
        <f>'MANO DE OBRA'!E14*4</f>
        <v>208000</v>
      </c>
      <c r="E4371" s="166">
        <v>1.75</v>
      </c>
      <c r="F4371" s="162">
        <f>+E4371*D4371</f>
        <v>364000</v>
      </c>
      <c r="G4371" s="79">
        <v>3</v>
      </c>
      <c r="H4371" s="163">
        <f>+F4371/G4371</f>
        <v>121333.33333333333</v>
      </c>
      <c r="I4371" s="44"/>
      <c r="K4371" s="105"/>
    </row>
    <row r="4372" spans="1:11" ht="14" thickBot="1" x14ac:dyDescent="0.2">
      <c r="B4372" s="698"/>
      <c r="C4372" s="699"/>
      <c r="D4372" s="22"/>
      <c r="E4372" s="21"/>
      <c r="F4372" s="22"/>
      <c r="G4372" s="23"/>
      <c r="H4372" s="47"/>
      <c r="I4372" s="48"/>
    </row>
    <row r="4373" spans="1:11" ht="14" thickBot="1" x14ac:dyDescent="0.2">
      <c r="B4373" s="1"/>
      <c r="C4373" s="1"/>
      <c r="D4373" s="1"/>
      <c r="E4373" s="1"/>
      <c r="F4373" s="1"/>
      <c r="G4373" s="1"/>
      <c r="H4373" s="37" t="s">
        <v>26</v>
      </c>
      <c r="I4373" s="175">
        <f>SUM(H4370:H4371)</f>
        <v>176944.25</v>
      </c>
      <c r="K4373" s="105"/>
    </row>
    <row r="4374" spans="1:11" ht="14" thickBot="1" x14ac:dyDescent="0.2">
      <c r="B4374" s="1"/>
      <c r="C4374" s="1"/>
      <c r="D4374" s="1"/>
      <c r="E4374" s="1"/>
      <c r="F4374" s="1"/>
      <c r="G4374" s="1"/>
      <c r="H4374" s="61"/>
      <c r="I4374" s="1"/>
    </row>
    <row r="4375" spans="1:11" ht="15" thickBot="1" x14ac:dyDescent="0.2">
      <c r="A4375" s="11"/>
      <c r="B4375" s="1"/>
      <c r="C4375" s="1"/>
      <c r="D4375" s="1"/>
      <c r="E4375" s="1"/>
      <c r="F4375" s="35" t="s">
        <v>43</v>
      </c>
      <c r="G4375" s="16"/>
      <c r="H4375" s="16"/>
      <c r="I4375" s="325">
        <f>ROUND((I4355+I4362+I4368+I4373),0)</f>
        <v>507152</v>
      </c>
      <c r="J4375" s="11"/>
    </row>
    <row r="4376" spans="1:11" x14ac:dyDescent="0.15">
      <c r="B4376" s="12"/>
      <c r="C4376" s="12"/>
      <c r="D4376" s="1"/>
      <c r="E4376" s="1"/>
      <c r="F4376" s="1"/>
      <c r="G4376" s="1"/>
      <c r="H4376" s="170"/>
      <c r="I4376" s="170"/>
    </row>
    <row r="4377" spans="1:11" x14ac:dyDescent="0.15">
      <c r="B4377" s="16"/>
      <c r="C4377" s="16"/>
      <c r="D4377" s="16"/>
      <c r="E4377" s="16"/>
      <c r="F4377" s="16"/>
      <c r="G4377" s="61"/>
      <c r="H4377" s="171"/>
      <c r="I4377" s="170"/>
    </row>
    <row r="4378" spans="1:11" x14ac:dyDescent="0.15">
      <c r="B4378" s="1"/>
      <c r="C4378" s="1"/>
      <c r="D4378" s="1"/>
      <c r="E4378" s="1"/>
      <c r="F4378" s="1"/>
      <c r="G4378" s="159"/>
      <c r="H4378" s="170"/>
      <c r="I4378" s="170"/>
    </row>
    <row r="4379" spans="1:11" x14ac:dyDescent="0.15">
      <c r="B4379" s="1"/>
      <c r="C4379" s="1"/>
      <c r="D4379" s="1"/>
      <c r="E4379" s="1"/>
      <c r="F4379" s="1"/>
      <c r="G4379" s="159"/>
      <c r="H4379" s="170"/>
      <c r="I4379" s="170"/>
    </row>
    <row r="4380" spans="1:11" x14ac:dyDescent="0.15">
      <c r="B4380" s="1"/>
      <c r="C4380" s="1"/>
      <c r="D4380" s="1"/>
      <c r="E4380" s="1"/>
      <c r="F4380" s="1"/>
      <c r="G4380" s="159"/>
      <c r="H4380" s="170"/>
      <c r="I4380" s="170"/>
    </row>
    <row r="4381" spans="1:11" x14ac:dyDescent="0.15">
      <c r="B4381" s="1"/>
      <c r="C4381" s="1"/>
      <c r="D4381" s="1"/>
      <c r="E4381" s="1"/>
      <c r="F4381" s="1"/>
      <c r="G4381" s="159"/>
      <c r="H4381" s="170"/>
      <c r="I4381" s="170"/>
    </row>
    <row r="4382" spans="1:11" x14ac:dyDescent="0.15">
      <c r="B4382" s="1"/>
      <c r="C4382" s="1"/>
      <c r="D4382" s="1"/>
      <c r="E4382" s="1"/>
      <c r="F4382" s="1"/>
      <c r="G4382" s="159"/>
      <c r="H4382" s="170"/>
      <c r="I4382" s="170"/>
    </row>
    <row r="4383" spans="1:11" x14ac:dyDescent="0.15">
      <c r="B4383" s="1"/>
      <c r="C4383" s="1"/>
      <c r="D4383" s="1"/>
      <c r="E4383" s="1"/>
      <c r="F4383" s="1"/>
      <c r="G4383" s="1"/>
      <c r="H4383" s="37"/>
      <c r="I4383" s="170"/>
    </row>
    <row r="4384" spans="1:11" ht="14" x14ac:dyDescent="0.15">
      <c r="B4384" s="101"/>
      <c r="C4384" s="1"/>
      <c r="D4384" s="1"/>
      <c r="E4384" s="1"/>
      <c r="F4384" s="1"/>
      <c r="G4384" s="1"/>
      <c r="H4384" s="1"/>
      <c r="I4384" s="170"/>
    </row>
    <row r="4385" spans="1:10" ht="14" x14ac:dyDescent="0.15">
      <c r="B4385" s="101"/>
      <c r="C4385" s="1"/>
      <c r="D4385" s="1"/>
      <c r="E4385" s="1"/>
      <c r="F4385" s="1"/>
      <c r="G4385" s="1"/>
      <c r="H4385" s="1"/>
      <c r="I4385" s="170"/>
    </row>
    <row r="4386" spans="1:10" ht="14" x14ac:dyDescent="0.15">
      <c r="B4386" s="101"/>
      <c r="C4386" s="1"/>
      <c r="D4386" s="1"/>
      <c r="E4386" s="1"/>
      <c r="F4386" s="1"/>
      <c r="G4386" s="1"/>
      <c r="H4386" s="1"/>
      <c r="I4386" s="170"/>
    </row>
    <row r="4387" spans="1:10" ht="14" x14ac:dyDescent="0.15">
      <c r="B4387" s="101"/>
      <c r="C4387" s="1"/>
      <c r="D4387" s="1"/>
      <c r="E4387" s="1"/>
      <c r="F4387" s="1"/>
      <c r="G4387" s="1"/>
      <c r="H4387" s="1"/>
      <c r="I4387" s="170"/>
    </row>
    <row r="4388" spans="1:10" ht="14" x14ac:dyDescent="0.15">
      <c r="B4388" s="101"/>
      <c r="C4388" s="1"/>
      <c r="D4388" s="1"/>
      <c r="E4388" s="1"/>
      <c r="F4388" s="1"/>
      <c r="G4388" s="1"/>
      <c r="H4388" s="1"/>
      <c r="I4388" s="170"/>
    </row>
    <row r="4389" spans="1:10" ht="14" x14ac:dyDescent="0.15">
      <c r="B4389" s="101"/>
      <c r="C4389" s="1"/>
      <c r="D4389" s="1"/>
      <c r="E4389" s="1"/>
      <c r="F4389" s="1"/>
      <c r="G4389" s="1"/>
      <c r="H4389" s="1"/>
      <c r="I4389" s="170"/>
    </row>
    <row r="4390" spans="1:10" ht="14" x14ac:dyDescent="0.15">
      <c r="B4390" s="83"/>
      <c r="C4390" s="11"/>
      <c r="D4390" s="1"/>
      <c r="E4390" s="637"/>
      <c r="F4390" s="637"/>
      <c r="G4390" s="637"/>
      <c r="H4390" s="637"/>
      <c r="I4390" s="169"/>
    </row>
    <row r="4391" spans="1:10" x14ac:dyDescent="0.15">
      <c r="B4391" s="11"/>
      <c r="C4391" s="11"/>
      <c r="D4391" s="1"/>
      <c r="E4391" s="153"/>
      <c r="F4391" s="153"/>
      <c r="G4391" s="153"/>
      <c r="H4391" s="153"/>
      <c r="I4391" s="169"/>
    </row>
    <row r="4392" spans="1:10" x14ac:dyDescent="0.15">
      <c r="B4392" s="11"/>
      <c r="C4392" s="11"/>
      <c r="D4392" s="1"/>
      <c r="E4392" s="153"/>
      <c r="F4392" s="153"/>
      <c r="G4392" s="153"/>
      <c r="H4392" s="153"/>
      <c r="I4392" s="169"/>
    </row>
    <row r="4393" spans="1:10" x14ac:dyDescent="0.15">
      <c r="B4393" s="11"/>
      <c r="C4393" s="11"/>
      <c r="D4393" s="1"/>
      <c r="E4393" s="153"/>
      <c r="F4393" s="153"/>
      <c r="G4393" s="153"/>
      <c r="H4393" s="153"/>
      <c r="I4393" s="169"/>
    </row>
    <row r="4394" spans="1:10" x14ac:dyDescent="0.15">
      <c r="B4394" s="11"/>
      <c r="C4394" s="11"/>
      <c r="D4394" s="1"/>
      <c r="E4394" s="153"/>
      <c r="F4394" s="153"/>
      <c r="G4394" s="153"/>
      <c r="H4394" s="153"/>
      <c r="I4394" s="169"/>
    </row>
    <row r="4395" spans="1:10" ht="14" x14ac:dyDescent="0.15">
      <c r="A4395" s="85"/>
      <c r="B4395" s="101"/>
      <c r="C4395" s="83"/>
      <c r="D4395" s="84"/>
      <c r="E4395" s="83"/>
      <c r="F4395" s="83"/>
      <c r="G4395" s="102"/>
      <c r="H4395" s="83"/>
      <c r="I4395" s="85"/>
      <c r="J4395" s="85"/>
    </row>
    <row r="4396" spans="1:10" ht="14" x14ac:dyDescent="0.15">
      <c r="A4396" s="85"/>
      <c r="B4396" s="83"/>
      <c r="C4396" s="83"/>
      <c r="D4396" s="84"/>
      <c r="E4396" s="83"/>
      <c r="F4396" s="83"/>
      <c r="G4396" s="103"/>
      <c r="H4396" s="83"/>
      <c r="I4396" s="85"/>
      <c r="J4396" s="85"/>
    </row>
    <row r="4397" spans="1:10" ht="14" x14ac:dyDescent="0.15">
      <c r="A4397" s="85"/>
      <c r="B4397" s="83"/>
      <c r="C4397" s="83"/>
      <c r="D4397" s="84"/>
      <c r="E4397" s="83"/>
      <c r="F4397" s="83"/>
      <c r="G4397" s="103"/>
      <c r="H4397" s="83"/>
      <c r="I4397" s="85"/>
      <c r="J4397" s="85"/>
    </row>
    <row r="4398" spans="1:10" x14ac:dyDescent="0.15">
      <c r="B4398" s="11"/>
      <c r="C4398" s="11"/>
      <c r="D4398" s="1"/>
      <c r="E4398" s="153"/>
      <c r="F4398" s="153"/>
      <c r="G4398" s="153"/>
      <c r="H4398" s="153"/>
      <c r="I4398" s="169"/>
    </row>
    <row r="4399" spans="1:10" ht="14" thickBot="1" x14ac:dyDescent="0.2">
      <c r="B4399" s="11"/>
      <c r="C4399" s="11"/>
      <c r="D4399" s="1"/>
      <c r="E4399" s="153"/>
      <c r="F4399" s="153"/>
      <c r="G4399" s="153"/>
      <c r="H4399" s="153"/>
      <c r="I4399" s="169"/>
    </row>
    <row r="4400" spans="1:10" ht="15.75" customHeight="1" x14ac:dyDescent="0.15">
      <c r="B4400" s="607" t="s">
        <v>1065</v>
      </c>
      <c r="C4400" s="608"/>
      <c r="D4400" s="608"/>
      <c r="E4400" s="608"/>
      <c r="F4400" s="609"/>
      <c r="G4400" s="1"/>
      <c r="H4400" s="638" t="s">
        <v>20</v>
      </c>
      <c r="I4400" s="639"/>
    </row>
    <row r="4401" spans="2:9" ht="15.75" customHeight="1" x14ac:dyDescent="0.15">
      <c r="B4401" s="604" t="s">
        <v>446</v>
      </c>
      <c r="C4401" s="605"/>
      <c r="D4401" s="605"/>
      <c r="E4401" s="605"/>
      <c r="F4401" s="606"/>
      <c r="G4401" s="63"/>
      <c r="H4401" s="640"/>
      <c r="I4401" s="641"/>
    </row>
    <row r="4402" spans="2:9" ht="12.75" customHeight="1" x14ac:dyDescent="0.15">
      <c r="B4402" s="610" t="s">
        <v>447</v>
      </c>
      <c r="C4402" s="611"/>
      <c r="D4402" s="611"/>
      <c r="E4402" s="611"/>
      <c r="F4402" s="612"/>
      <c r="G4402" s="63"/>
      <c r="H4402" s="642"/>
      <c r="I4402" s="643"/>
    </row>
    <row r="4403" spans="2:9" ht="13.5" customHeight="1" thickBot="1" x14ac:dyDescent="0.2">
      <c r="B4403" s="613"/>
      <c r="C4403" s="614"/>
      <c r="D4403" s="614"/>
      <c r="E4403" s="614"/>
      <c r="F4403" s="615"/>
      <c r="G4403" s="1"/>
      <c r="H4403" s="668" t="s">
        <v>1049</v>
      </c>
      <c r="I4403" s="669"/>
    </row>
    <row r="4404" spans="2:9" ht="14" thickBot="1" x14ac:dyDescent="0.2">
      <c r="B4404" s="15"/>
      <c r="C4404" s="16"/>
      <c r="D4404" s="1"/>
      <c r="E4404" s="1"/>
      <c r="F4404" s="1"/>
      <c r="G4404" s="1"/>
      <c r="H4404" s="670"/>
      <c r="I4404" s="671"/>
    </row>
    <row r="4405" spans="2:9" ht="12.75" customHeight="1" x14ac:dyDescent="0.15">
      <c r="B4405" s="619" t="s">
        <v>890</v>
      </c>
      <c r="C4405" s="620"/>
      <c r="D4405" s="620"/>
      <c r="E4405" s="620"/>
      <c r="F4405" s="621"/>
      <c r="G4405" s="1"/>
      <c r="H4405" s="670"/>
      <c r="I4405" s="671"/>
    </row>
    <row r="4406" spans="2:9" ht="12.75" customHeight="1" x14ac:dyDescent="0.15">
      <c r="B4406" s="622"/>
      <c r="C4406" s="623"/>
      <c r="D4406" s="623"/>
      <c r="E4406" s="623"/>
      <c r="F4406" s="624"/>
      <c r="G4406" s="1"/>
      <c r="H4406" s="670"/>
      <c r="I4406" s="671"/>
    </row>
    <row r="4407" spans="2:9" ht="12.75" customHeight="1" x14ac:dyDescent="0.15">
      <c r="B4407" s="622"/>
      <c r="C4407" s="623"/>
      <c r="D4407" s="623"/>
      <c r="E4407" s="623"/>
      <c r="F4407" s="624"/>
      <c r="G4407" s="1"/>
      <c r="H4407" s="670"/>
      <c r="I4407" s="671"/>
    </row>
    <row r="4408" spans="2:9" ht="12.75" customHeight="1" x14ac:dyDescent="0.15">
      <c r="B4408" s="622"/>
      <c r="C4408" s="623"/>
      <c r="D4408" s="623"/>
      <c r="E4408" s="623"/>
      <c r="F4408" s="624"/>
      <c r="G4408" s="1"/>
      <c r="H4408" s="670"/>
      <c r="I4408" s="671"/>
    </row>
    <row r="4409" spans="2:9" ht="12.75" customHeight="1" x14ac:dyDescent="0.15">
      <c r="B4409" s="622"/>
      <c r="C4409" s="623"/>
      <c r="D4409" s="623"/>
      <c r="E4409" s="623"/>
      <c r="F4409" s="624"/>
      <c r="G4409" s="11"/>
      <c r="H4409" s="672"/>
      <c r="I4409" s="673"/>
    </row>
    <row r="4410" spans="2:9" ht="13.5" customHeight="1" thickBot="1" x14ac:dyDescent="0.2">
      <c r="B4410" s="625"/>
      <c r="C4410" s="626"/>
      <c r="D4410" s="626"/>
      <c r="E4410" s="626"/>
      <c r="F4410" s="627"/>
      <c r="H4410" s="64" t="s">
        <v>45</v>
      </c>
      <c r="I4410" s="17" t="s">
        <v>5</v>
      </c>
    </row>
    <row r="4411" spans="2:9" x14ac:dyDescent="0.15">
      <c r="B4411" s="18"/>
      <c r="C4411" s="18"/>
      <c r="D4411" s="1"/>
      <c r="E4411" s="18"/>
      <c r="F4411" s="18"/>
      <c r="G4411" s="18"/>
      <c r="H4411" s="18"/>
      <c r="I4411" s="1"/>
    </row>
    <row r="4412" spans="2:9" ht="14" thickBot="1" x14ac:dyDescent="0.2">
      <c r="B4412" s="12" t="s">
        <v>21</v>
      </c>
      <c r="C4412" s="12"/>
      <c r="D4412" s="1"/>
      <c r="E4412" s="1"/>
      <c r="F4412" s="1"/>
      <c r="G4412" s="1"/>
      <c r="H4412" s="1"/>
      <c r="I4412" s="1"/>
    </row>
    <row r="4413" spans="2:9" x14ac:dyDescent="0.15">
      <c r="B4413" s="628" t="s">
        <v>22</v>
      </c>
      <c r="C4413" s="629"/>
      <c r="D4413" s="630"/>
      <c r="E4413" s="205" t="s">
        <v>23</v>
      </c>
      <c r="F4413" s="19" t="s">
        <v>47</v>
      </c>
      <c r="G4413" s="205" t="s">
        <v>24</v>
      </c>
      <c r="H4413" s="204" t="s">
        <v>25</v>
      </c>
      <c r="I4413" s="43"/>
    </row>
    <row r="4414" spans="2:9" x14ac:dyDescent="0.15">
      <c r="B4414" s="631" t="s">
        <v>56</v>
      </c>
      <c r="C4414" s="632"/>
      <c r="D4414" s="633"/>
      <c r="E4414" s="5"/>
      <c r="F4414" s="160"/>
      <c r="G4414" s="58"/>
      <c r="H4414" s="160">
        <f>I4432*0.05</f>
        <v>1474.5354166666668</v>
      </c>
      <c r="I4414" s="44"/>
    </row>
    <row r="4415" spans="2:9" ht="14" thickBot="1" x14ac:dyDescent="0.2">
      <c r="B4415" s="634"/>
      <c r="C4415" s="635"/>
      <c r="D4415" s="636"/>
      <c r="E4415" s="21"/>
      <c r="F4415" s="22"/>
      <c r="G4415" s="23"/>
      <c r="H4415" s="47"/>
      <c r="I4415" s="48"/>
    </row>
    <row r="4416" spans="2:9" ht="14" thickBot="1" x14ac:dyDescent="0.2">
      <c r="B4416" s="1"/>
      <c r="C4416" s="1"/>
      <c r="D4416" s="1"/>
      <c r="E4416" s="1"/>
      <c r="F4416" s="1"/>
      <c r="G4416" s="1"/>
      <c r="H4416" s="37" t="s">
        <v>26</v>
      </c>
      <c r="I4416" s="161">
        <f>SUM(H4414:H4415)</f>
        <v>1474.5354166666668</v>
      </c>
    </row>
    <row r="4417" spans="2:9" ht="14" thickBot="1" x14ac:dyDescent="0.2">
      <c r="B4417" s="12" t="s">
        <v>27</v>
      </c>
      <c r="C4417" s="12"/>
      <c r="D4417" s="1"/>
      <c r="E4417" s="1"/>
      <c r="F4417" s="1"/>
      <c r="G4417" s="1"/>
      <c r="H4417" s="1"/>
      <c r="I4417" s="1"/>
    </row>
    <row r="4418" spans="2:9" x14ac:dyDescent="0.15">
      <c r="B4418" s="628" t="s">
        <v>22</v>
      </c>
      <c r="C4418" s="629"/>
      <c r="D4418" s="630"/>
      <c r="E4418" s="205" t="s">
        <v>28</v>
      </c>
      <c r="F4418" s="205" t="s">
        <v>29</v>
      </c>
      <c r="G4418" s="205" t="s">
        <v>30</v>
      </c>
      <c r="H4418" s="204" t="s">
        <v>25</v>
      </c>
      <c r="I4418" s="43"/>
    </row>
    <row r="4419" spans="2:9" ht="12.75" customHeight="1" x14ac:dyDescent="0.15">
      <c r="B4419" s="682" t="s">
        <v>709</v>
      </c>
      <c r="C4419" s="683"/>
      <c r="D4419" s="684"/>
      <c r="E4419" s="3" t="s">
        <v>5</v>
      </c>
      <c r="F4419" s="162">
        <f>MATERIALES!C146</f>
        <v>60750.000000000007</v>
      </c>
      <c r="G4419" s="65">
        <v>1</v>
      </c>
      <c r="H4419" s="163">
        <f>G4419*F4419</f>
        <v>60750.000000000007</v>
      </c>
      <c r="I4419" s="44"/>
    </row>
    <row r="4420" spans="2:9" ht="14" thickBot="1" x14ac:dyDescent="0.2">
      <c r="B4420" s="25"/>
      <c r="C4420" s="26"/>
      <c r="D4420" s="27"/>
      <c r="E4420" s="21"/>
      <c r="F4420" s="22"/>
      <c r="G4420" s="165"/>
      <c r="H4420" s="47"/>
      <c r="I4420" s="48"/>
    </row>
    <row r="4421" spans="2:9" ht="14" thickBot="1" x14ac:dyDescent="0.2">
      <c r="B4421" s="1"/>
      <c r="C4421" s="1"/>
      <c r="D4421" s="1"/>
      <c r="E4421" s="1"/>
      <c r="F4421" s="1"/>
      <c r="G4421" s="1"/>
      <c r="H4421" s="37" t="s">
        <v>26</v>
      </c>
      <c r="I4421" s="161">
        <f>SUM(H4419:H4419)</f>
        <v>60750.000000000007</v>
      </c>
    </row>
    <row r="4422" spans="2:9" ht="14" thickBot="1" x14ac:dyDescent="0.2">
      <c r="B4422" s="28" t="s">
        <v>31</v>
      </c>
      <c r="C4422" s="28"/>
      <c r="D4422" s="26"/>
      <c r="E4422" s="1"/>
      <c r="F4422" s="1"/>
      <c r="G4422" s="1"/>
      <c r="H4422" s="1"/>
      <c r="I4422" s="1"/>
    </row>
    <row r="4423" spans="2:9" x14ac:dyDescent="0.15">
      <c r="B4423" s="51" t="s">
        <v>32</v>
      </c>
      <c r="C4423" s="52"/>
      <c r="D4423" s="96" t="s">
        <v>33</v>
      </c>
      <c r="E4423" s="205" t="s">
        <v>34</v>
      </c>
      <c r="F4423" s="205" t="s">
        <v>35</v>
      </c>
      <c r="G4423" s="205" t="s">
        <v>36</v>
      </c>
      <c r="H4423" s="59" t="s">
        <v>25</v>
      </c>
      <c r="I4423" s="43"/>
    </row>
    <row r="4424" spans="2:9" x14ac:dyDescent="0.15">
      <c r="B4424" s="4" t="s">
        <v>79</v>
      </c>
      <c r="C4424" s="6"/>
      <c r="D4424" s="53">
        <v>0.2</v>
      </c>
      <c r="E4424" s="2">
        <f>43+225.2</f>
        <v>268.2</v>
      </c>
      <c r="F4424" s="2">
        <f>E4424*D4424</f>
        <v>53.64</v>
      </c>
      <c r="G4424" s="160">
        <v>1100</v>
      </c>
      <c r="H4424" s="20">
        <f>G4424*F4424</f>
        <v>59004</v>
      </c>
      <c r="I4424" s="44"/>
    </row>
    <row r="4425" spans="2:9" ht="14" thickBot="1" x14ac:dyDescent="0.2">
      <c r="B4425" s="33"/>
      <c r="C4425" s="54"/>
      <c r="D4425" s="21"/>
      <c r="E4425" s="22"/>
      <c r="F4425" s="23"/>
      <c r="G4425" s="47"/>
      <c r="H4425" s="21"/>
      <c r="I4425" s="48"/>
    </row>
    <row r="4426" spans="2:9" ht="14" thickBot="1" x14ac:dyDescent="0.2">
      <c r="B4426" s="1"/>
      <c r="C4426" s="1"/>
      <c r="D4426" s="1"/>
      <c r="E4426" s="1"/>
      <c r="F4426" s="1"/>
      <c r="G4426" s="1"/>
      <c r="H4426" s="37" t="s">
        <v>26</v>
      </c>
      <c r="I4426" s="161">
        <f>SUM(H4424:H4425)</f>
        <v>59004</v>
      </c>
    </row>
    <row r="4427" spans="2:9" ht="14" thickBot="1" x14ac:dyDescent="0.2">
      <c r="B4427" s="28" t="s">
        <v>37</v>
      </c>
      <c r="C4427" s="28"/>
      <c r="D4427" s="1"/>
      <c r="E4427" s="1"/>
      <c r="F4427" s="1"/>
      <c r="G4427" s="1"/>
      <c r="H4427" s="1"/>
      <c r="I4427" s="1"/>
    </row>
    <row r="4428" spans="2:9" x14ac:dyDescent="0.15">
      <c r="B4428" s="51" t="s">
        <v>38</v>
      </c>
      <c r="C4428" s="86"/>
      <c r="D4428" s="31" t="s">
        <v>39</v>
      </c>
      <c r="E4428" s="205" t="s">
        <v>40</v>
      </c>
      <c r="F4428" s="19" t="s">
        <v>41</v>
      </c>
      <c r="G4428" s="31" t="s">
        <v>24</v>
      </c>
      <c r="H4428" s="59" t="s">
        <v>25</v>
      </c>
      <c r="I4428" s="43"/>
    </row>
    <row r="4429" spans="2:9" x14ac:dyDescent="0.15">
      <c r="B4429" s="4" t="s">
        <v>42</v>
      </c>
      <c r="C4429" s="24"/>
      <c r="D4429" s="32">
        <f>'MANO DE OBRA'!E15</f>
        <v>95333</v>
      </c>
      <c r="E4429" s="166">
        <v>1.75</v>
      </c>
      <c r="F4429" s="162">
        <f>+E4429*D4429</f>
        <v>166832.75</v>
      </c>
      <c r="G4429" s="20">
        <v>18</v>
      </c>
      <c r="H4429" s="167">
        <f>+F4429/G4429</f>
        <v>9268.4861111111113</v>
      </c>
      <c r="I4429" s="44"/>
    </row>
    <row r="4430" spans="2:9" x14ac:dyDescent="0.15">
      <c r="B4430" s="4" t="s">
        <v>569</v>
      </c>
      <c r="C4430" s="24"/>
      <c r="D4430" s="32">
        <f>'MANO DE OBRA'!E14*4</f>
        <v>208000</v>
      </c>
      <c r="E4430" s="166">
        <v>1.75</v>
      </c>
      <c r="F4430" s="162">
        <f>+E4430*D4430</f>
        <v>364000</v>
      </c>
      <c r="G4430" s="20">
        <v>18</v>
      </c>
      <c r="H4430" s="167">
        <f>+F4430/G4430</f>
        <v>20222.222222222223</v>
      </c>
      <c r="I4430" s="44"/>
    </row>
    <row r="4431" spans="2:9" ht="14" thickBot="1" x14ac:dyDescent="0.2">
      <c r="B4431" s="33"/>
      <c r="C4431" s="34"/>
      <c r="D4431" s="22"/>
      <c r="E4431" s="21"/>
      <c r="F4431" s="22"/>
      <c r="G4431" s="23"/>
      <c r="H4431" s="87"/>
      <c r="I4431" s="44"/>
    </row>
    <row r="4432" spans="2:9" ht="14" thickBot="1" x14ac:dyDescent="0.2">
      <c r="B4432" s="1"/>
      <c r="C4432" s="1"/>
      <c r="D4432" s="1"/>
      <c r="E4432" s="1"/>
      <c r="F4432" s="1"/>
      <c r="G4432" s="1"/>
      <c r="H4432" s="37" t="s">
        <v>26</v>
      </c>
      <c r="I4432" s="161">
        <f>SUM(H4429:H4431)</f>
        <v>29490.708333333336</v>
      </c>
    </row>
    <row r="4433" spans="2:9" ht="14" thickBot="1" x14ac:dyDescent="0.2">
      <c r="B4433" s="1"/>
      <c r="C4433" s="1"/>
      <c r="D4433" s="1"/>
      <c r="E4433" s="1"/>
      <c r="F4433" s="1"/>
      <c r="G4433" s="1"/>
      <c r="H4433" s="61"/>
      <c r="I4433" s="1"/>
    </row>
    <row r="4434" spans="2:9" ht="15" thickBot="1" x14ac:dyDescent="0.2">
      <c r="B4434" s="1"/>
      <c r="C4434" s="1"/>
      <c r="D4434" s="1"/>
      <c r="E4434" s="1"/>
      <c r="F4434" s="35" t="s">
        <v>43</v>
      </c>
      <c r="G4434" s="16"/>
      <c r="H4434" s="16"/>
      <c r="I4434" s="222">
        <f>ROUND((I4416+I4421+I4426+I4432),0)</f>
        <v>150719</v>
      </c>
    </row>
    <row r="4435" spans="2:9" x14ac:dyDescent="0.15">
      <c r="B4435" s="12"/>
      <c r="C4435" s="12"/>
      <c r="D4435" s="1"/>
      <c r="E4435" s="1"/>
      <c r="F4435" s="1"/>
      <c r="G4435" s="1"/>
      <c r="H4435" s="170"/>
      <c r="I4435" s="170"/>
    </row>
    <row r="4436" spans="2:9" x14ac:dyDescent="0.15">
      <c r="B4436" s="16"/>
      <c r="C4436" s="16"/>
      <c r="D4436" s="16"/>
      <c r="E4436" s="16"/>
      <c r="F4436" s="16"/>
      <c r="G4436" s="61"/>
      <c r="H4436" s="171"/>
      <c r="I4436" s="170"/>
    </row>
    <row r="4437" spans="2:9" x14ac:dyDescent="0.15">
      <c r="B4437" s="1"/>
      <c r="C4437" s="1"/>
      <c r="D4437" s="1"/>
      <c r="E4437" s="1"/>
      <c r="F4437" s="1"/>
      <c r="G4437" s="159"/>
      <c r="H4437" s="170"/>
      <c r="I4437" s="170"/>
    </row>
    <row r="4438" spans="2:9" x14ac:dyDescent="0.15">
      <c r="B4438" s="1"/>
      <c r="C4438" s="1"/>
      <c r="D4438" s="1"/>
      <c r="E4438" s="1"/>
      <c r="F4438" s="1"/>
      <c r="G4438" s="159"/>
      <c r="H4438" s="170"/>
      <c r="I4438" s="170"/>
    </row>
    <row r="4439" spans="2:9" x14ac:dyDescent="0.15">
      <c r="B4439" s="1"/>
      <c r="C4439" s="1"/>
      <c r="D4439" s="1"/>
      <c r="E4439" s="1"/>
      <c r="F4439" s="1"/>
      <c r="G4439" s="159"/>
      <c r="H4439" s="170"/>
      <c r="I4439" s="170"/>
    </row>
    <row r="4440" spans="2:9" x14ac:dyDescent="0.15">
      <c r="B4440" s="1"/>
      <c r="C4440" s="1"/>
      <c r="D4440" s="1"/>
      <c r="E4440" s="1"/>
      <c r="F4440" s="1"/>
      <c r="G4440" s="1"/>
      <c r="H4440" s="37"/>
      <c r="I4440" s="170"/>
    </row>
    <row r="4441" spans="2:9" ht="14" x14ac:dyDescent="0.15">
      <c r="B4441" s="101"/>
      <c r="C4441" s="1"/>
      <c r="D4441" s="1"/>
      <c r="E4441" s="1"/>
      <c r="F4441" s="1"/>
      <c r="G4441" s="1"/>
      <c r="H4441" s="1"/>
      <c r="I4441" s="170"/>
    </row>
    <row r="4442" spans="2:9" ht="14" x14ac:dyDescent="0.15">
      <c r="B4442" s="83"/>
      <c r="C4442" s="11"/>
      <c r="D4442" s="1"/>
      <c r="E4442" s="637"/>
      <c r="F4442" s="637"/>
      <c r="G4442" s="637"/>
      <c r="H4442" s="637"/>
      <c r="I4442" s="169"/>
    </row>
    <row r="4443" spans="2:9" x14ac:dyDescent="0.15">
      <c r="B4443" s="11"/>
      <c r="C4443" s="11"/>
      <c r="D4443" s="1"/>
      <c r="E4443" s="153"/>
      <c r="F4443" s="153"/>
      <c r="G4443" s="153"/>
      <c r="H4443" s="153"/>
      <c r="I4443" s="169"/>
    </row>
    <row r="4444" spans="2:9" x14ac:dyDescent="0.15">
      <c r="B4444" s="11"/>
      <c r="C4444" s="11"/>
      <c r="D4444" s="1"/>
      <c r="E4444" s="153"/>
      <c r="F4444" s="153"/>
      <c r="G4444" s="153"/>
      <c r="H4444" s="153"/>
      <c r="I4444" s="169"/>
    </row>
    <row r="4445" spans="2:9" ht="14" x14ac:dyDescent="0.15">
      <c r="B4445" s="101"/>
      <c r="C4445" s="11"/>
      <c r="D4445" s="1"/>
      <c r="E4445" s="153"/>
      <c r="F4445" s="153"/>
      <c r="G4445" s="153"/>
      <c r="H4445" s="153"/>
      <c r="I4445" s="169"/>
    </row>
    <row r="4446" spans="2:9" ht="14" x14ac:dyDescent="0.15">
      <c r="B4446" s="101"/>
      <c r="C4446" s="11"/>
      <c r="D4446" s="1"/>
      <c r="E4446" s="153"/>
      <c r="F4446" s="153"/>
      <c r="G4446" s="153"/>
      <c r="H4446" s="153"/>
      <c r="I4446" s="169"/>
    </row>
    <row r="4447" spans="2:9" ht="14" x14ac:dyDescent="0.15">
      <c r="B4447" s="101"/>
      <c r="C4447" s="11"/>
      <c r="D4447" s="1"/>
      <c r="E4447" s="153"/>
      <c r="F4447" s="153"/>
      <c r="G4447" s="153"/>
      <c r="H4447" s="153"/>
      <c r="I4447" s="169"/>
    </row>
    <row r="4448" spans="2:9" ht="14" x14ac:dyDescent="0.15">
      <c r="B4448" s="101"/>
      <c r="C4448" s="11"/>
      <c r="D4448" s="1"/>
      <c r="E4448" s="153"/>
      <c r="F4448" s="153"/>
      <c r="G4448" s="153"/>
      <c r="H4448" s="153"/>
      <c r="I4448" s="169"/>
    </row>
    <row r="4449" spans="2:10" ht="14" x14ac:dyDescent="0.15">
      <c r="B4449" s="101"/>
      <c r="C4449" s="11"/>
      <c r="D4449" s="1"/>
      <c r="E4449" s="153"/>
      <c r="F4449" s="153"/>
      <c r="G4449" s="153"/>
      <c r="H4449" s="153"/>
      <c r="I4449" s="169"/>
    </row>
    <row r="4450" spans="2:10" ht="14" x14ac:dyDescent="0.15">
      <c r="B4450" s="83"/>
      <c r="C4450" s="11"/>
      <c r="D4450" s="1"/>
      <c r="E4450" s="153"/>
      <c r="F4450" s="153"/>
      <c r="G4450" s="153"/>
      <c r="H4450" s="153"/>
      <c r="I4450" s="169"/>
    </row>
    <row r="4451" spans="2:10" x14ac:dyDescent="0.15">
      <c r="B4451" s="11"/>
      <c r="C4451" s="11"/>
      <c r="D4451" s="1"/>
      <c r="E4451" s="153"/>
      <c r="F4451" s="153"/>
      <c r="G4451" s="153"/>
      <c r="H4451" s="153"/>
      <c r="I4451" s="169"/>
    </row>
    <row r="4452" spans="2:10" x14ac:dyDescent="0.15">
      <c r="B4452" s="11"/>
      <c r="C4452" s="11"/>
      <c r="D4452" s="1"/>
      <c r="E4452" s="153"/>
      <c r="F4452" s="153"/>
      <c r="G4452" s="153"/>
      <c r="H4452" s="153"/>
      <c r="I4452" s="169"/>
    </row>
    <row r="4453" spans="2:10" x14ac:dyDescent="0.15">
      <c r="B4453" s="11"/>
      <c r="C4453" s="11"/>
      <c r="D4453" s="1"/>
      <c r="E4453" s="153"/>
      <c r="F4453" s="153"/>
      <c r="G4453" s="153"/>
      <c r="H4453" s="153"/>
      <c r="I4453" s="169"/>
    </row>
    <row r="4456" spans="2:10" ht="14" x14ac:dyDescent="0.15">
      <c r="B4456" s="101"/>
      <c r="C4456" s="83"/>
      <c r="D4456" s="84"/>
      <c r="E4456" s="83"/>
      <c r="F4456" s="158"/>
      <c r="G4456" s="155"/>
      <c r="H4456" s="83"/>
      <c r="I4456" s="83"/>
      <c r="J4456" s="85"/>
    </row>
    <row r="4457" spans="2:10" ht="14" x14ac:dyDescent="0.15">
      <c r="B4457" s="101"/>
      <c r="C4457" s="83"/>
      <c r="D4457" s="84"/>
      <c r="E4457" s="83"/>
      <c r="F4457" s="158"/>
      <c r="G4457" s="155"/>
      <c r="H4457" s="83"/>
      <c r="I4457" s="83"/>
      <c r="J4457" s="85"/>
    </row>
    <row r="4458" spans="2:10" ht="14" x14ac:dyDescent="0.15">
      <c r="B4458" s="83"/>
      <c r="C4458" s="83"/>
      <c r="D4458" s="84"/>
      <c r="E4458" s="83"/>
      <c r="F4458" s="154"/>
      <c r="G4458" s="155"/>
      <c r="H4458" s="156"/>
      <c r="I4458" s="157"/>
      <c r="J4458" s="85"/>
    </row>
    <row r="4459" spans="2:10" ht="14" x14ac:dyDescent="0.15">
      <c r="B4459" s="83"/>
      <c r="C4459" s="11"/>
      <c r="D4459" s="11"/>
      <c r="E4459" s="11"/>
      <c r="F4459" s="691"/>
      <c r="G4459" s="691"/>
      <c r="H4459" s="691"/>
      <c r="I4459" s="691"/>
    </row>
    <row r="4460" spans="2:10" ht="14" thickBot="1" x14ac:dyDescent="0.2">
      <c r="B4460" s="11"/>
      <c r="C4460" s="11"/>
      <c r="D4460" s="1"/>
      <c r="E4460" s="153"/>
      <c r="F4460" s="153"/>
      <c r="G4460" s="153"/>
      <c r="H4460" s="153"/>
      <c r="I4460" s="169"/>
    </row>
    <row r="4461" spans="2:10" ht="21" customHeight="1" x14ac:dyDescent="0.15">
      <c r="B4461" s="607" t="s">
        <v>1065</v>
      </c>
      <c r="C4461" s="608"/>
      <c r="D4461" s="608"/>
      <c r="E4461" s="608"/>
      <c r="F4461" s="609"/>
      <c r="G4461" s="1"/>
      <c r="H4461" s="638" t="s">
        <v>20</v>
      </c>
      <c r="I4461" s="639"/>
    </row>
    <row r="4462" spans="2:10" ht="16.5" customHeight="1" x14ac:dyDescent="0.15">
      <c r="B4462" s="604" t="s">
        <v>446</v>
      </c>
      <c r="C4462" s="605"/>
      <c r="D4462" s="605"/>
      <c r="E4462" s="605"/>
      <c r="F4462" s="606"/>
      <c r="G4462" s="63"/>
      <c r="H4462" s="640"/>
      <c r="I4462" s="641"/>
    </row>
    <row r="4463" spans="2:10" ht="12.75" customHeight="1" x14ac:dyDescent="0.15">
      <c r="B4463" s="610" t="s">
        <v>447</v>
      </c>
      <c r="C4463" s="611"/>
      <c r="D4463" s="611"/>
      <c r="E4463" s="611"/>
      <c r="F4463" s="612"/>
      <c r="G4463" s="63"/>
      <c r="H4463" s="642"/>
      <c r="I4463" s="643"/>
    </row>
    <row r="4464" spans="2:10" ht="16.5" customHeight="1" thickBot="1" x14ac:dyDescent="0.2">
      <c r="B4464" s="613"/>
      <c r="C4464" s="614"/>
      <c r="D4464" s="614"/>
      <c r="E4464" s="614"/>
      <c r="F4464" s="615"/>
      <c r="G4464" s="1"/>
      <c r="H4464" s="668" t="s">
        <v>1048</v>
      </c>
      <c r="I4464" s="669"/>
    </row>
    <row r="4465" spans="2:9" ht="13.5" customHeight="1" thickBot="1" x14ac:dyDescent="0.2">
      <c r="B4465" s="37"/>
      <c r="C4465" s="61"/>
      <c r="D4465" s="1"/>
      <c r="E4465" s="1"/>
      <c r="F4465" s="1"/>
      <c r="G4465" s="1"/>
      <c r="H4465" s="670"/>
      <c r="I4465" s="671"/>
    </row>
    <row r="4466" spans="2:9" ht="12.75" customHeight="1" x14ac:dyDescent="0.15">
      <c r="B4466" s="619" t="s">
        <v>890</v>
      </c>
      <c r="C4466" s="620"/>
      <c r="D4466" s="620"/>
      <c r="E4466" s="620"/>
      <c r="F4466" s="621"/>
      <c r="G4466" s="1"/>
      <c r="H4466" s="670"/>
      <c r="I4466" s="671"/>
    </row>
    <row r="4467" spans="2:9" ht="12.75" customHeight="1" x14ac:dyDescent="0.15">
      <c r="B4467" s="622"/>
      <c r="C4467" s="623"/>
      <c r="D4467" s="623"/>
      <c r="E4467" s="623"/>
      <c r="F4467" s="624"/>
      <c r="G4467" s="1"/>
      <c r="H4467" s="670"/>
      <c r="I4467" s="671"/>
    </row>
    <row r="4468" spans="2:9" ht="12.75" customHeight="1" x14ac:dyDescent="0.15">
      <c r="B4468" s="622"/>
      <c r="C4468" s="623"/>
      <c r="D4468" s="623"/>
      <c r="E4468" s="623"/>
      <c r="F4468" s="624"/>
      <c r="H4468" s="670"/>
      <c r="I4468" s="671"/>
    </row>
    <row r="4469" spans="2:9" ht="13.5" customHeight="1" x14ac:dyDescent="0.15">
      <c r="B4469" s="622"/>
      <c r="C4469" s="623"/>
      <c r="D4469" s="623"/>
      <c r="E4469" s="623"/>
      <c r="F4469" s="624"/>
      <c r="G4469" s="11"/>
      <c r="H4469" s="672"/>
      <c r="I4469" s="673"/>
    </row>
    <row r="4470" spans="2:9" ht="21.75" customHeight="1" thickBot="1" x14ac:dyDescent="0.2">
      <c r="B4470" s="625"/>
      <c r="C4470" s="626"/>
      <c r="D4470" s="626"/>
      <c r="E4470" s="626"/>
      <c r="F4470" s="627"/>
      <c r="H4470" s="64" t="s">
        <v>45</v>
      </c>
      <c r="I4470" s="17" t="s">
        <v>5</v>
      </c>
    </row>
    <row r="4471" spans="2:9" ht="13.5" customHeight="1" x14ac:dyDescent="0.15">
      <c r="B4471" s="292"/>
      <c r="C4471" s="292"/>
      <c r="D4471" s="292"/>
      <c r="E4471" s="292"/>
      <c r="F4471" s="292"/>
      <c r="G4471" s="18"/>
      <c r="H4471" s="18"/>
      <c r="I4471" s="1"/>
    </row>
    <row r="4472" spans="2:9" ht="13.5" customHeight="1" thickBot="1" x14ac:dyDescent="0.2">
      <c r="B4472" s="12" t="s">
        <v>21</v>
      </c>
      <c r="C4472" s="12"/>
      <c r="D4472" s="1"/>
      <c r="E4472" s="1"/>
      <c r="F4472" s="1"/>
      <c r="G4472" s="1"/>
      <c r="H4472" s="1"/>
      <c r="I4472" s="1"/>
    </row>
    <row r="4473" spans="2:9" x14ac:dyDescent="0.15">
      <c r="B4473" s="628" t="s">
        <v>22</v>
      </c>
      <c r="C4473" s="629"/>
      <c r="D4473" s="630"/>
      <c r="E4473" s="205" t="s">
        <v>23</v>
      </c>
      <c r="F4473" s="19" t="s">
        <v>47</v>
      </c>
      <c r="G4473" s="205" t="s">
        <v>24</v>
      </c>
      <c r="H4473" s="204" t="s">
        <v>25</v>
      </c>
      <c r="I4473" s="43"/>
    </row>
    <row r="4474" spans="2:9" x14ac:dyDescent="0.15">
      <c r="B4474" s="631" t="s">
        <v>56</v>
      </c>
      <c r="C4474" s="632"/>
      <c r="D4474" s="633"/>
      <c r="E4474" s="5"/>
      <c r="F4474" s="160"/>
      <c r="G4474" s="392"/>
      <c r="H4474" s="160">
        <f>I4496*0.05</f>
        <v>2180.2046875000001</v>
      </c>
      <c r="I4474" s="44"/>
    </row>
    <row r="4475" spans="2:9" x14ac:dyDescent="0.15">
      <c r="B4475" s="631"/>
      <c r="C4475" s="632"/>
      <c r="D4475" s="633"/>
      <c r="E4475" s="5"/>
      <c r="F4475" s="46"/>
      <c r="G4475" s="20"/>
      <c r="H4475" s="56"/>
      <c r="I4475" s="44"/>
    </row>
    <row r="4476" spans="2:9" ht="14" thickBot="1" x14ac:dyDescent="0.2">
      <c r="B4476" s="634"/>
      <c r="C4476" s="635"/>
      <c r="D4476" s="636"/>
      <c r="E4476" s="21"/>
      <c r="F4476" s="22"/>
      <c r="G4476" s="23"/>
      <c r="H4476" s="47"/>
      <c r="I4476" s="48"/>
    </row>
    <row r="4477" spans="2:9" ht="14" thickBot="1" x14ac:dyDescent="0.2">
      <c r="B4477" s="1"/>
      <c r="C4477" s="1"/>
      <c r="D4477" s="1"/>
      <c r="E4477" s="1"/>
      <c r="F4477" s="1"/>
      <c r="G4477" s="1"/>
      <c r="H4477" s="37" t="s">
        <v>26</v>
      </c>
      <c r="I4477" s="161">
        <f>SUM(H4474:H4476)</f>
        <v>2180.2046875000001</v>
      </c>
    </row>
    <row r="4478" spans="2:9" ht="14" thickBot="1" x14ac:dyDescent="0.2">
      <c r="B4478" s="12" t="s">
        <v>27</v>
      </c>
      <c r="C4478" s="12"/>
      <c r="D4478" s="1"/>
      <c r="E4478" s="1"/>
      <c r="F4478" s="1"/>
      <c r="G4478" s="1"/>
      <c r="H4478" s="1"/>
      <c r="I4478" s="1"/>
    </row>
    <row r="4479" spans="2:9" x14ac:dyDescent="0.15">
      <c r="B4479" s="628" t="s">
        <v>22</v>
      </c>
      <c r="C4479" s="629"/>
      <c r="D4479" s="630"/>
      <c r="E4479" s="205" t="s">
        <v>28</v>
      </c>
      <c r="F4479" s="205" t="s">
        <v>29</v>
      </c>
      <c r="G4479" s="205" t="s">
        <v>30</v>
      </c>
      <c r="H4479" s="59" t="s">
        <v>25</v>
      </c>
      <c r="I4479" s="43"/>
    </row>
    <row r="4480" spans="2:9" x14ac:dyDescent="0.15">
      <c r="B4480" s="4" t="s">
        <v>756</v>
      </c>
      <c r="C4480" s="24"/>
      <c r="D4480" s="6"/>
      <c r="E4480" s="5" t="s">
        <v>103</v>
      </c>
      <c r="F4480" s="164">
        <f>MATERIALES!C183</f>
        <v>94365</v>
      </c>
      <c r="G4480" s="65">
        <v>0.1</v>
      </c>
      <c r="H4480" s="167">
        <f>G4480*F4480</f>
        <v>9436.5</v>
      </c>
      <c r="I4480" s="44"/>
    </row>
    <row r="4481" spans="2:11" x14ac:dyDescent="0.15">
      <c r="B4481" s="106" t="s">
        <v>757</v>
      </c>
      <c r="C4481" s="310"/>
      <c r="D4481" s="66"/>
      <c r="E4481" s="5" t="s">
        <v>44</v>
      </c>
      <c r="F4481" s="160">
        <f>MATERIALES!C184</f>
        <v>48465</v>
      </c>
      <c r="G4481" s="65">
        <v>0.1</v>
      </c>
      <c r="H4481" s="167">
        <f t="shared" ref="H4481:H4483" si="28">G4481*F4481</f>
        <v>4846.5</v>
      </c>
      <c r="I4481" s="44"/>
    </row>
    <row r="4482" spans="2:11" x14ac:dyDescent="0.15">
      <c r="B4482" s="106" t="s">
        <v>758</v>
      </c>
      <c r="C4482" s="310"/>
      <c r="D4482" s="66"/>
      <c r="E4482" s="5" t="s">
        <v>6</v>
      </c>
      <c r="F4482" s="160">
        <f>'APU -BASICOS'!H153</f>
        <v>669587</v>
      </c>
      <c r="G4482" s="65">
        <f>1*1*0.02</f>
        <v>0.02</v>
      </c>
      <c r="H4482" s="167">
        <f t="shared" si="28"/>
        <v>13391.74</v>
      </c>
      <c r="I4482" s="44"/>
    </row>
    <row r="4483" spans="2:11" ht="14" thickBot="1" x14ac:dyDescent="0.2">
      <c r="B4483" s="33" t="s">
        <v>161</v>
      </c>
      <c r="C4483" s="34"/>
      <c r="D4483" s="54"/>
      <c r="E4483" s="21" t="s">
        <v>62</v>
      </c>
      <c r="F4483" s="165">
        <f>SUM(H4479:H4481)</f>
        <v>14283</v>
      </c>
      <c r="G4483" s="23">
        <v>0.05</v>
      </c>
      <c r="H4483" s="207">
        <f t="shared" si="28"/>
        <v>714.15000000000009</v>
      </c>
      <c r="I4483" s="48"/>
    </row>
    <row r="4484" spans="2:11" ht="14" thickBot="1" x14ac:dyDescent="0.2">
      <c r="B4484" s="1"/>
      <c r="C4484" s="1"/>
      <c r="D4484" s="1"/>
      <c r="E4484" s="1"/>
      <c r="F4484" s="1"/>
      <c r="G4484" s="1"/>
      <c r="H4484" s="37" t="s">
        <v>26</v>
      </c>
      <c r="I4484" s="175">
        <f>SUM(H4480:H4483)</f>
        <v>28388.89</v>
      </c>
    </row>
    <row r="4485" spans="2:11" ht="14" thickBot="1" x14ac:dyDescent="0.2">
      <c r="B4485" s="28" t="s">
        <v>31</v>
      </c>
      <c r="C4485" s="28"/>
      <c r="D4485" s="26"/>
      <c r="E4485" s="1"/>
      <c r="F4485" s="1"/>
      <c r="G4485" s="1"/>
      <c r="H4485" s="1"/>
      <c r="I4485" s="1"/>
    </row>
    <row r="4486" spans="2:11" x14ac:dyDescent="0.15">
      <c r="B4486" s="51" t="s">
        <v>32</v>
      </c>
      <c r="C4486" s="52"/>
      <c r="D4486" s="96" t="s">
        <v>33</v>
      </c>
      <c r="E4486" s="205" t="s">
        <v>34</v>
      </c>
      <c r="F4486" s="205" t="s">
        <v>35</v>
      </c>
      <c r="G4486" s="205" t="s">
        <v>36</v>
      </c>
      <c r="H4486" s="59" t="s">
        <v>25</v>
      </c>
      <c r="I4486" s="43"/>
    </row>
    <row r="4487" spans="2:11" x14ac:dyDescent="0.15">
      <c r="B4487" s="4" t="s">
        <v>79</v>
      </c>
      <c r="C4487" s="6"/>
      <c r="D4487" s="53">
        <v>0.1</v>
      </c>
      <c r="E4487" s="2">
        <v>15</v>
      </c>
      <c r="F4487" s="2">
        <f>E4487*D4487</f>
        <v>1.5</v>
      </c>
      <c r="G4487" s="65">
        <v>1100</v>
      </c>
      <c r="H4487" s="20">
        <f>G4487*F4487</f>
        <v>1650</v>
      </c>
      <c r="I4487" s="44"/>
    </row>
    <row r="4488" spans="2:11" x14ac:dyDescent="0.15">
      <c r="B4488" s="106"/>
      <c r="C4488" s="66"/>
      <c r="D4488" s="67"/>
      <c r="E4488" s="68"/>
      <c r="F4488" s="68"/>
      <c r="G4488" s="69"/>
      <c r="H4488" s="65"/>
      <c r="I4488" s="44"/>
    </row>
    <row r="4489" spans="2:11" ht="14" thickBot="1" x14ac:dyDescent="0.2">
      <c r="B4489" s="33"/>
      <c r="C4489" s="54"/>
      <c r="D4489" s="21"/>
      <c r="E4489" s="22"/>
      <c r="F4489" s="23"/>
      <c r="G4489" s="47"/>
      <c r="H4489" s="21"/>
      <c r="I4489" s="48"/>
    </row>
    <row r="4490" spans="2:11" ht="14" thickBot="1" x14ac:dyDescent="0.2">
      <c r="B4490" s="1"/>
      <c r="C4490" s="1"/>
      <c r="D4490" s="1"/>
      <c r="E4490" s="1"/>
      <c r="F4490" s="1"/>
      <c r="G4490" s="1"/>
      <c r="H4490" s="37" t="s">
        <v>26</v>
      </c>
      <c r="I4490" s="161">
        <f>SUM(H4487:H4489)</f>
        <v>1650</v>
      </c>
    </row>
    <row r="4491" spans="2:11" ht="14" thickBot="1" x14ac:dyDescent="0.2">
      <c r="B4491" s="28" t="s">
        <v>37</v>
      </c>
      <c r="C4491" s="28"/>
      <c r="D4491" s="1"/>
      <c r="E4491" s="1"/>
      <c r="F4491" s="1"/>
      <c r="G4491" s="1"/>
      <c r="H4491" s="1"/>
      <c r="I4491" s="1"/>
    </row>
    <row r="4492" spans="2:11" x14ac:dyDescent="0.15">
      <c r="B4492" s="51" t="s">
        <v>38</v>
      </c>
      <c r="C4492" s="86"/>
      <c r="D4492" s="31" t="s">
        <v>39</v>
      </c>
      <c r="E4492" s="205" t="s">
        <v>40</v>
      </c>
      <c r="F4492" s="19" t="s">
        <v>41</v>
      </c>
      <c r="G4492" s="31" t="s">
        <v>24</v>
      </c>
      <c r="H4492" s="204" t="s">
        <v>25</v>
      </c>
      <c r="I4492" s="43"/>
    </row>
    <row r="4493" spans="2:11" x14ac:dyDescent="0.15">
      <c r="B4493" s="4" t="s">
        <v>65</v>
      </c>
      <c r="C4493" s="24"/>
      <c r="D4493" s="32">
        <f>'MANO DE OBRA'!E15</f>
        <v>95333</v>
      </c>
      <c r="E4493" s="166">
        <v>1.75</v>
      </c>
      <c r="F4493" s="162">
        <f>+E4493*D4493</f>
        <v>166832.75</v>
      </c>
      <c r="G4493" s="20">
        <v>8</v>
      </c>
      <c r="H4493" s="167">
        <f>+F4493/G4493</f>
        <v>20854.09375</v>
      </c>
      <c r="I4493" s="44"/>
    </row>
    <row r="4494" spans="2:11" x14ac:dyDescent="0.15">
      <c r="B4494" s="4" t="s">
        <v>55</v>
      </c>
      <c r="C4494" s="24"/>
      <c r="D4494" s="32">
        <f>'MANO DE OBRA'!E14*2</f>
        <v>104000</v>
      </c>
      <c r="E4494" s="166">
        <v>1.75</v>
      </c>
      <c r="F4494" s="162">
        <f>+E4494*D4494</f>
        <v>182000</v>
      </c>
      <c r="G4494" s="20">
        <v>8</v>
      </c>
      <c r="H4494" s="167">
        <f>+F4494/G4494</f>
        <v>22750</v>
      </c>
      <c r="I4494" s="44"/>
    </row>
    <row r="4495" spans="2:11" ht="14" thickBot="1" x14ac:dyDescent="0.2">
      <c r="B4495" s="33"/>
      <c r="C4495" s="34"/>
      <c r="D4495" s="22"/>
      <c r="E4495" s="21"/>
      <c r="F4495" s="22"/>
      <c r="G4495" s="23"/>
      <c r="H4495" s="47"/>
      <c r="I4495" s="48"/>
      <c r="K4495" s="105"/>
    </row>
    <row r="4496" spans="2:11" ht="14" thickBot="1" x14ac:dyDescent="0.2">
      <c r="B4496" s="1"/>
      <c r="C4496" s="1"/>
      <c r="D4496" s="1"/>
      <c r="E4496" s="1"/>
      <c r="F4496" s="1"/>
      <c r="G4496" s="1"/>
      <c r="H4496" s="37" t="s">
        <v>26</v>
      </c>
      <c r="I4496" s="175">
        <f>SUM(H4493:H4495)</f>
        <v>43604.09375</v>
      </c>
      <c r="K4496" s="105"/>
    </row>
    <row r="4497" spans="2:9" ht="14" thickBot="1" x14ac:dyDescent="0.2">
      <c r="B4497" s="1"/>
      <c r="C4497" s="1"/>
      <c r="D4497" s="1"/>
      <c r="E4497" s="1"/>
      <c r="F4497" s="1"/>
      <c r="G4497" s="1"/>
      <c r="H4497" s="61"/>
      <c r="I4497" s="1"/>
    </row>
    <row r="4498" spans="2:9" ht="15" thickBot="1" x14ac:dyDescent="0.2">
      <c r="B4498" s="1"/>
      <c r="C4498" s="1"/>
      <c r="D4498" s="1"/>
      <c r="E4498" s="1"/>
      <c r="F4498" s="35" t="s">
        <v>43</v>
      </c>
      <c r="G4498" s="16"/>
      <c r="H4498" s="16"/>
      <c r="I4498" s="222">
        <f>ROUND((I4477+I4484+I4490+I4496),0)</f>
        <v>75823</v>
      </c>
    </row>
    <row r="4499" spans="2:9" x14ac:dyDescent="0.15">
      <c r="B4499" s="12"/>
      <c r="C4499" s="12"/>
      <c r="D4499" s="1"/>
      <c r="E4499" s="1"/>
      <c r="F4499" s="1"/>
      <c r="G4499" s="1"/>
      <c r="H4499" s="170"/>
      <c r="I4499" s="170"/>
    </row>
    <row r="4500" spans="2:9" x14ac:dyDescent="0.15">
      <c r="B4500" s="16"/>
      <c r="C4500" s="16"/>
      <c r="D4500" s="16"/>
      <c r="E4500" s="16"/>
      <c r="F4500" s="16"/>
      <c r="G4500" s="61"/>
      <c r="H4500" s="171"/>
      <c r="I4500" s="170"/>
    </row>
    <row r="4501" spans="2:9" x14ac:dyDescent="0.15">
      <c r="B4501" s="1"/>
      <c r="C4501" s="1"/>
      <c r="D4501" s="1"/>
      <c r="E4501" s="1"/>
      <c r="F4501" s="1"/>
      <c r="G4501" s="159"/>
      <c r="H4501" s="170"/>
      <c r="I4501" s="170"/>
    </row>
    <row r="4502" spans="2:9" x14ac:dyDescent="0.15">
      <c r="B4502" s="1"/>
      <c r="C4502" s="1"/>
      <c r="D4502" s="1"/>
      <c r="E4502" s="1"/>
      <c r="F4502" s="1"/>
      <c r="G4502" s="159"/>
      <c r="H4502" s="170"/>
      <c r="I4502" s="170"/>
    </row>
    <row r="4503" spans="2:9" x14ac:dyDescent="0.15">
      <c r="B4503" s="1"/>
      <c r="C4503" s="1"/>
      <c r="D4503" s="1"/>
      <c r="E4503" s="1"/>
      <c r="F4503" s="1"/>
      <c r="G4503" s="159"/>
      <c r="H4503" s="170"/>
      <c r="I4503" s="170"/>
    </row>
    <row r="4504" spans="2:9" x14ac:dyDescent="0.15">
      <c r="B4504" s="1"/>
      <c r="C4504" s="1"/>
      <c r="D4504" s="1"/>
      <c r="E4504" s="1"/>
      <c r="F4504" s="1"/>
      <c r="G4504" s="1"/>
      <c r="H4504" s="37"/>
      <c r="I4504" s="170"/>
    </row>
    <row r="4505" spans="2:9" x14ac:dyDescent="0.15">
      <c r="B4505" s="1"/>
      <c r="C4505" s="1"/>
      <c r="D4505" s="1"/>
      <c r="E4505" s="1"/>
      <c r="F4505" s="1"/>
      <c r="G4505" s="1"/>
      <c r="H4505" s="37"/>
      <c r="I4505" s="170"/>
    </row>
    <row r="4506" spans="2:9" x14ac:dyDescent="0.15">
      <c r="B4506" s="1"/>
      <c r="C4506" s="1"/>
      <c r="D4506" s="1"/>
      <c r="E4506" s="1"/>
      <c r="F4506" s="1"/>
      <c r="G4506" s="1"/>
      <c r="H4506" s="37"/>
      <c r="I4506" s="170"/>
    </row>
    <row r="4507" spans="2:9" x14ac:dyDescent="0.15">
      <c r="B4507" s="1"/>
      <c r="C4507" s="1"/>
      <c r="D4507" s="1"/>
      <c r="E4507" s="1"/>
      <c r="F4507" s="1"/>
      <c r="G4507" s="1"/>
      <c r="H4507" s="37"/>
      <c r="I4507" s="170"/>
    </row>
    <row r="4508" spans="2:9" x14ac:dyDescent="0.15">
      <c r="B4508" s="1"/>
      <c r="C4508" s="1"/>
      <c r="D4508" s="1"/>
      <c r="E4508" s="1"/>
      <c r="F4508" s="1"/>
      <c r="G4508" s="1"/>
      <c r="H4508" s="37"/>
      <c r="I4508" s="170"/>
    </row>
    <row r="4509" spans="2:9" ht="14" x14ac:dyDescent="0.15">
      <c r="B4509" s="101"/>
      <c r="C4509" s="1"/>
      <c r="D4509" s="1"/>
      <c r="E4509" s="1"/>
      <c r="F4509" s="1"/>
      <c r="G4509" s="1"/>
      <c r="H4509" s="1"/>
      <c r="I4509" s="170"/>
    </row>
    <row r="4510" spans="2:9" ht="14" x14ac:dyDescent="0.15">
      <c r="B4510" s="83"/>
      <c r="C4510" s="11"/>
      <c r="D4510" s="1"/>
      <c r="E4510" s="637"/>
      <c r="F4510" s="637"/>
      <c r="G4510" s="637"/>
      <c r="H4510" s="637"/>
      <c r="I4510" s="169"/>
    </row>
    <row r="4511" spans="2:9" ht="14" x14ac:dyDescent="0.15">
      <c r="B4511" s="101"/>
      <c r="C4511" s="11"/>
      <c r="D4511" s="1"/>
      <c r="E4511" s="153"/>
      <c r="F4511" s="153"/>
      <c r="G4511" s="153"/>
      <c r="H4511" s="153"/>
      <c r="I4511" s="169"/>
    </row>
    <row r="4512" spans="2:9" ht="14" x14ac:dyDescent="0.15">
      <c r="B4512" s="101"/>
      <c r="C4512" s="11"/>
      <c r="D4512" s="1"/>
      <c r="E4512" s="153"/>
      <c r="F4512" s="153"/>
      <c r="G4512" s="153"/>
      <c r="H4512" s="153"/>
      <c r="I4512" s="169"/>
    </row>
    <row r="4513" spans="1:10" ht="14" x14ac:dyDescent="0.15">
      <c r="B4513" s="83"/>
      <c r="C4513" s="11"/>
      <c r="D4513" s="1"/>
      <c r="E4513" s="153"/>
      <c r="F4513" s="153"/>
      <c r="G4513" s="153"/>
      <c r="H4513" s="153"/>
      <c r="I4513" s="169"/>
    </row>
    <row r="4514" spans="1:10" x14ac:dyDescent="0.15">
      <c r="B4514" s="11"/>
      <c r="C4514" s="11"/>
      <c r="D4514" s="1"/>
      <c r="E4514" s="153"/>
      <c r="F4514" s="153"/>
      <c r="G4514" s="153"/>
      <c r="H4514" s="153"/>
      <c r="I4514" s="169"/>
    </row>
    <row r="4515" spans="1:10" x14ac:dyDescent="0.15">
      <c r="B4515" s="11"/>
      <c r="C4515" s="11"/>
      <c r="D4515" s="1"/>
      <c r="E4515" s="153"/>
      <c r="F4515" s="153"/>
      <c r="G4515" s="153"/>
      <c r="H4515" s="153"/>
      <c r="I4515" s="169"/>
    </row>
    <row r="4516" spans="1:10" x14ac:dyDescent="0.15">
      <c r="B4516" s="11"/>
      <c r="C4516" s="11"/>
      <c r="D4516" s="1"/>
      <c r="E4516" s="153"/>
      <c r="F4516" s="153"/>
      <c r="G4516" s="153"/>
      <c r="H4516" s="153"/>
      <c r="I4516" s="169"/>
    </row>
    <row r="4517" spans="1:10" x14ac:dyDescent="0.15">
      <c r="B4517" s="11"/>
      <c r="C4517" s="11"/>
      <c r="D4517" s="1"/>
      <c r="E4517" s="153"/>
      <c r="F4517" s="153"/>
      <c r="G4517" s="153"/>
      <c r="H4517" s="153"/>
      <c r="I4517" s="169"/>
    </row>
    <row r="4518" spans="1:10" ht="14" x14ac:dyDescent="0.15">
      <c r="A4518" s="85"/>
      <c r="B4518" s="83"/>
      <c r="C4518" s="83"/>
      <c r="D4518" s="84"/>
      <c r="E4518" s="83"/>
      <c r="F4518" s="154"/>
      <c r="G4518" s="155"/>
      <c r="H4518" s="156"/>
      <c r="I4518" s="157"/>
      <c r="J4518" s="85"/>
    </row>
    <row r="4519" spans="1:10" ht="14" x14ac:dyDescent="0.15">
      <c r="B4519" s="83"/>
      <c r="C4519" s="11"/>
      <c r="D4519" s="11"/>
      <c r="E4519" s="11"/>
      <c r="F4519" s="691"/>
      <c r="G4519" s="691"/>
      <c r="H4519" s="691"/>
      <c r="I4519" s="691"/>
    </row>
    <row r="4520" spans="1:10" x14ac:dyDescent="0.15">
      <c r="B4520" s="11"/>
      <c r="C4520" s="11"/>
      <c r="D4520" s="1"/>
      <c r="E4520" s="153"/>
      <c r="F4520" s="153"/>
      <c r="G4520" s="153"/>
      <c r="H4520" s="153"/>
      <c r="I4520" s="169"/>
    </row>
    <row r="4521" spans="1:10" ht="14" thickBot="1" x14ac:dyDescent="0.2">
      <c r="B4521" s="11"/>
      <c r="C4521" s="11"/>
      <c r="D4521" s="1"/>
      <c r="E4521" s="153"/>
      <c r="F4521" s="153"/>
      <c r="G4521" s="153"/>
      <c r="H4521" s="153"/>
      <c r="I4521" s="169"/>
    </row>
    <row r="4522" spans="1:10" ht="21" customHeight="1" x14ac:dyDescent="0.15">
      <c r="B4522" s="607" t="s">
        <v>1065</v>
      </c>
      <c r="C4522" s="608"/>
      <c r="D4522" s="608"/>
      <c r="E4522" s="608"/>
      <c r="F4522" s="609"/>
      <c r="G4522" s="1"/>
      <c r="H4522" s="638" t="s">
        <v>20</v>
      </c>
      <c r="I4522" s="639"/>
    </row>
    <row r="4523" spans="1:10" ht="16.5" customHeight="1" x14ac:dyDescent="0.15">
      <c r="B4523" s="604" t="s">
        <v>446</v>
      </c>
      <c r="C4523" s="605"/>
      <c r="D4523" s="605"/>
      <c r="E4523" s="605"/>
      <c r="F4523" s="606"/>
      <c r="G4523" s="63"/>
      <c r="H4523" s="640"/>
      <c r="I4523" s="641"/>
    </row>
    <row r="4524" spans="1:10" ht="12.75" customHeight="1" x14ac:dyDescent="0.15">
      <c r="B4524" s="610" t="s">
        <v>447</v>
      </c>
      <c r="C4524" s="611"/>
      <c r="D4524" s="611"/>
      <c r="E4524" s="611"/>
      <c r="F4524" s="612"/>
      <c r="G4524" s="63"/>
      <c r="H4524" s="642"/>
      <c r="I4524" s="643"/>
    </row>
    <row r="4525" spans="1:10" ht="16.5" customHeight="1" thickBot="1" x14ac:dyDescent="0.2">
      <c r="B4525" s="613"/>
      <c r="C4525" s="614"/>
      <c r="D4525" s="614"/>
      <c r="E4525" s="614"/>
      <c r="F4525" s="615"/>
      <c r="G4525" s="1"/>
      <c r="H4525" s="662" t="s">
        <v>1047</v>
      </c>
      <c r="I4525" s="663"/>
    </row>
    <row r="4526" spans="1:10" ht="14" thickBot="1" x14ac:dyDescent="0.2">
      <c r="B4526" s="15"/>
      <c r="C4526" s="16"/>
      <c r="D4526" s="1"/>
      <c r="E4526" s="1"/>
      <c r="F4526" s="1"/>
      <c r="G4526" s="1"/>
      <c r="H4526" s="664"/>
      <c r="I4526" s="665"/>
    </row>
    <row r="4527" spans="1:10" ht="12.75" customHeight="1" x14ac:dyDescent="0.15">
      <c r="B4527" s="650" t="s">
        <v>890</v>
      </c>
      <c r="C4527" s="651"/>
      <c r="D4527" s="651"/>
      <c r="E4527" s="651"/>
      <c r="F4527" s="652"/>
      <c r="G4527" s="1"/>
      <c r="H4527" s="664"/>
      <c r="I4527" s="665"/>
    </row>
    <row r="4528" spans="1:10" ht="12.75" customHeight="1" x14ac:dyDescent="0.15">
      <c r="B4528" s="653"/>
      <c r="C4528" s="654"/>
      <c r="D4528" s="654"/>
      <c r="E4528" s="654"/>
      <c r="F4528" s="655"/>
      <c r="G4528" s="1"/>
      <c r="H4528" s="664"/>
      <c r="I4528" s="665"/>
    </row>
    <row r="4529" spans="2:9" ht="13.5" customHeight="1" x14ac:dyDescent="0.15">
      <c r="B4529" s="653"/>
      <c r="C4529" s="654"/>
      <c r="D4529" s="654"/>
      <c r="E4529" s="654"/>
      <c r="F4529" s="655"/>
      <c r="G4529" s="11"/>
      <c r="H4529" s="666"/>
      <c r="I4529" s="667"/>
    </row>
    <row r="4530" spans="2:9" ht="21.75" customHeight="1" thickBot="1" x14ac:dyDescent="0.2">
      <c r="B4530" s="656"/>
      <c r="C4530" s="657"/>
      <c r="D4530" s="657"/>
      <c r="E4530" s="657"/>
      <c r="F4530" s="658"/>
      <c r="H4530" s="64" t="s">
        <v>45</v>
      </c>
      <c r="I4530" s="17" t="s">
        <v>5</v>
      </c>
    </row>
    <row r="4531" spans="2:9" x14ac:dyDescent="0.15">
      <c r="B4531" s="18"/>
      <c r="C4531" s="18"/>
      <c r="D4531" s="1"/>
      <c r="E4531" s="18"/>
      <c r="F4531" s="18"/>
      <c r="G4531" s="18"/>
      <c r="H4531" s="18"/>
      <c r="I4531" s="1"/>
    </row>
    <row r="4532" spans="2:9" ht="14" thickBot="1" x14ac:dyDescent="0.2">
      <c r="B4532" s="12" t="s">
        <v>21</v>
      </c>
      <c r="C4532" s="12"/>
      <c r="D4532" s="1"/>
      <c r="E4532" s="1"/>
      <c r="F4532" s="1"/>
      <c r="G4532" s="1"/>
      <c r="H4532" s="1"/>
      <c r="I4532" s="1"/>
    </row>
    <row r="4533" spans="2:9" x14ac:dyDescent="0.15">
      <c r="B4533" s="628" t="s">
        <v>22</v>
      </c>
      <c r="C4533" s="629"/>
      <c r="D4533" s="630"/>
      <c r="E4533" s="205" t="s">
        <v>23</v>
      </c>
      <c r="F4533" s="19" t="s">
        <v>47</v>
      </c>
      <c r="G4533" s="205" t="s">
        <v>24</v>
      </c>
      <c r="H4533" s="204" t="s">
        <v>25</v>
      </c>
      <c r="I4533" s="43"/>
    </row>
    <row r="4534" spans="2:9" x14ac:dyDescent="0.15">
      <c r="B4534" s="631" t="s">
        <v>56</v>
      </c>
      <c r="C4534" s="632"/>
      <c r="D4534" s="633"/>
      <c r="E4534" s="5"/>
      <c r="F4534" s="160"/>
      <c r="G4534" s="58"/>
      <c r="H4534" s="160">
        <f>I4556*0.05</f>
        <v>356.41637500000002</v>
      </c>
      <c r="I4534" s="44"/>
    </row>
    <row r="4535" spans="2:9" x14ac:dyDescent="0.15">
      <c r="B4535" s="631"/>
      <c r="C4535" s="632"/>
      <c r="D4535" s="633"/>
      <c r="E4535" s="5"/>
      <c r="F4535" s="160"/>
      <c r="G4535" s="58"/>
      <c r="H4535" s="160"/>
      <c r="I4535" s="44"/>
    </row>
    <row r="4536" spans="2:9" ht="14" thickBot="1" x14ac:dyDescent="0.2">
      <c r="B4536" s="634"/>
      <c r="C4536" s="635"/>
      <c r="D4536" s="636"/>
      <c r="E4536" s="21"/>
      <c r="F4536" s="22"/>
      <c r="G4536" s="23"/>
      <c r="H4536" s="47"/>
      <c r="I4536" s="48"/>
    </row>
    <row r="4537" spans="2:9" ht="14" thickBot="1" x14ac:dyDescent="0.2">
      <c r="B4537" s="1"/>
      <c r="C4537" s="1"/>
      <c r="D4537" s="1"/>
      <c r="E4537" s="1"/>
      <c r="F4537" s="1"/>
      <c r="G4537" s="1"/>
      <c r="H4537" s="37" t="s">
        <v>26</v>
      </c>
      <c r="I4537" s="161">
        <f>SUM(H4534:H4536)</f>
        <v>356.41637500000002</v>
      </c>
    </row>
    <row r="4538" spans="2:9" ht="14" thickBot="1" x14ac:dyDescent="0.2">
      <c r="B4538" s="12" t="s">
        <v>27</v>
      </c>
      <c r="C4538" s="12"/>
      <c r="D4538" s="1"/>
      <c r="E4538" s="1"/>
      <c r="F4538" s="1"/>
      <c r="G4538" s="1"/>
      <c r="H4538" s="1"/>
      <c r="I4538" s="1"/>
    </row>
    <row r="4539" spans="2:9" x14ac:dyDescent="0.15">
      <c r="B4539" s="628" t="s">
        <v>22</v>
      </c>
      <c r="C4539" s="629"/>
      <c r="D4539" s="630"/>
      <c r="E4539" s="205" t="s">
        <v>28</v>
      </c>
      <c r="F4539" s="205" t="s">
        <v>29</v>
      </c>
      <c r="G4539" s="205" t="s">
        <v>30</v>
      </c>
      <c r="H4539" s="204" t="s">
        <v>25</v>
      </c>
      <c r="I4539" s="43"/>
    </row>
    <row r="4540" spans="2:9" x14ac:dyDescent="0.15">
      <c r="B4540" s="4" t="s">
        <v>304</v>
      </c>
      <c r="C4540" s="24"/>
      <c r="D4540" s="6"/>
      <c r="E4540" s="3" t="s">
        <v>193</v>
      </c>
      <c r="F4540" s="162">
        <f>MATERIALES!C121</f>
        <v>27880</v>
      </c>
      <c r="G4540" s="180">
        <v>1</v>
      </c>
      <c r="H4540" s="163">
        <f>G4540*F4540</f>
        <v>27880</v>
      </c>
      <c r="I4540" s="44"/>
    </row>
    <row r="4541" spans="2:9" x14ac:dyDescent="0.15">
      <c r="B4541" s="4" t="s">
        <v>74</v>
      </c>
      <c r="C4541" s="24"/>
      <c r="D4541" s="6"/>
      <c r="E4541" s="3" t="s">
        <v>58</v>
      </c>
      <c r="F4541" s="162">
        <f>MATERIALES!C106</f>
        <v>24500</v>
      </c>
      <c r="G4541" s="65">
        <v>0.05</v>
      </c>
      <c r="H4541" s="163">
        <f t="shared" ref="H4541:H4543" si="29">G4541*F4541</f>
        <v>1225</v>
      </c>
      <c r="I4541" s="44"/>
    </row>
    <row r="4542" spans="2:9" x14ac:dyDescent="0.15">
      <c r="B4542" s="4" t="s">
        <v>119</v>
      </c>
      <c r="C4542" s="24"/>
      <c r="D4542" s="6"/>
      <c r="E4542" s="3" t="s">
        <v>76</v>
      </c>
      <c r="F4542" s="162">
        <f>MATERIALES!C107</f>
        <v>110500</v>
      </c>
      <c r="G4542" s="65">
        <v>0.05</v>
      </c>
      <c r="H4542" s="163">
        <f t="shared" si="29"/>
        <v>5525</v>
      </c>
      <c r="I4542" s="44"/>
    </row>
    <row r="4543" spans="2:9" x14ac:dyDescent="0.15">
      <c r="B4543" s="4" t="s">
        <v>75</v>
      </c>
      <c r="C4543" s="24"/>
      <c r="D4543" s="6"/>
      <c r="E4543" s="3" t="s">
        <v>76</v>
      </c>
      <c r="F4543" s="162">
        <f>MATERIALES!C109</f>
        <v>82420</v>
      </c>
      <c r="G4543" s="65">
        <v>0.02</v>
      </c>
      <c r="H4543" s="163">
        <f t="shared" si="29"/>
        <v>1648.4</v>
      </c>
      <c r="I4543" s="44"/>
    </row>
    <row r="4544" spans="2:9" ht="14" thickBot="1" x14ac:dyDescent="0.2">
      <c r="B4544" s="25"/>
      <c r="C4544" s="26"/>
      <c r="D4544" s="27"/>
      <c r="E4544" s="21"/>
      <c r="F4544" s="22"/>
      <c r="G4544" s="165"/>
      <c r="H4544" s="47"/>
      <c r="I4544" s="48"/>
    </row>
    <row r="4545" spans="2:11" ht="14" thickBot="1" x14ac:dyDescent="0.2">
      <c r="B4545" s="1"/>
      <c r="C4545" s="1"/>
      <c r="D4545" s="1"/>
      <c r="E4545" s="1"/>
      <c r="F4545" s="1"/>
      <c r="G4545" s="1"/>
      <c r="H4545" s="37" t="s">
        <v>26</v>
      </c>
      <c r="I4545" s="161">
        <f>SUM(H4540:H4543)</f>
        <v>36278.400000000001</v>
      </c>
    </row>
    <row r="4546" spans="2:11" ht="14" thickBot="1" x14ac:dyDescent="0.2">
      <c r="B4546" s="28" t="s">
        <v>31</v>
      </c>
      <c r="C4546" s="28"/>
      <c r="D4546" s="26"/>
      <c r="E4546" s="1"/>
      <c r="F4546" s="1"/>
      <c r="G4546" s="1"/>
      <c r="H4546" s="1"/>
      <c r="I4546" s="1"/>
    </row>
    <row r="4547" spans="2:11" x14ac:dyDescent="0.15">
      <c r="B4547" s="51" t="s">
        <v>32</v>
      </c>
      <c r="C4547" s="52"/>
      <c r="D4547" s="96" t="s">
        <v>33</v>
      </c>
      <c r="E4547" s="205" t="s">
        <v>34</v>
      </c>
      <c r="F4547" s="205" t="s">
        <v>35</v>
      </c>
      <c r="G4547" s="205" t="s">
        <v>36</v>
      </c>
      <c r="H4547" s="59" t="s">
        <v>25</v>
      </c>
      <c r="I4547" s="43"/>
    </row>
    <row r="4548" spans="2:11" x14ac:dyDescent="0.15">
      <c r="B4548" s="4" t="s">
        <v>79</v>
      </c>
      <c r="C4548" s="6"/>
      <c r="D4548" s="53">
        <v>0.05</v>
      </c>
      <c r="E4548" s="2">
        <v>43</v>
      </c>
      <c r="F4548" s="2">
        <f>E4548*D4548</f>
        <v>2.15</v>
      </c>
      <c r="G4548" s="58">
        <v>1100</v>
      </c>
      <c r="H4548" s="20">
        <f>G4548*F4548</f>
        <v>2365</v>
      </c>
      <c r="I4548" s="44"/>
    </row>
    <row r="4549" spans="2:11" ht="14" thickBot="1" x14ac:dyDescent="0.2">
      <c r="B4549" s="33"/>
      <c r="C4549" s="54"/>
      <c r="D4549" s="21"/>
      <c r="E4549" s="22"/>
      <c r="F4549" s="23"/>
      <c r="G4549" s="47"/>
      <c r="H4549" s="21"/>
      <c r="I4549" s="48"/>
    </row>
    <row r="4550" spans="2:11" ht="14" thickBot="1" x14ac:dyDescent="0.2">
      <c r="B4550" s="1"/>
      <c r="C4550" s="1"/>
      <c r="D4550" s="1"/>
      <c r="E4550" s="1"/>
      <c r="F4550" s="1"/>
      <c r="G4550" s="1"/>
      <c r="H4550" s="37" t="s">
        <v>26</v>
      </c>
      <c r="I4550" s="161">
        <f>SUM(H4548:H4549)</f>
        <v>2365</v>
      </c>
    </row>
    <row r="4551" spans="2:11" ht="14" thickBot="1" x14ac:dyDescent="0.2">
      <c r="B4551" s="28" t="s">
        <v>37</v>
      </c>
      <c r="C4551" s="28"/>
      <c r="D4551" s="1"/>
      <c r="E4551" s="1"/>
      <c r="F4551" s="1"/>
      <c r="G4551" s="1"/>
      <c r="H4551" s="1"/>
      <c r="I4551" s="1"/>
    </row>
    <row r="4552" spans="2:11" x14ac:dyDescent="0.15">
      <c r="B4552" s="51" t="s">
        <v>38</v>
      </c>
      <c r="C4552" s="86"/>
      <c r="D4552" s="31" t="s">
        <v>39</v>
      </c>
      <c r="E4552" s="205" t="s">
        <v>40</v>
      </c>
      <c r="F4552" s="19" t="s">
        <v>41</v>
      </c>
      <c r="G4552" s="31" t="s">
        <v>24</v>
      </c>
      <c r="H4552" s="204" t="s">
        <v>25</v>
      </c>
      <c r="I4552" s="43"/>
    </row>
    <row r="4553" spans="2:11" x14ac:dyDescent="0.15">
      <c r="B4553" s="4" t="s">
        <v>708</v>
      </c>
      <c r="C4553" s="24"/>
      <c r="D4553" s="32">
        <f>'MANO DE OBRA'!E17</f>
        <v>95333</v>
      </c>
      <c r="E4553" s="88">
        <v>1.75</v>
      </c>
      <c r="F4553" s="162">
        <f>+E4553*D4553</f>
        <v>166832.75</v>
      </c>
      <c r="G4553" s="20">
        <v>100</v>
      </c>
      <c r="H4553" s="167">
        <f>+F4553/G4553</f>
        <v>1668.3275000000001</v>
      </c>
      <c r="I4553" s="44"/>
      <c r="K4553" s="105"/>
    </row>
    <row r="4554" spans="2:11" x14ac:dyDescent="0.15">
      <c r="B4554" s="4" t="s">
        <v>94</v>
      </c>
      <c r="C4554" s="24"/>
      <c r="D4554" s="32">
        <f>'MANO DE OBRA'!E14*6</f>
        <v>312000</v>
      </c>
      <c r="E4554" s="88">
        <v>1.75</v>
      </c>
      <c r="F4554" s="162">
        <f>+E4554*D4554</f>
        <v>546000</v>
      </c>
      <c r="G4554" s="20">
        <v>100</v>
      </c>
      <c r="H4554" s="167">
        <f>+F4554/G4554</f>
        <v>5460</v>
      </c>
      <c r="I4554" s="44"/>
    </row>
    <row r="4555" spans="2:11" ht="14" thickBot="1" x14ac:dyDescent="0.2">
      <c r="B4555" s="33"/>
      <c r="C4555" s="34"/>
      <c r="D4555" s="22"/>
      <c r="E4555" s="21"/>
      <c r="F4555" s="22"/>
      <c r="G4555" s="23"/>
      <c r="H4555" s="47"/>
      <c r="I4555" s="48"/>
    </row>
    <row r="4556" spans="2:11" ht="14" thickBot="1" x14ac:dyDescent="0.2">
      <c r="B4556" s="1"/>
      <c r="C4556" s="1"/>
      <c r="D4556" s="1"/>
      <c r="E4556" s="1"/>
      <c r="F4556" s="1"/>
      <c r="G4556" s="1"/>
      <c r="H4556" s="37" t="s">
        <v>26</v>
      </c>
      <c r="I4556" s="175">
        <f>SUM(H4553:H4554)</f>
        <v>7128.3275000000003</v>
      </c>
    </row>
    <row r="4557" spans="2:11" ht="14" thickBot="1" x14ac:dyDescent="0.2">
      <c r="B4557" s="1"/>
      <c r="C4557" s="1"/>
      <c r="D4557" s="1"/>
      <c r="E4557" s="1"/>
      <c r="F4557" s="1"/>
      <c r="G4557" s="1"/>
      <c r="H4557" s="61"/>
      <c r="I4557" s="1"/>
    </row>
    <row r="4558" spans="2:11" ht="15" thickBot="1" x14ac:dyDescent="0.2">
      <c r="B4558" s="1"/>
      <c r="C4558" s="1"/>
      <c r="D4558" s="1"/>
      <c r="E4558" s="1"/>
      <c r="F4558" s="35" t="s">
        <v>43</v>
      </c>
      <c r="G4558" s="16"/>
      <c r="H4558" s="16"/>
      <c r="I4558" s="222">
        <f>ROUND((I4537+I4545+I4550+I4556),0)</f>
        <v>46128</v>
      </c>
    </row>
    <row r="4559" spans="2:11" x14ac:dyDescent="0.15">
      <c r="B4559" s="12"/>
      <c r="C4559" s="12"/>
      <c r="D4559" s="1"/>
      <c r="E4559" s="1"/>
      <c r="F4559" s="1"/>
      <c r="G4559" s="1"/>
      <c r="H4559" s="170"/>
      <c r="I4559" s="170"/>
    </row>
    <row r="4560" spans="2:11" x14ac:dyDescent="0.15">
      <c r="B4560" s="16"/>
      <c r="C4560" s="16"/>
      <c r="D4560" s="16"/>
      <c r="E4560" s="16"/>
      <c r="F4560" s="16"/>
      <c r="G4560" s="61"/>
      <c r="H4560" s="171"/>
      <c r="I4560" s="170"/>
    </row>
    <row r="4561" spans="2:11" x14ac:dyDescent="0.15">
      <c r="B4561" s="1"/>
      <c r="C4561" s="1"/>
      <c r="D4561" s="1"/>
      <c r="E4561" s="1"/>
      <c r="F4561" s="1"/>
      <c r="G4561" s="159"/>
      <c r="H4561" s="170"/>
      <c r="I4561" s="170"/>
      <c r="K4561" s="172"/>
    </row>
    <row r="4562" spans="2:11" x14ac:dyDescent="0.15">
      <c r="B4562" s="1"/>
      <c r="C4562" s="1"/>
      <c r="D4562" s="1"/>
      <c r="E4562" s="1"/>
      <c r="F4562" s="1"/>
      <c r="G4562" s="159"/>
      <c r="H4562" s="170"/>
      <c r="I4562" s="170"/>
    </row>
    <row r="4563" spans="2:11" x14ac:dyDescent="0.15">
      <c r="B4563" s="1"/>
      <c r="C4563" s="1"/>
      <c r="D4563" s="1"/>
      <c r="E4563" s="1"/>
      <c r="F4563" s="1"/>
      <c r="G4563" s="159"/>
      <c r="H4563" s="170"/>
      <c r="I4563" s="170"/>
    </row>
    <row r="4564" spans="2:11" x14ac:dyDescent="0.15">
      <c r="B4564" s="1"/>
      <c r="C4564" s="1"/>
      <c r="D4564" s="1"/>
      <c r="E4564" s="1"/>
      <c r="F4564" s="1"/>
      <c r="G4564" s="159"/>
      <c r="H4564" s="170"/>
      <c r="I4564" s="170"/>
    </row>
    <row r="4565" spans="2:11" x14ac:dyDescent="0.15">
      <c r="B4565" s="1"/>
      <c r="C4565" s="1"/>
      <c r="D4565" s="1"/>
      <c r="E4565" s="1"/>
      <c r="F4565" s="1"/>
      <c r="G4565" s="159"/>
      <c r="H4565" s="170"/>
      <c r="I4565" s="170"/>
    </row>
    <row r="4566" spans="2:11" ht="14" x14ac:dyDescent="0.15">
      <c r="B4566" s="101"/>
      <c r="C4566" s="11"/>
      <c r="D4566" s="1"/>
      <c r="E4566" s="153"/>
      <c r="F4566" s="153"/>
      <c r="G4566" s="153"/>
      <c r="H4566" s="153"/>
      <c r="I4566" s="169"/>
    </row>
    <row r="4567" spans="2:11" ht="14" x14ac:dyDescent="0.15">
      <c r="B4567" s="101"/>
      <c r="C4567" s="11"/>
      <c r="D4567" s="1"/>
      <c r="E4567" s="153"/>
      <c r="F4567" s="153"/>
      <c r="G4567" s="153"/>
      <c r="H4567" s="153"/>
      <c r="I4567" s="169"/>
    </row>
    <row r="4568" spans="2:11" ht="14" x14ac:dyDescent="0.15">
      <c r="B4568" s="101"/>
      <c r="C4568" s="11"/>
      <c r="D4568" s="1"/>
      <c r="E4568" s="153"/>
      <c r="F4568" s="153"/>
      <c r="G4568" s="153"/>
      <c r="H4568" s="153"/>
      <c r="I4568" s="169"/>
    </row>
    <row r="4569" spans="2:11" ht="14" x14ac:dyDescent="0.15">
      <c r="B4569" s="101"/>
      <c r="C4569" s="11"/>
      <c r="D4569" s="1"/>
      <c r="E4569" s="153"/>
      <c r="F4569" s="153"/>
      <c r="G4569" s="153"/>
      <c r="H4569" s="153"/>
      <c r="I4569" s="169"/>
    </row>
    <row r="4570" spans="2:11" ht="14" x14ac:dyDescent="0.15">
      <c r="B4570" s="101"/>
      <c r="C4570" s="11"/>
      <c r="D4570" s="1"/>
      <c r="E4570" s="153"/>
      <c r="F4570" s="153"/>
      <c r="G4570" s="153"/>
      <c r="H4570" s="153"/>
      <c r="I4570" s="169"/>
    </row>
    <row r="4571" spans="2:11" ht="14" x14ac:dyDescent="0.15">
      <c r="B4571" s="101"/>
      <c r="C4571" s="11"/>
      <c r="D4571" s="1"/>
      <c r="E4571" s="153"/>
      <c r="F4571" s="153"/>
      <c r="G4571" s="153"/>
      <c r="H4571" s="153"/>
      <c r="I4571" s="169"/>
    </row>
    <row r="4572" spans="2:11" ht="14" x14ac:dyDescent="0.15">
      <c r="B4572" s="83"/>
      <c r="C4572" s="11"/>
      <c r="D4572" s="1"/>
      <c r="E4572" s="153"/>
      <c r="F4572" s="153"/>
      <c r="G4572" s="153"/>
      <c r="H4572" s="153"/>
      <c r="I4572" s="169"/>
    </row>
    <row r="4573" spans="2:11" x14ac:dyDescent="0.15">
      <c r="B4573" s="11"/>
      <c r="C4573" s="11"/>
      <c r="D4573" s="1"/>
      <c r="E4573" s="153"/>
      <c r="F4573" s="153"/>
      <c r="G4573" s="153"/>
      <c r="H4573" s="153"/>
      <c r="I4573" s="169"/>
    </row>
    <row r="4574" spans="2:11" x14ac:dyDescent="0.15">
      <c r="B4574" s="11"/>
      <c r="C4574" s="11"/>
      <c r="D4574" s="1"/>
      <c r="E4574" s="153"/>
      <c r="F4574" s="153"/>
      <c r="G4574" s="153"/>
      <c r="H4574" s="153"/>
      <c r="I4574" s="169"/>
    </row>
    <row r="4575" spans="2:11" x14ac:dyDescent="0.15">
      <c r="B4575" s="11"/>
      <c r="C4575" s="11"/>
      <c r="D4575" s="1"/>
      <c r="E4575" s="153"/>
      <c r="F4575" s="153"/>
      <c r="G4575" s="153"/>
      <c r="H4575" s="153"/>
      <c r="I4575" s="169"/>
    </row>
    <row r="4576" spans="2:11" x14ac:dyDescent="0.15">
      <c r="B4576" s="11"/>
      <c r="C4576" s="11"/>
      <c r="D4576" s="1"/>
      <c r="E4576" s="153"/>
      <c r="F4576" s="153"/>
      <c r="G4576" s="153"/>
      <c r="H4576" s="153"/>
      <c r="I4576" s="169"/>
    </row>
    <row r="4577" spans="2:10" x14ac:dyDescent="0.15">
      <c r="B4577" s="11"/>
      <c r="C4577" s="11"/>
      <c r="D4577" s="1"/>
      <c r="E4577" s="153"/>
      <c r="F4577" s="153"/>
      <c r="G4577" s="153"/>
      <c r="H4577" s="153"/>
      <c r="I4577" s="169"/>
    </row>
    <row r="4578" spans="2:10" x14ac:dyDescent="0.15">
      <c r="B4578" s="11"/>
      <c r="C4578" s="11"/>
      <c r="D4578" s="1"/>
      <c r="E4578" s="153"/>
      <c r="F4578" s="153"/>
      <c r="G4578" s="153"/>
      <c r="H4578" s="153"/>
      <c r="I4578" s="169"/>
    </row>
    <row r="4579" spans="2:10" x14ac:dyDescent="0.15">
      <c r="B4579" s="11"/>
      <c r="C4579" s="11"/>
      <c r="D4579" s="1"/>
      <c r="E4579" s="153"/>
      <c r="F4579" s="153"/>
      <c r="G4579" s="153"/>
      <c r="H4579" s="153"/>
      <c r="I4579" s="169"/>
    </row>
    <row r="4580" spans="2:10" ht="14" x14ac:dyDescent="0.15">
      <c r="B4580" s="101"/>
      <c r="C4580" s="83"/>
      <c r="D4580" s="84"/>
      <c r="E4580" s="83"/>
      <c r="F4580" s="83"/>
      <c r="G4580" s="102"/>
      <c r="H4580" s="83"/>
      <c r="I4580" s="85"/>
      <c r="J4580" s="85"/>
    </row>
    <row r="4581" spans="2:10" ht="15" thickBot="1" x14ac:dyDescent="0.2">
      <c r="B4581" s="83"/>
      <c r="C4581" s="83"/>
      <c r="D4581" s="84"/>
      <c r="E4581" s="83"/>
      <c r="F4581" s="83"/>
      <c r="G4581" s="103"/>
      <c r="H4581" s="83"/>
      <c r="I4581" s="85"/>
      <c r="J4581" s="85"/>
    </row>
    <row r="4582" spans="2:10" ht="21" customHeight="1" x14ac:dyDescent="0.15">
      <c r="B4582" s="607" t="s">
        <v>1065</v>
      </c>
      <c r="C4582" s="608"/>
      <c r="D4582" s="608"/>
      <c r="E4582" s="608"/>
      <c r="F4582" s="609"/>
      <c r="G4582" s="1"/>
      <c r="H4582" s="638" t="s">
        <v>20</v>
      </c>
      <c r="I4582" s="639"/>
    </row>
    <row r="4583" spans="2:10" ht="16.5" customHeight="1" x14ac:dyDescent="0.15">
      <c r="B4583" s="604" t="s">
        <v>446</v>
      </c>
      <c r="C4583" s="605"/>
      <c r="D4583" s="605"/>
      <c r="E4583" s="605"/>
      <c r="F4583" s="606"/>
      <c r="G4583" s="63"/>
      <c r="H4583" s="640"/>
      <c r="I4583" s="641"/>
    </row>
    <row r="4584" spans="2:10" ht="12.75" customHeight="1" x14ac:dyDescent="0.15">
      <c r="B4584" s="610" t="s">
        <v>447</v>
      </c>
      <c r="C4584" s="611"/>
      <c r="D4584" s="611"/>
      <c r="E4584" s="611"/>
      <c r="F4584" s="612"/>
      <c r="G4584" s="63"/>
      <c r="H4584" s="642"/>
      <c r="I4584" s="643"/>
    </row>
    <row r="4585" spans="2:10" ht="16.5" customHeight="1" thickBot="1" x14ac:dyDescent="0.2">
      <c r="B4585" s="613"/>
      <c r="C4585" s="614"/>
      <c r="D4585" s="614"/>
      <c r="E4585" s="614"/>
      <c r="F4585" s="615"/>
      <c r="G4585" s="1"/>
      <c r="H4585" s="676" t="s">
        <v>1050</v>
      </c>
      <c r="I4585" s="677"/>
    </row>
    <row r="4586" spans="2:10" ht="14" thickBot="1" x14ac:dyDescent="0.2">
      <c r="B4586" s="15"/>
      <c r="C4586" s="16"/>
      <c r="D4586" s="1"/>
      <c r="E4586" s="1"/>
      <c r="F4586" s="1"/>
      <c r="G4586" s="1"/>
      <c r="H4586" s="678"/>
      <c r="I4586" s="679"/>
    </row>
    <row r="4587" spans="2:10" ht="12.75" customHeight="1" x14ac:dyDescent="0.15">
      <c r="B4587" s="650" t="s">
        <v>890</v>
      </c>
      <c r="C4587" s="651"/>
      <c r="D4587" s="651"/>
      <c r="E4587" s="651"/>
      <c r="F4587" s="652"/>
      <c r="G4587" s="1"/>
      <c r="H4587" s="678"/>
      <c r="I4587" s="679"/>
    </row>
    <row r="4588" spans="2:10" ht="12.75" customHeight="1" x14ac:dyDescent="0.15">
      <c r="B4588" s="653"/>
      <c r="C4588" s="654"/>
      <c r="D4588" s="654"/>
      <c r="E4588" s="654"/>
      <c r="F4588" s="655"/>
      <c r="H4588" s="678"/>
      <c r="I4588" s="679"/>
    </row>
    <row r="4589" spans="2:10" ht="13.5" customHeight="1" x14ac:dyDescent="0.15">
      <c r="B4589" s="653"/>
      <c r="C4589" s="654"/>
      <c r="D4589" s="654"/>
      <c r="E4589" s="654"/>
      <c r="F4589" s="655"/>
      <c r="G4589" s="11"/>
      <c r="H4589" s="680"/>
      <c r="I4589" s="681"/>
    </row>
    <row r="4590" spans="2:10" ht="21.75" customHeight="1" thickBot="1" x14ac:dyDescent="0.2">
      <c r="B4590" s="656"/>
      <c r="C4590" s="657"/>
      <c r="D4590" s="657"/>
      <c r="E4590" s="657"/>
      <c r="F4590" s="658"/>
      <c r="H4590" s="64" t="s">
        <v>45</v>
      </c>
      <c r="I4590" s="17" t="s">
        <v>316</v>
      </c>
    </row>
    <row r="4591" spans="2:10" x14ac:dyDescent="0.15">
      <c r="B4591" s="18"/>
      <c r="C4591" s="18"/>
      <c r="D4591" s="1"/>
      <c r="E4591" s="18"/>
      <c r="F4591" s="18"/>
      <c r="G4591" s="18"/>
      <c r="H4591" s="18"/>
      <c r="I4591" s="1"/>
    </row>
    <row r="4592" spans="2:10" ht="14" thickBot="1" x14ac:dyDescent="0.2">
      <c r="B4592" s="12" t="s">
        <v>21</v>
      </c>
      <c r="C4592" s="12"/>
      <c r="D4592" s="1"/>
      <c r="E4592" s="1"/>
      <c r="F4592" s="1"/>
      <c r="G4592" s="1"/>
      <c r="H4592" s="1"/>
      <c r="I4592" s="1"/>
    </row>
    <row r="4593" spans="1:10" x14ac:dyDescent="0.15">
      <c r="B4593" s="628" t="s">
        <v>22</v>
      </c>
      <c r="C4593" s="629"/>
      <c r="D4593" s="630"/>
      <c r="E4593" s="205" t="s">
        <v>23</v>
      </c>
      <c r="F4593" s="19" t="s">
        <v>47</v>
      </c>
      <c r="G4593" s="205" t="s">
        <v>24</v>
      </c>
      <c r="H4593" s="204" t="s">
        <v>25</v>
      </c>
      <c r="I4593" s="43"/>
    </row>
    <row r="4594" spans="1:10" x14ac:dyDescent="0.15">
      <c r="B4594" s="631" t="s">
        <v>56</v>
      </c>
      <c r="C4594" s="632"/>
      <c r="D4594" s="633"/>
      <c r="E4594" s="5"/>
      <c r="F4594" s="323"/>
      <c r="G4594" s="58"/>
      <c r="H4594" s="319">
        <f>I4617*0.05</f>
        <v>8720.8187500000004</v>
      </c>
      <c r="I4594" s="44"/>
    </row>
    <row r="4595" spans="1:10" ht="14" thickBot="1" x14ac:dyDescent="0.2">
      <c r="B4595" s="634"/>
      <c r="C4595" s="635"/>
      <c r="D4595" s="636"/>
      <c r="E4595" s="21"/>
      <c r="F4595" s="22"/>
      <c r="G4595" s="23"/>
      <c r="H4595" s="47"/>
      <c r="I4595" s="48"/>
    </row>
    <row r="4596" spans="1:10" ht="14" thickBot="1" x14ac:dyDescent="0.2">
      <c r="B4596" s="1"/>
      <c r="C4596" s="1"/>
      <c r="D4596" s="1"/>
      <c r="E4596" s="1"/>
      <c r="F4596" s="1"/>
      <c r="G4596" s="1"/>
      <c r="H4596" s="37" t="s">
        <v>26</v>
      </c>
      <c r="I4596" s="321">
        <f>SUM(H4594:H4595)</f>
        <v>8720.8187500000004</v>
      </c>
    </row>
    <row r="4597" spans="1:10" ht="14" thickBot="1" x14ac:dyDescent="0.2">
      <c r="B4597" s="12" t="s">
        <v>27</v>
      </c>
      <c r="C4597" s="12"/>
      <c r="D4597" s="1"/>
      <c r="E4597" s="1"/>
      <c r="F4597" s="1"/>
      <c r="G4597" s="1"/>
      <c r="H4597" s="1"/>
      <c r="I4597" s="1"/>
    </row>
    <row r="4598" spans="1:10" x14ac:dyDescent="0.15">
      <c r="B4598" s="628" t="s">
        <v>22</v>
      </c>
      <c r="C4598" s="629"/>
      <c r="D4598" s="630"/>
      <c r="E4598" s="205" t="s">
        <v>28</v>
      </c>
      <c r="F4598" s="205" t="s">
        <v>29</v>
      </c>
      <c r="G4598" s="205" t="s">
        <v>30</v>
      </c>
      <c r="H4598" s="204" t="s">
        <v>25</v>
      </c>
      <c r="I4598" s="43"/>
    </row>
    <row r="4599" spans="1:10" x14ac:dyDescent="0.15">
      <c r="A4599" s="11"/>
      <c r="B4599" s="4" t="s">
        <v>770</v>
      </c>
      <c r="C4599" s="24"/>
      <c r="D4599" s="6"/>
      <c r="E4599" s="3" t="s">
        <v>5</v>
      </c>
      <c r="F4599" s="314">
        <f>MATERIALES!C115</f>
        <v>378000</v>
      </c>
      <c r="G4599" s="65">
        <v>2.2000000000000002</v>
      </c>
      <c r="H4599" s="319">
        <f>G4599*F4599</f>
        <v>831600.00000000012</v>
      </c>
      <c r="I4599" s="44"/>
      <c r="J4599" s="11"/>
    </row>
    <row r="4600" spans="1:10" x14ac:dyDescent="0.15">
      <c r="B4600" s="4" t="s">
        <v>306</v>
      </c>
      <c r="C4600" s="24"/>
      <c r="D4600" s="6"/>
      <c r="E4600" s="3" t="s">
        <v>426</v>
      </c>
      <c r="F4600" s="314">
        <f>MATERIALES!C112</f>
        <v>4500</v>
      </c>
      <c r="G4600" s="65">
        <v>3</v>
      </c>
      <c r="H4600" s="319">
        <f>G4600*F4600</f>
        <v>13500</v>
      </c>
      <c r="I4600" s="44"/>
    </row>
    <row r="4601" spans="1:10" x14ac:dyDescent="0.15">
      <c r="B4601" s="4" t="s">
        <v>307</v>
      </c>
      <c r="C4601" s="24"/>
      <c r="D4601" s="6"/>
      <c r="E4601" s="3" t="s">
        <v>426</v>
      </c>
      <c r="F4601" s="314">
        <f>MATERIALES!C116</f>
        <v>78500</v>
      </c>
      <c r="G4601" s="65">
        <v>1</v>
      </c>
      <c r="H4601" s="319">
        <f>G4601*F4601</f>
        <v>78500</v>
      </c>
      <c r="I4601" s="44"/>
    </row>
    <row r="4602" spans="1:10" x14ac:dyDescent="0.15">
      <c r="B4602" s="4" t="s">
        <v>308</v>
      </c>
      <c r="C4602" s="24"/>
      <c r="D4602" s="6"/>
      <c r="E4602" s="3" t="s">
        <v>7</v>
      </c>
      <c r="F4602" s="314">
        <f>MATERIALES!C117</f>
        <v>5800</v>
      </c>
      <c r="G4602" s="65">
        <v>1</v>
      </c>
      <c r="H4602" s="319">
        <f>G4602*F4602</f>
        <v>5800</v>
      </c>
      <c r="I4602" s="44"/>
    </row>
    <row r="4603" spans="1:10" ht="14" thickBot="1" x14ac:dyDescent="0.2">
      <c r="B4603" s="25"/>
      <c r="C4603" s="26"/>
      <c r="D4603" s="27"/>
      <c r="E4603" s="21"/>
      <c r="F4603" s="22"/>
      <c r="G4603" s="318"/>
      <c r="H4603" s="47"/>
      <c r="I4603" s="48"/>
    </row>
    <row r="4604" spans="1:10" ht="14" thickBot="1" x14ac:dyDescent="0.2">
      <c r="B4604" s="1"/>
      <c r="C4604" s="1"/>
      <c r="D4604" s="1"/>
      <c r="E4604" s="1"/>
      <c r="F4604" s="1"/>
      <c r="G4604" s="1"/>
      <c r="H4604" s="37" t="s">
        <v>26</v>
      </c>
      <c r="I4604" s="321">
        <f>SUM(H4599:H4602)</f>
        <v>929400.00000000012</v>
      </c>
    </row>
    <row r="4605" spans="1:10" ht="14" thickBot="1" x14ac:dyDescent="0.2">
      <c r="B4605" s="28" t="s">
        <v>31</v>
      </c>
      <c r="C4605" s="28"/>
      <c r="D4605" s="26"/>
      <c r="E4605" s="1"/>
      <c r="F4605" s="1"/>
      <c r="G4605" s="1"/>
      <c r="H4605" s="1"/>
      <c r="I4605" s="1"/>
    </row>
    <row r="4606" spans="1:10" x14ac:dyDescent="0.15">
      <c r="B4606" s="51" t="s">
        <v>32</v>
      </c>
      <c r="C4606" s="52"/>
      <c r="D4606" s="291" t="s">
        <v>33</v>
      </c>
      <c r="E4606" s="205" t="s">
        <v>34</v>
      </c>
      <c r="F4606" s="205" t="s">
        <v>35</v>
      </c>
      <c r="G4606" s="205" t="s">
        <v>36</v>
      </c>
      <c r="H4606" s="59" t="s">
        <v>25</v>
      </c>
      <c r="I4606" s="43"/>
    </row>
    <row r="4607" spans="1:10" x14ac:dyDescent="0.15">
      <c r="B4607" s="4" t="s">
        <v>79</v>
      </c>
      <c r="C4607" s="6"/>
      <c r="D4607" s="53">
        <v>2</v>
      </c>
      <c r="E4607" s="2">
        <v>43</v>
      </c>
      <c r="F4607" s="2">
        <f>E4607*D4607</f>
        <v>86</v>
      </c>
      <c r="G4607" s="160">
        <v>1100</v>
      </c>
      <c r="H4607" s="20">
        <f>G4607*F4607</f>
        <v>94600</v>
      </c>
      <c r="I4607" s="44"/>
    </row>
    <row r="4608" spans="1:10" x14ac:dyDescent="0.15">
      <c r="B4608" s="310"/>
      <c r="C4608" s="66"/>
      <c r="D4608" s="67"/>
      <c r="E4608" s="68"/>
      <c r="F4608" s="68"/>
      <c r="G4608" s="69"/>
      <c r="H4608" s="65"/>
      <c r="I4608" s="44"/>
    </row>
    <row r="4609" spans="2:9" ht="14" thickBot="1" x14ac:dyDescent="0.2">
      <c r="B4609" s="33"/>
      <c r="C4609" s="54"/>
      <c r="D4609" s="21"/>
      <c r="E4609" s="22"/>
      <c r="F4609" s="23"/>
      <c r="G4609" s="47"/>
      <c r="H4609" s="21"/>
      <c r="I4609" s="44"/>
    </row>
    <row r="4610" spans="2:9" ht="14" thickBot="1" x14ac:dyDescent="0.2">
      <c r="B4610" s="1"/>
      <c r="C4610" s="1"/>
      <c r="D4610" s="1"/>
      <c r="E4610" s="1"/>
      <c r="F4610" s="1"/>
      <c r="G4610" s="1"/>
      <c r="H4610" s="37" t="s">
        <v>26</v>
      </c>
      <c r="I4610" s="321">
        <f>SUM(H4607:H4609)</f>
        <v>94600</v>
      </c>
    </row>
    <row r="4611" spans="2:9" ht="14" thickBot="1" x14ac:dyDescent="0.2">
      <c r="B4611" s="28" t="s">
        <v>37</v>
      </c>
      <c r="C4611" s="28"/>
      <c r="D4611" s="1"/>
      <c r="E4611" s="1"/>
      <c r="F4611" s="1"/>
      <c r="G4611" s="1"/>
      <c r="H4611" s="1"/>
      <c r="I4611" s="1"/>
    </row>
    <row r="4612" spans="2:9" x14ac:dyDescent="0.15">
      <c r="B4612" s="51" t="s">
        <v>38</v>
      </c>
      <c r="C4612" s="86"/>
      <c r="D4612" s="31" t="s">
        <v>39</v>
      </c>
      <c r="E4612" s="205" t="s">
        <v>40</v>
      </c>
      <c r="F4612" s="19" t="s">
        <v>41</v>
      </c>
      <c r="G4612" s="31" t="s">
        <v>24</v>
      </c>
      <c r="H4612" s="204" t="s">
        <v>25</v>
      </c>
      <c r="I4612" s="43"/>
    </row>
    <row r="4613" spans="2:9" x14ac:dyDescent="0.15">
      <c r="B4613" s="80" t="s">
        <v>712</v>
      </c>
      <c r="C4613" s="24"/>
      <c r="D4613" s="32">
        <f>'MANO DE OBRA'!E15</f>
        <v>95333</v>
      </c>
      <c r="E4613" s="88">
        <v>1.75</v>
      </c>
      <c r="F4613" s="314">
        <f>+E4613*D4613</f>
        <v>166832.75</v>
      </c>
      <c r="G4613" s="20">
        <v>2</v>
      </c>
      <c r="H4613" s="315">
        <f>+F4613/G4613</f>
        <v>83416.375</v>
      </c>
      <c r="I4613" s="44"/>
    </row>
    <row r="4614" spans="2:9" x14ac:dyDescent="0.15">
      <c r="B4614" s="80" t="s">
        <v>55</v>
      </c>
      <c r="C4614" s="24"/>
      <c r="D4614" s="32">
        <f>'MANO DE OBRA'!E14*2</f>
        <v>104000</v>
      </c>
      <c r="E4614" s="88">
        <v>1.75</v>
      </c>
      <c r="F4614" s="314">
        <f>+E4614*D4614</f>
        <v>182000</v>
      </c>
      <c r="G4614" s="20">
        <v>2</v>
      </c>
      <c r="H4614" s="315">
        <f>+F4614/G4614</f>
        <v>91000</v>
      </c>
      <c r="I4614" s="44"/>
    </row>
    <row r="4615" spans="2:9" x14ac:dyDescent="0.15">
      <c r="B4615" s="4"/>
      <c r="C4615" s="24"/>
      <c r="D4615" s="32"/>
      <c r="E4615" s="166"/>
      <c r="F4615" s="20"/>
      <c r="G4615" s="20"/>
      <c r="H4615" s="55"/>
      <c r="I4615" s="44"/>
    </row>
    <row r="4616" spans="2:9" ht="14" thickBot="1" x14ac:dyDescent="0.2">
      <c r="B4616" s="33"/>
      <c r="C4616" s="34"/>
      <c r="D4616" s="22"/>
      <c r="E4616" s="21"/>
      <c r="F4616" s="22"/>
      <c r="G4616" s="23"/>
      <c r="H4616" s="47"/>
      <c r="I4616" s="48"/>
    </row>
    <row r="4617" spans="2:9" ht="14" thickBot="1" x14ac:dyDescent="0.2">
      <c r="B4617" s="1"/>
      <c r="C4617" s="1"/>
      <c r="D4617" s="1"/>
      <c r="E4617" s="1"/>
      <c r="F4617" s="1"/>
      <c r="G4617" s="1"/>
      <c r="H4617" s="37" t="s">
        <v>26</v>
      </c>
      <c r="I4617" s="317">
        <f>SUM(H4613:H4616)</f>
        <v>174416.375</v>
      </c>
    </row>
    <row r="4618" spans="2:9" ht="14" thickBot="1" x14ac:dyDescent="0.2">
      <c r="B4618" s="1"/>
      <c r="C4618" s="1"/>
      <c r="D4618" s="1"/>
      <c r="E4618" s="1"/>
      <c r="F4618" s="1"/>
      <c r="G4618" s="1"/>
      <c r="H4618" s="61"/>
      <c r="I4618" s="1"/>
    </row>
    <row r="4619" spans="2:9" ht="15" thickBot="1" x14ac:dyDescent="0.2">
      <c r="B4619" s="1"/>
      <c r="C4619" s="1"/>
      <c r="D4619" s="1"/>
      <c r="E4619" s="1"/>
      <c r="F4619" s="35" t="s">
        <v>43</v>
      </c>
      <c r="G4619" s="16"/>
      <c r="H4619" s="16"/>
      <c r="I4619" s="222">
        <f>ROUND((I4596+I4604+I4610+I4617),0)</f>
        <v>1207137</v>
      </c>
    </row>
    <row r="4620" spans="2:9" ht="14" x14ac:dyDescent="0.15">
      <c r="B4620" s="1"/>
      <c r="C4620" s="1"/>
      <c r="D4620" s="1"/>
      <c r="E4620" s="1"/>
      <c r="F4620" s="15"/>
      <c r="G4620" s="16"/>
      <c r="H4620" s="16"/>
      <c r="I4620" s="326"/>
    </row>
    <row r="4621" spans="2:9" ht="14" x14ac:dyDescent="0.15">
      <c r="B4621" s="1"/>
      <c r="C4621" s="1"/>
      <c r="D4621" s="1"/>
      <c r="E4621" s="1"/>
      <c r="F4621" s="15"/>
      <c r="G4621" s="16"/>
      <c r="H4621" s="16"/>
      <c r="I4621" s="326"/>
    </row>
    <row r="4622" spans="2:9" ht="14" x14ac:dyDescent="0.15">
      <c r="B4622" s="1"/>
      <c r="C4622" s="1"/>
      <c r="D4622" s="1"/>
      <c r="E4622" s="1"/>
      <c r="F4622" s="15"/>
      <c r="G4622" s="16"/>
      <c r="H4622" s="16"/>
      <c r="I4622" s="326"/>
    </row>
    <row r="4623" spans="2:9" ht="14" x14ac:dyDescent="0.15">
      <c r="B4623" s="1"/>
      <c r="C4623" s="1"/>
      <c r="D4623" s="1"/>
      <c r="E4623" s="1"/>
      <c r="F4623" s="15"/>
      <c r="G4623" s="16"/>
      <c r="H4623" s="16"/>
      <c r="I4623" s="326"/>
    </row>
    <row r="4624" spans="2:9" ht="14" x14ac:dyDescent="0.15">
      <c r="B4624" s="1"/>
      <c r="C4624" s="1"/>
      <c r="D4624" s="1"/>
      <c r="E4624" s="1"/>
      <c r="F4624" s="15"/>
      <c r="G4624" s="16"/>
      <c r="H4624" s="16"/>
      <c r="I4624" s="326"/>
    </row>
    <row r="4625" spans="2:9" ht="14" x14ac:dyDescent="0.15">
      <c r="B4625" s="1"/>
      <c r="C4625" s="1"/>
      <c r="D4625" s="1"/>
      <c r="E4625" s="1"/>
      <c r="F4625" s="15"/>
      <c r="G4625" s="16"/>
      <c r="H4625" s="16"/>
      <c r="I4625" s="326"/>
    </row>
    <row r="4626" spans="2:9" ht="14" x14ac:dyDescent="0.15">
      <c r="B4626" s="1"/>
      <c r="C4626" s="1"/>
      <c r="D4626" s="1"/>
      <c r="E4626" s="1"/>
      <c r="F4626" s="15"/>
      <c r="G4626" s="16"/>
      <c r="H4626" s="16"/>
      <c r="I4626" s="326"/>
    </row>
    <row r="4627" spans="2:9" ht="14" x14ac:dyDescent="0.15">
      <c r="B4627" s="1"/>
      <c r="C4627" s="1"/>
      <c r="D4627" s="1"/>
      <c r="E4627" s="1"/>
      <c r="F4627" s="15"/>
      <c r="G4627" s="16"/>
      <c r="H4627" s="16"/>
      <c r="I4627" s="326"/>
    </row>
    <row r="4628" spans="2:9" ht="14" x14ac:dyDescent="0.15">
      <c r="B4628" s="1"/>
      <c r="C4628" s="1"/>
      <c r="D4628" s="1"/>
      <c r="E4628" s="1"/>
      <c r="F4628" s="15"/>
      <c r="G4628" s="16"/>
      <c r="H4628" s="16"/>
      <c r="I4628" s="326"/>
    </row>
    <row r="4629" spans="2:9" ht="14" x14ac:dyDescent="0.15">
      <c r="B4629" s="1"/>
      <c r="C4629" s="1"/>
      <c r="D4629" s="1"/>
      <c r="E4629" s="1"/>
      <c r="F4629" s="15"/>
      <c r="G4629" s="16"/>
      <c r="H4629" s="16"/>
      <c r="I4629" s="326"/>
    </row>
    <row r="4630" spans="2:9" ht="14" x14ac:dyDescent="0.15">
      <c r="B4630" s="1"/>
      <c r="C4630" s="1"/>
      <c r="D4630" s="1"/>
      <c r="E4630" s="1"/>
      <c r="F4630" s="15"/>
      <c r="G4630" s="16"/>
      <c r="H4630" s="16"/>
      <c r="I4630" s="326"/>
    </row>
    <row r="4631" spans="2:9" ht="14" x14ac:dyDescent="0.15">
      <c r="B4631" s="1"/>
      <c r="C4631" s="1"/>
      <c r="D4631" s="1"/>
      <c r="E4631" s="1"/>
      <c r="F4631" s="15"/>
      <c r="G4631" s="16"/>
      <c r="H4631" s="16"/>
      <c r="I4631" s="326"/>
    </row>
    <row r="4632" spans="2:9" ht="14" x14ac:dyDescent="0.15">
      <c r="B4632" s="1"/>
      <c r="C4632" s="1"/>
      <c r="D4632" s="1"/>
      <c r="E4632" s="1"/>
      <c r="F4632" s="15"/>
      <c r="G4632" s="16"/>
      <c r="H4632" s="16"/>
      <c r="I4632" s="326"/>
    </row>
    <row r="4633" spans="2:9" ht="14" x14ac:dyDescent="0.15">
      <c r="B4633" s="1"/>
      <c r="C4633" s="1"/>
      <c r="D4633" s="1"/>
      <c r="E4633" s="1"/>
      <c r="F4633" s="15"/>
      <c r="G4633" s="16"/>
      <c r="H4633" s="16"/>
      <c r="I4633" s="326"/>
    </row>
    <row r="4634" spans="2:9" ht="14" x14ac:dyDescent="0.15">
      <c r="B4634" s="1"/>
      <c r="C4634" s="1"/>
      <c r="D4634" s="1"/>
      <c r="E4634" s="1"/>
      <c r="F4634" s="15"/>
      <c r="G4634" s="16"/>
      <c r="H4634" s="16"/>
      <c r="I4634" s="326"/>
    </row>
    <row r="4635" spans="2:9" ht="14" x14ac:dyDescent="0.15">
      <c r="B4635" s="1"/>
      <c r="C4635" s="1"/>
      <c r="D4635" s="1"/>
      <c r="E4635" s="1"/>
      <c r="F4635" s="15"/>
      <c r="G4635" s="16"/>
      <c r="H4635" s="16"/>
      <c r="I4635" s="326"/>
    </row>
    <row r="4636" spans="2:9" x14ac:dyDescent="0.15">
      <c r="B4636" s="11"/>
      <c r="C4636" s="11"/>
      <c r="D4636" s="1"/>
      <c r="E4636" s="153"/>
      <c r="F4636" s="153"/>
      <c r="G4636" s="153"/>
      <c r="H4636" s="153"/>
      <c r="I4636" s="327"/>
    </row>
    <row r="4637" spans="2:9" x14ac:dyDescent="0.15">
      <c r="B4637" s="11"/>
      <c r="C4637" s="11"/>
      <c r="D4637" s="1"/>
      <c r="E4637" s="153"/>
      <c r="F4637" s="153"/>
      <c r="G4637" s="153"/>
      <c r="H4637" s="153"/>
      <c r="I4637" s="327"/>
    </row>
    <row r="4638" spans="2:9" x14ac:dyDescent="0.15">
      <c r="B4638" s="11"/>
      <c r="C4638" s="11"/>
      <c r="D4638" s="1"/>
      <c r="E4638" s="153"/>
      <c r="F4638" s="153"/>
      <c r="G4638" s="153"/>
      <c r="H4638" s="153"/>
      <c r="I4638" s="327"/>
    </row>
    <row r="4639" spans="2:9" x14ac:dyDescent="0.15">
      <c r="B4639" s="11"/>
      <c r="C4639" s="11"/>
      <c r="D4639" s="1"/>
      <c r="E4639" s="153"/>
      <c r="F4639" s="153"/>
      <c r="G4639" s="153"/>
      <c r="H4639" s="153"/>
      <c r="I4639" s="327"/>
    </row>
    <row r="4640" spans="2:9" x14ac:dyDescent="0.15">
      <c r="B4640" s="11"/>
      <c r="C4640" s="11"/>
      <c r="D4640" s="1"/>
      <c r="E4640" s="153"/>
      <c r="F4640" s="153"/>
      <c r="G4640" s="153"/>
      <c r="H4640" s="153"/>
      <c r="I4640" s="327"/>
    </row>
    <row r="4641" spans="2:9" ht="14" thickBot="1" x14ac:dyDescent="0.2"/>
    <row r="4642" spans="2:9" ht="21" customHeight="1" x14ac:dyDescent="0.15">
      <c r="B4642" s="607" t="s">
        <v>1065</v>
      </c>
      <c r="C4642" s="608"/>
      <c r="D4642" s="608"/>
      <c r="E4642" s="608"/>
      <c r="F4642" s="609"/>
      <c r="G4642" s="1"/>
      <c r="H4642" s="638" t="s">
        <v>20</v>
      </c>
      <c r="I4642" s="639"/>
    </row>
    <row r="4643" spans="2:9" ht="16.5" customHeight="1" x14ac:dyDescent="0.15">
      <c r="B4643" s="604" t="s">
        <v>446</v>
      </c>
      <c r="C4643" s="605"/>
      <c r="D4643" s="605"/>
      <c r="E4643" s="605"/>
      <c r="F4643" s="606"/>
      <c r="G4643" s="63"/>
      <c r="H4643" s="640"/>
      <c r="I4643" s="641"/>
    </row>
    <row r="4644" spans="2:9" ht="12.75" customHeight="1" x14ac:dyDescent="0.15">
      <c r="B4644" s="610" t="s">
        <v>447</v>
      </c>
      <c r="C4644" s="611"/>
      <c r="D4644" s="611"/>
      <c r="E4644" s="611"/>
      <c r="F4644" s="612"/>
      <c r="G4644" s="63"/>
      <c r="H4644" s="642"/>
      <c r="I4644" s="643"/>
    </row>
    <row r="4645" spans="2:9" ht="16.5" customHeight="1" thickBot="1" x14ac:dyDescent="0.2">
      <c r="B4645" s="613"/>
      <c r="C4645" s="614"/>
      <c r="D4645" s="614"/>
      <c r="E4645" s="614"/>
      <c r="F4645" s="615"/>
      <c r="G4645" s="1"/>
      <c r="H4645" s="676" t="s">
        <v>1054</v>
      </c>
      <c r="I4645" s="677"/>
    </row>
    <row r="4646" spans="2:9" ht="14" thickBot="1" x14ac:dyDescent="0.2">
      <c r="B4646" s="15"/>
      <c r="C4646" s="16"/>
      <c r="D4646" s="1"/>
      <c r="E4646" s="1"/>
      <c r="F4646" s="1"/>
      <c r="G4646" s="1"/>
      <c r="H4646" s="678"/>
      <c r="I4646" s="679"/>
    </row>
    <row r="4647" spans="2:9" ht="12.75" customHeight="1" x14ac:dyDescent="0.15">
      <c r="B4647" s="650" t="s">
        <v>890</v>
      </c>
      <c r="C4647" s="651"/>
      <c r="D4647" s="651"/>
      <c r="E4647" s="651"/>
      <c r="F4647" s="652"/>
      <c r="G4647" s="1"/>
      <c r="H4647" s="678"/>
      <c r="I4647" s="679"/>
    </row>
    <row r="4648" spans="2:9" ht="12.75" customHeight="1" x14ac:dyDescent="0.15">
      <c r="B4648" s="653"/>
      <c r="C4648" s="654"/>
      <c r="D4648" s="654"/>
      <c r="E4648" s="654"/>
      <c r="F4648" s="655"/>
      <c r="H4648" s="678"/>
      <c r="I4648" s="679"/>
    </row>
    <row r="4649" spans="2:9" ht="13.5" customHeight="1" x14ac:dyDescent="0.15">
      <c r="B4649" s="653"/>
      <c r="C4649" s="654"/>
      <c r="D4649" s="654"/>
      <c r="E4649" s="654"/>
      <c r="F4649" s="655"/>
      <c r="G4649" s="11"/>
      <c r="H4649" s="680"/>
      <c r="I4649" s="681"/>
    </row>
    <row r="4650" spans="2:9" ht="21.75" customHeight="1" thickBot="1" x14ac:dyDescent="0.2">
      <c r="B4650" s="656"/>
      <c r="C4650" s="657"/>
      <c r="D4650" s="657"/>
      <c r="E4650" s="657"/>
      <c r="F4650" s="658"/>
      <c r="H4650" s="64" t="s">
        <v>45</v>
      </c>
      <c r="I4650" s="17" t="s">
        <v>5</v>
      </c>
    </row>
    <row r="4651" spans="2:9" x14ac:dyDescent="0.15">
      <c r="B4651" s="18"/>
      <c r="C4651" s="18"/>
      <c r="D4651" s="1"/>
      <c r="E4651" s="18"/>
      <c r="F4651" s="18"/>
      <c r="G4651" s="18"/>
      <c r="H4651" s="18"/>
      <c r="I4651" s="1"/>
    </row>
    <row r="4652" spans="2:9" ht="14" thickBot="1" x14ac:dyDescent="0.2">
      <c r="B4652" s="12" t="s">
        <v>21</v>
      </c>
      <c r="C4652" s="12"/>
      <c r="D4652" s="1"/>
      <c r="E4652" s="1"/>
      <c r="F4652" s="1"/>
      <c r="G4652" s="1"/>
      <c r="H4652" s="1"/>
      <c r="I4652" s="1"/>
    </row>
    <row r="4653" spans="2:9" x14ac:dyDescent="0.15">
      <c r="B4653" s="628" t="s">
        <v>22</v>
      </c>
      <c r="C4653" s="629"/>
      <c r="D4653" s="630"/>
      <c r="E4653" s="205" t="s">
        <v>23</v>
      </c>
      <c r="F4653" s="19" t="s">
        <v>47</v>
      </c>
      <c r="G4653" s="205" t="s">
        <v>24</v>
      </c>
      <c r="H4653" s="204" t="s">
        <v>25</v>
      </c>
      <c r="I4653" s="43"/>
    </row>
    <row r="4654" spans="2:9" x14ac:dyDescent="0.15">
      <c r="B4654" s="631" t="s">
        <v>56</v>
      </c>
      <c r="C4654" s="632"/>
      <c r="D4654" s="633"/>
      <c r="E4654" s="5"/>
      <c r="F4654" s="323"/>
      <c r="G4654" s="58"/>
      <c r="H4654" s="319">
        <f>I4677*0.05</f>
        <v>4360.4093750000002</v>
      </c>
      <c r="I4654" s="44"/>
    </row>
    <row r="4655" spans="2:9" ht="14" thickBot="1" x14ac:dyDescent="0.2">
      <c r="B4655" s="634"/>
      <c r="C4655" s="635"/>
      <c r="D4655" s="636"/>
      <c r="E4655" s="21"/>
      <c r="F4655" s="22"/>
      <c r="G4655" s="23"/>
      <c r="H4655" s="47"/>
      <c r="I4655" s="48"/>
    </row>
    <row r="4656" spans="2:9" ht="14" thickBot="1" x14ac:dyDescent="0.2">
      <c r="B4656" s="1"/>
      <c r="C4656" s="1"/>
      <c r="D4656" s="1"/>
      <c r="E4656" s="1"/>
      <c r="F4656" s="1"/>
      <c r="G4656" s="1"/>
      <c r="H4656" s="37" t="s">
        <v>26</v>
      </c>
      <c r="I4656" s="321">
        <f>SUM(H4654:H4655)</f>
        <v>4360.4093750000002</v>
      </c>
    </row>
    <row r="4657" spans="1:10" ht="14" thickBot="1" x14ac:dyDescent="0.2">
      <c r="B4657" s="12" t="s">
        <v>27</v>
      </c>
      <c r="C4657" s="12"/>
      <c r="D4657" s="1"/>
      <c r="E4657" s="1"/>
      <c r="F4657" s="1"/>
      <c r="G4657" s="1"/>
      <c r="H4657" s="1"/>
      <c r="I4657" s="1"/>
    </row>
    <row r="4658" spans="1:10" x14ac:dyDescent="0.15">
      <c r="B4658" s="628" t="s">
        <v>22</v>
      </c>
      <c r="C4658" s="629"/>
      <c r="D4658" s="630"/>
      <c r="E4658" s="205" t="s">
        <v>28</v>
      </c>
      <c r="F4658" s="205" t="s">
        <v>29</v>
      </c>
      <c r="G4658" s="205" t="s">
        <v>30</v>
      </c>
      <c r="H4658" s="204" t="s">
        <v>25</v>
      </c>
      <c r="I4658" s="43"/>
    </row>
    <row r="4659" spans="1:10" x14ac:dyDescent="0.15">
      <c r="A4659" s="11"/>
      <c r="B4659" s="4" t="s">
        <v>711</v>
      </c>
      <c r="C4659" s="24"/>
      <c r="D4659" s="6"/>
      <c r="E4659" s="3" t="s">
        <v>5</v>
      </c>
      <c r="F4659" s="314">
        <f>MATERIALES!C114</f>
        <v>297000</v>
      </c>
      <c r="G4659" s="65">
        <v>1</v>
      </c>
      <c r="H4659" s="319">
        <f>G4659*F4659</f>
        <v>297000</v>
      </c>
      <c r="I4659" s="44"/>
      <c r="J4659" s="11"/>
    </row>
    <row r="4660" spans="1:10" x14ac:dyDescent="0.15">
      <c r="B4660" s="4" t="s">
        <v>306</v>
      </c>
      <c r="C4660" s="24"/>
      <c r="D4660" s="6"/>
      <c r="E4660" s="3" t="s">
        <v>426</v>
      </c>
      <c r="F4660" s="314">
        <f>MATERIALES!C112</f>
        <v>4500</v>
      </c>
      <c r="G4660" s="65">
        <v>1.5</v>
      </c>
      <c r="H4660" s="319">
        <f>G4660*F4660</f>
        <v>6750</v>
      </c>
      <c r="I4660" s="44"/>
    </row>
    <row r="4661" spans="1:10" x14ac:dyDescent="0.15">
      <c r="B4661" s="4" t="s">
        <v>307</v>
      </c>
      <c r="C4661" s="24"/>
      <c r="D4661" s="6"/>
      <c r="E4661" s="3" t="s">
        <v>426</v>
      </c>
      <c r="F4661" s="314">
        <f>MATERIALES!C116</f>
        <v>78500</v>
      </c>
      <c r="G4661" s="65">
        <v>0.5</v>
      </c>
      <c r="H4661" s="319">
        <f>G4661*F4661</f>
        <v>39250</v>
      </c>
      <c r="I4661" s="44"/>
    </row>
    <row r="4662" spans="1:10" x14ac:dyDescent="0.15">
      <c r="B4662" s="4" t="s">
        <v>308</v>
      </c>
      <c r="C4662" s="24"/>
      <c r="D4662" s="6"/>
      <c r="E4662" s="3" t="s">
        <v>7</v>
      </c>
      <c r="F4662" s="314">
        <f>MATERIALES!C117</f>
        <v>5800</v>
      </c>
      <c r="G4662" s="65">
        <v>0.5</v>
      </c>
      <c r="H4662" s="319">
        <f>G4662*F4662</f>
        <v>2900</v>
      </c>
      <c r="I4662" s="44"/>
    </row>
    <row r="4663" spans="1:10" ht="14" thickBot="1" x14ac:dyDescent="0.2">
      <c r="B4663" s="25"/>
      <c r="C4663" s="26"/>
      <c r="D4663" s="27"/>
      <c r="E4663" s="21"/>
      <c r="F4663" s="22"/>
      <c r="G4663" s="318"/>
      <c r="H4663" s="47"/>
      <c r="I4663" s="48"/>
    </row>
    <row r="4664" spans="1:10" ht="14" thickBot="1" x14ac:dyDescent="0.2">
      <c r="B4664" s="1"/>
      <c r="C4664" s="1"/>
      <c r="D4664" s="1"/>
      <c r="E4664" s="1"/>
      <c r="F4664" s="1"/>
      <c r="G4664" s="1"/>
      <c r="H4664" s="37" t="s">
        <v>26</v>
      </c>
      <c r="I4664" s="321">
        <f>SUM(H4659:H4662)</f>
        <v>345900</v>
      </c>
    </row>
    <row r="4665" spans="1:10" ht="14" thickBot="1" x14ac:dyDescent="0.2">
      <c r="B4665" s="28" t="s">
        <v>31</v>
      </c>
      <c r="C4665" s="28"/>
      <c r="D4665" s="26"/>
      <c r="E4665" s="1"/>
      <c r="F4665" s="1"/>
      <c r="G4665" s="1"/>
      <c r="H4665" s="1"/>
      <c r="I4665" s="1"/>
    </row>
    <row r="4666" spans="1:10" x14ac:dyDescent="0.15">
      <c r="B4666" s="51" t="s">
        <v>32</v>
      </c>
      <c r="C4666" s="52"/>
      <c r="D4666" s="291" t="s">
        <v>33</v>
      </c>
      <c r="E4666" s="205" t="s">
        <v>34</v>
      </c>
      <c r="F4666" s="205" t="s">
        <v>35</v>
      </c>
      <c r="G4666" s="205" t="s">
        <v>36</v>
      </c>
      <c r="H4666" s="59" t="s">
        <v>25</v>
      </c>
      <c r="I4666" s="43"/>
    </row>
    <row r="4667" spans="1:10" x14ac:dyDescent="0.15">
      <c r="B4667" s="4" t="s">
        <v>79</v>
      </c>
      <c r="C4667" s="6"/>
      <c r="D4667" s="53">
        <v>1</v>
      </c>
      <c r="E4667" s="2">
        <v>43</v>
      </c>
      <c r="F4667" s="2">
        <f>E4667*D4667</f>
        <v>43</v>
      </c>
      <c r="G4667" s="160">
        <v>1100</v>
      </c>
      <c r="H4667" s="20">
        <f>G4667*F4667</f>
        <v>47300</v>
      </c>
      <c r="I4667" s="44"/>
    </row>
    <row r="4668" spans="1:10" x14ac:dyDescent="0.15">
      <c r="B4668" s="310"/>
      <c r="C4668" s="66"/>
      <c r="D4668" s="67"/>
      <c r="E4668" s="68"/>
      <c r="F4668" s="68"/>
      <c r="G4668" s="69"/>
      <c r="H4668" s="65"/>
      <c r="I4668" s="44"/>
    </row>
    <row r="4669" spans="1:10" ht="14" thickBot="1" x14ac:dyDescent="0.2">
      <c r="B4669" s="33"/>
      <c r="C4669" s="54"/>
      <c r="D4669" s="21"/>
      <c r="E4669" s="22"/>
      <c r="F4669" s="23"/>
      <c r="G4669" s="47"/>
      <c r="H4669" s="21"/>
      <c r="I4669" s="44"/>
    </row>
    <row r="4670" spans="1:10" ht="14" thickBot="1" x14ac:dyDescent="0.2">
      <c r="B4670" s="1"/>
      <c r="C4670" s="1"/>
      <c r="D4670" s="1"/>
      <c r="E4670" s="1"/>
      <c r="F4670" s="1"/>
      <c r="G4670" s="1"/>
      <c r="H4670" s="37" t="s">
        <v>26</v>
      </c>
      <c r="I4670" s="321">
        <f>SUM(H4667:H4669)</f>
        <v>47300</v>
      </c>
    </row>
    <row r="4671" spans="1:10" ht="14" thickBot="1" x14ac:dyDescent="0.2">
      <c r="B4671" s="28" t="s">
        <v>37</v>
      </c>
      <c r="C4671" s="28"/>
      <c r="D4671" s="1"/>
      <c r="E4671" s="1"/>
      <c r="F4671" s="1"/>
      <c r="G4671" s="1"/>
      <c r="H4671" s="1"/>
      <c r="I4671" s="1"/>
    </row>
    <row r="4672" spans="1:10" x14ac:dyDescent="0.15">
      <c r="B4672" s="51" t="s">
        <v>38</v>
      </c>
      <c r="C4672" s="86"/>
      <c r="D4672" s="31" t="s">
        <v>39</v>
      </c>
      <c r="E4672" s="205" t="s">
        <v>40</v>
      </c>
      <c r="F4672" s="19" t="s">
        <v>41</v>
      </c>
      <c r="G4672" s="31" t="s">
        <v>24</v>
      </c>
      <c r="H4672" s="204" t="s">
        <v>25</v>
      </c>
      <c r="I4672" s="43"/>
    </row>
    <row r="4673" spans="2:9" x14ac:dyDescent="0.15">
      <c r="B4673" s="80" t="s">
        <v>712</v>
      </c>
      <c r="C4673" s="24"/>
      <c r="D4673" s="32">
        <f>'MANO DE OBRA'!E15</f>
        <v>95333</v>
      </c>
      <c r="E4673" s="88">
        <v>1.75</v>
      </c>
      <c r="F4673" s="314">
        <f>+E4673*D4673</f>
        <v>166832.75</v>
      </c>
      <c r="G4673" s="20">
        <v>4</v>
      </c>
      <c r="H4673" s="315">
        <f>+F4673/G4673</f>
        <v>41708.1875</v>
      </c>
      <c r="I4673" s="44"/>
    </row>
    <row r="4674" spans="2:9" x14ac:dyDescent="0.15">
      <c r="B4674" s="80" t="s">
        <v>55</v>
      </c>
      <c r="C4674" s="24"/>
      <c r="D4674" s="32">
        <f>'MANO DE OBRA'!E14*2</f>
        <v>104000</v>
      </c>
      <c r="E4674" s="88">
        <v>1.75</v>
      </c>
      <c r="F4674" s="314">
        <f>+E4674*D4674</f>
        <v>182000</v>
      </c>
      <c r="G4674" s="20">
        <v>4</v>
      </c>
      <c r="H4674" s="315">
        <f>+F4674/G4674</f>
        <v>45500</v>
      </c>
      <c r="I4674" s="44"/>
    </row>
    <row r="4675" spans="2:9" x14ac:dyDescent="0.15">
      <c r="B4675" s="4"/>
      <c r="C4675" s="24"/>
      <c r="D4675" s="32"/>
      <c r="E4675" s="166"/>
      <c r="F4675" s="20"/>
      <c r="G4675" s="20"/>
      <c r="H4675" s="55"/>
      <c r="I4675" s="44"/>
    </row>
    <row r="4676" spans="2:9" ht="14" thickBot="1" x14ac:dyDescent="0.2">
      <c r="B4676" s="33"/>
      <c r="C4676" s="34"/>
      <c r="D4676" s="22"/>
      <c r="E4676" s="21"/>
      <c r="F4676" s="22"/>
      <c r="G4676" s="23"/>
      <c r="H4676" s="47"/>
      <c r="I4676" s="48"/>
    </row>
    <row r="4677" spans="2:9" ht="14" thickBot="1" x14ac:dyDescent="0.2">
      <c r="B4677" s="1"/>
      <c r="C4677" s="1"/>
      <c r="D4677" s="1"/>
      <c r="E4677" s="1"/>
      <c r="F4677" s="1"/>
      <c r="G4677" s="1"/>
      <c r="H4677" s="37" t="s">
        <v>26</v>
      </c>
      <c r="I4677" s="317">
        <f>SUM(H4673:H4676)</f>
        <v>87208.1875</v>
      </c>
    </row>
    <row r="4678" spans="2:9" ht="14" thickBot="1" x14ac:dyDescent="0.2">
      <c r="B4678" s="1"/>
      <c r="C4678" s="1"/>
      <c r="D4678" s="1"/>
      <c r="E4678" s="1"/>
      <c r="F4678" s="1"/>
      <c r="G4678" s="1"/>
      <c r="H4678" s="61"/>
      <c r="I4678" s="1"/>
    </row>
    <row r="4679" spans="2:9" ht="15" thickBot="1" x14ac:dyDescent="0.2">
      <c r="B4679" s="1"/>
      <c r="C4679" s="1"/>
      <c r="D4679" s="1"/>
      <c r="E4679" s="1"/>
      <c r="F4679" s="35" t="s">
        <v>43</v>
      </c>
      <c r="G4679" s="16"/>
      <c r="H4679" s="16"/>
      <c r="I4679" s="222">
        <f>ROUND((I4656+I4664+I4670+I4677),0)</f>
        <v>484769</v>
      </c>
    </row>
    <row r="4680" spans="2:9" ht="14" x14ac:dyDescent="0.15">
      <c r="B4680" s="1"/>
      <c r="C4680" s="1"/>
      <c r="D4680" s="1"/>
      <c r="E4680" s="1"/>
      <c r="F4680" s="15"/>
      <c r="G4680" s="16"/>
      <c r="H4680" s="16"/>
      <c r="I4680" s="326"/>
    </row>
    <row r="4681" spans="2:9" ht="14" x14ac:dyDescent="0.15">
      <c r="B4681" s="1"/>
      <c r="C4681" s="1"/>
      <c r="D4681" s="1"/>
      <c r="E4681" s="1"/>
      <c r="F4681" s="15"/>
      <c r="G4681" s="16"/>
      <c r="H4681" s="16"/>
      <c r="I4681" s="326"/>
    </row>
    <row r="4682" spans="2:9" ht="14" x14ac:dyDescent="0.15">
      <c r="B4682" s="1"/>
      <c r="C4682" s="1"/>
      <c r="D4682" s="1"/>
      <c r="E4682" s="1"/>
      <c r="F4682" s="15"/>
      <c r="G4682" s="16"/>
      <c r="H4682" s="16"/>
      <c r="I4682" s="326"/>
    </row>
    <row r="4683" spans="2:9" ht="14" x14ac:dyDescent="0.15">
      <c r="B4683" s="1"/>
      <c r="C4683" s="1"/>
      <c r="D4683" s="1"/>
      <c r="E4683" s="1"/>
      <c r="F4683" s="15"/>
      <c r="G4683" s="16"/>
      <c r="H4683" s="16"/>
      <c r="I4683" s="326"/>
    </row>
    <row r="4684" spans="2:9" ht="14" x14ac:dyDescent="0.15">
      <c r="B4684" s="1"/>
      <c r="C4684" s="1"/>
      <c r="D4684" s="1"/>
      <c r="E4684" s="1"/>
      <c r="F4684" s="15"/>
      <c r="G4684" s="16"/>
      <c r="H4684" s="16"/>
      <c r="I4684" s="326"/>
    </row>
    <row r="4685" spans="2:9" ht="14" x14ac:dyDescent="0.15">
      <c r="B4685" s="1"/>
      <c r="C4685" s="1"/>
      <c r="D4685" s="1"/>
      <c r="E4685" s="1"/>
      <c r="F4685" s="15"/>
      <c r="G4685" s="16"/>
      <c r="H4685" s="16"/>
      <c r="I4685" s="326"/>
    </row>
    <row r="4686" spans="2:9" ht="14" x14ac:dyDescent="0.15">
      <c r="B4686" s="1"/>
      <c r="C4686" s="1"/>
      <c r="D4686" s="1"/>
      <c r="E4686" s="1"/>
      <c r="F4686" s="15"/>
      <c r="G4686" s="16"/>
      <c r="H4686" s="16"/>
      <c r="I4686" s="326"/>
    </row>
    <row r="4687" spans="2:9" ht="14" x14ac:dyDescent="0.15">
      <c r="B4687" s="1"/>
      <c r="C4687" s="1"/>
      <c r="D4687" s="1"/>
      <c r="E4687" s="1"/>
      <c r="F4687" s="15"/>
      <c r="G4687" s="16"/>
      <c r="H4687" s="16"/>
      <c r="I4687" s="326"/>
    </row>
    <row r="4688" spans="2:9" ht="14" x14ac:dyDescent="0.15">
      <c r="B4688" s="1"/>
      <c r="C4688" s="1"/>
      <c r="D4688" s="1"/>
      <c r="E4688" s="1"/>
      <c r="F4688" s="15"/>
      <c r="G4688" s="16"/>
      <c r="H4688" s="16"/>
      <c r="I4688" s="326"/>
    </row>
    <row r="4689" spans="2:9" ht="14" x14ac:dyDescent="0.15">
      <c r="B4689" s="1"/>
      <c r="C4689" s="1"/>
      <c r="D4689" s="1"/>
      <c r="E4689" s="1"/>
      <c r="F4689" s="15"/>
      <c r="G4689" s="16"/>
      <c r="H4689" s="16"/>
      <c r="I4689" s="326"/>
    </row>
    <row r="4690" spans="2:9" ht="14" x14ac:dyDescent="0.15">
      <c r="B4690" s="1"/>
      <c r="C4690" s="1"/>
      <c r="D4690" s="1"/>
      <c r="E4690" s="1"/>
      <c r="F4690" s="15"/>
      <c r="G4690" s="16"/>
      <c r="H4690" s="16"/>
      <c r="I4690" s="326"/>
    </row>
    <row r="4691" spans="2:9" ht="14" x14ac:dyDescent="0.15">
      <c r="B4691" s="1"/>
      <c r="C4691" s="1"/>
      <c r="D4691" s="1"/>
      <c r="E4691" s="1"/>
      <c r="F4691" s="15"/>
      <c r="G4691" s="16"/>
      <c r="H4691" s="16"/>
      <c r="I4691" s="326"/>
    </row>
    <row r="4692" spans="2:9" ht="14" x14ac:dyDescent="0.15">
      <c r="B4692" s="1"/>
      <c r="C4692" s="1"/>
      <c r="D4692" s="1"/>
      <c r="E4692" s="1"/>
      <c r="F4692" s="15"/>
      <c r="G4692" s="16"/>
      <c r="H4692" s="16"/>
      <c r="I4692" s="326"/>
    </row>
    <row r="4693" spans="2:9" ht="14" x14ac:dyDescent="0.15">
      <c r="B4693" s="1"/>
      <c r="C4693" s="1"/>
      <c r="D4693" s="1"/>
      <c r="E4693" s="1"/>
      <c r="F4693" s="15"/>
      <c r="G4693" s="16"/>
      <c r="H4693" s="16"/>
      <c r="I4693" s="326"/>
    </row>
    <row r="4694" spans="2:9" ht="14" x14ac:dyDescent="0.15">
      <c r="B4694" s="1"/>
      <c r="C4694" s="1"/>
      <c r="D4694" s="1"/>
      <c r="E4694" s="1"/>
      <c r="F4694" s="15"/>
      <c r="G4694" s="16"/>
      <c r="H4694" s="16"/>
      <c r="I4694" s="326"/>
    </row>
    <row r="4695" spans="2:9" ht="14" x14ac:dyDescent="0.15">
      <c r="B4695" s="1"/>
      <c r="C4695" s="1"/>
      <c r="D4695" s="1"/>
      <c r="E4695" s="1"/>
      <c r="F4695" s="15"/>
      <c r="G4695" s="16"/>
      <c r="H4695" s="16"/>
      <c r="I4695" s="326"/>
    </row>
    <row r="4696" spans="2:9" x14ac:dyDescent="0.15">
      <c r="B4696" s="11"/>
      <c r="C4696" s="11"/>
      <c r="D4696" s="1"/>
      <c r="E4696" s="153"/>
      <c r="F4696" s="153"/>
      <c r="G4696" s="153"/>
      <c r="H4696" s="153"/>
      <c r="I4696" s="327"/>
    </row>
    <row r="4697" spans="2:9" x14ac:dyDescent="0.15">
      <c r="B4697" s="11"/>
      <c r="C4697" s="11"/>
      <c r="D4697" s="1"/>
      <c r="E4697" s="153"/>
      <c r="F4697" s="153"/>
      <c r="G4697" s="153"/>
      <c r="H4697" s="153"/>
      <c r="I4697" s="327"/>
    </row>
    <row r="4698" spans="2:9" x14ac:dyDescent="0.15">
      <c r="B4698" s="11"/>
      <c r="C4698" s="11"/>
      <c r="D4698" s="1"/>
      <c r="E4698" s="153"/>
      <c r="F4698" s="153"/>
      <c r="G4698" s="153"/>
      <c r="H4698" s="153"/>
      <c r="I4698" s="327"/>
    </row>
    <row r="4699" spans="2:9" x14ac:dyDescent="0.15">
      <c r="B4699" s="11"/>
      <c r="C4699" s="11"/>
      <c r="D4699" s="1"/>
      <c r="E4699" s="153"/>
      <c r="F4699" s="153"/>
      <c r="G4699" s="153"/>
      <c r="H4699" s="153"/>
      <c r="I4699" s="327"/>
    </row>
    <row r="4700" spans="2:9" x14ac:dyDescent="0.15">
      <c r="B4700" s="11"/>
      <c r="C4700" s="11"/>
      <c r="D4700" s="1"/>
      <c r="E4700" s="153"/>
      <c r="F4700" s="153"/>
      <c r="G4700" s="153"/>
      <c r="H4700" s="153"/>
      <c r="I4700" s="327"/>
    </row>
    <row r="4701" spans="2:9" ht="14" thickBot="1" x14ac:dyDescent="0.2"/>
    <row r="4702" spans="2:9" ht="21" customHeight="1" x14ac:dyDescent="0.15">
      <c r="B4702" s="607" t="s">
        <v>1065</v>
      </c>
      <c r="C4702" s="608"/>
      <c r="D4702" s="608"/>
      <c r="E4702" s="608"/>
      <c r="F4702" s="609"/>
      <c r="G4702" s="1"/>
      <c r="H4702" s="638" t="s">
        <v>20</v>
      </c>
      <c r="I4702" s="639"/>
    </row>
    <row r="4703" spans="2:9" ht="16.5" customHeight="1" x14ac:dyDescent="0.15">
      <c r="B4703" s="604" t="s">
        <v>446</v>
      </c>
      <c r="C4703" s="605"/>
      <c r="D4703" s="605"/>
      <c r="E4703" s="605"/>
      <c r="F4703" s="606"/>
      <c r="G4703" s="63"/>
      <c r="H4703" s="640"/>
      <c r="I4703" s="641"/>
    </row>
    <row r="4704" spans="2:9" ht="12.75" customHeight="1" x14ac:dyDescent="0.15">
      <c r="B4704" s="610" t="s">
        <v>447</v>
      </c>
      <c r="C4704" s="611"/>
      <c r="D4704" s="611"/>
      <c r="E4704" s="611"/>
      <c r="F4704" s="612"/>
      <c r="G4704" s="63"/>
      <c r="H4704" s="642"/>
      <c r="I4704" s="643"/>
    </row>
    <row r="4705" spans="1:10" ht="16.5" customHeight="1" thickBot="1" x14ac:dyDescent="0.2">
      <c r="B4705" s="613"/>
      <c r="C4705" s="614"/>
      <c r="D4705" s="614"/>
      <c r="E4705" s="614"/>
      <c r="F4705" s="615"/>
      <c r="G4705" s="1"/>
      <c r="H4705" s="676" t="s">
        <v>1055</v>
      </c>
      <c r="I4705" s="677"/>
    </row>
    <row r="4706" spans="1:10" ht="14" thickBot="1" x14ac:dyDescent="0.2">
      <c r="B4706" s="15"/>
      <c r="C4706" s="16"/>
      <c r="D4706" s="1"/>
      <c r="E4706" s="1"/>
      <c r="F4706" s="1"/>
      <c r="G4706" s="1"/>
      <c r="H4706" s="678"/>
      <c r="I4706" s="679"/>
    </row>
    <row r="4707" spans="1:10" ht="12.75" customHeight="1" x14ac:dyDescent="0.15">
      <c r="B4707" s="650" t="s">
        <v>890</v>
      </c>
      <c r="C4707" s="651"/>
      <c r="D4707" s="651"/>
      <c r="E4707" s="651"/>
      <c r="F4707" s="652"/>
      <c r="G4707" s="1"/>
      <c r="H4707" s="678"/>
      <c r="I4707" s="679"/>
    </row>
    <row r="4708" spans="1:10" ht="12.75" customHeight="1" x14ac:dyDescent="0.15">
      <c r="B4708" s="653"/>
      <c r="C4708" s="654"/>
      <c r="D4708" s="654"/>
      <c r="E4708" s="654"/>
      <c r="F4708" s="655"/>
      <c r="H4708" s="678"/>
      <c r="I4708" s="679"/>
    </row>
    <row r="4709" spans="1:10" ht="13.5" customHeight="1" x14ac:dyDescent="0.15">
      <c r="B4709" s="653"/>
      <c r="C4709" s="654"/>
      <c r="D4709" s="654"/>
      <c r="E4709" s="654"/>
      <c r="F4709" s="655"/>
      <c r="G4709" s="11"/>
      <c r="H4709" s="680"/>
      <c r="I4709" s="681"/>
    </row>
    <row r="4710" spans="1:10" ht="21.75" customHeight="1" thickBot="1" x14ac:dyDescent="0.2">
      <c r="B4710" s="656"/>
      <c r="C4710" s="657"/>
      <c r="D4710" s="657"/>
      <c r="E4710" s="657"/>
      <c r="F4710" s="658"/>
      <c r="H4710" s="64" t="s">
        <v>45</v>
      </c>
      <c r="I4710" s="17" t="s">
        <v>5</v>
      </c>
    </row>
    <row r="4711" spans="1:10" x14ac:dyDescent="0.15">
      <c r="B4711" s="18"/>
      <c r="C4711" s="18"/>
      <c r="D4711" s="1"/>
      <c r="E4711" s="18"/>
      <c r="F4711" s="18"/>
      <c r="G4711" s="18"/>
      <c r="H4711" s="18"/>
      <c r="I4711" s="1"/>
    </row>
    <row r="4712" spans="1:10" ht="14" thickBot="1" x14ac:dyDescent="0.2">
      <c r="B4712" s="12" t="s">
        <v>21</v>
      </c>
      <c r="C4712" s="12"/>
      <c r="D4712" s="1"/>
      <c r="E4712" s="1"/>
      <c r="F4712" s="1"/>
      <c r="G4712" s="1"/>
      <c r="H4712" s="1"/>
      <c r="I4712" s="1"/>
    </row>
    <row r="4713" spans="1:10" x14ac:dyDescent="0.15">
      <c r="B4713" s="628" t="s">
        <v>22</v>
      </c>
      <c r="C4713" s="629"/>
      <c r="D4713" s="630"/>
      <c r="E4713" s="205" t="s">
        <v>23</v>
      </c>
      <c r="F4713" s="19" t="s">
        <v>47</v>
      </c>
      <c r="G4713" s="205" t="s">
        <v>24</v>
      </c>
      <c r="H4713" s="204" t="s">
        <v>25</v>
      </c>
      <c r="I4713" s="43"/>
    </row>
    <row r="4714" spans="1:10" x14ac:dyDescent="0.15">
      <c r="B4714" s="631" t="s">
        <v>56</v>
      </c>
      <c r="C4714" s="632"/>
      <c r="D4714" s="633"/>
      <c r="E4714" s="5"/>
      <c r="F4714" s="323"/>
      <c r="G4714" s="58"/>
      <c r="H4714" s="319">
        <f>I4737*0.05</f>
        <v>3488.3275000000003</v>
      </c>
      <c r="I4714" s="44"/>
    </row>
    <row r="4715" spans="1:10" ht="14" thickBot="1" x14ac:dyDescent="0.2">
      <c r="B4715" s="634"/>
      <c r="C4715" s="635"/>
      <c r="D4715" s="636"/>
      <c r="E4715" s="21"/>
      <c r="F4715" s="22"/>
      <c r="G4715" s="23"/>
      <c r="H4715" s="47"/>
      <c r="I4715" s="48"/>
    </row>
    <row r="4716" spans="1:10" ht="14" thickBot="1" x14ac:dyDescent="0.2">
      <c r="B4716" s="1"/>
      <c r="C4716" s="1"/>
      <c r="D4716" s="1"/>
      <c r="E4716" s="1"/>
      <c r="F4716" s="1"/>
      <c r="G4716" s="1"/>
      <c r="H4716" s="37" t="s">
        <v>26</v>
      </c>
      <c r="I4716" s="321">
        <f>SUM(H4714:H4715)</f>
        <v>3488.3275000000003</v>
      </c>
    </row>
    <row r="4717" spans="1:10" ht="14" thickBot="1" x14ac:dyDescent="0.2">
      <c r="B4717" s="12" t="s">
        <v>27</v>
      </c>
      <c r="C4717" s="12"/>
      <c r="D4717" s="1"/>
      <c r="E4717" s="1"/>
      <c r="F4717" s="1"/>
      <c r="G4717" s="1"/>
      <c r="H4717" s="1"/>
      <c r="I4717" s="1"/>
    </row>
    <row r="4718" spans="1:10" x14ac:dyDescent="0.15">
      <c r="B4718" s="628" t="s">
        <v>22</v>
      </c>
      <c r="C4718" s="629"/>
      <c r="D4718" s="630"/>
      <c r="E4718" s="205" t="s">
        <v>28</v>
      </c>
      <c r="F4718" s="205" t="s">
        <v>29</v>
      </c>
      <c r="G4718" s="205" t="s">
        <v>30</v>
      </c>
      <c r="H4718" s="204" t="s">
        <v>25</v>
      </c>
      <c r="I4718" s="43"/>
    </row>
    <row r="4719" spans="1:10" x14ac:dyDescent="0.15">
      <c r="A4719" s="11"/>
      <c r="B4719" s="4" t="s">
        <v>771</v>
      </c>
      <c r="C4719" s="24"/>
      <c r="D4719" s="6"/>
      <c r="E4719" s="3" t="s">
        <v>5</v>
      </c>
      <c r="F4719" s="314">
        <f>MATERIALES!C113</f>
        <v>270000</v>
      </c>
      <c r="G4719" s="65">
        <v>1</v>
      </c>
      <c r="H4719" s="319">
        <f>G4719*F4719</f>
        <v>270000</v>
      </c>
      <c r="I4719" s="44"/>
      <c r="J4719" s="11"/>
    </row>
    <row r="4720" spans="1:10" x14ac:dyDescent="0.15">
      <c r="B4720" s="4" t="s">
        <v>69</v>
      </c>
      <c r="C4720" s="24"/>
      <c r="D4720" s="6"/>
      <c r="E4720" s="3" t="s">
        <v>19</v>
      </c>
      <c r="F4720" s="314">
        <v>15000</v>
      </c>
      <c r="G4720" s="65">
        <v>0.5</v>
      </c>
      <c r="H4720" s="319">
        <f>G4720*F4720</f>
        <v>7500</v>
      </c>
      <c r="I4720" s="44"/>
    </row>
    <row r="4721" spans="2:9" x14ac:dyDescent="0.15">
      <c r="B4721" s="4"/>
      <c r="C4721" s="24"/>
      <c r="D4721" s="6"/>
      <c r="E4721" s="3"/>
      <c r="F4721" s="314"/>
      <c r="G4721" s="65"/>
      <c r="H4721" s="319"/>
      <c r="I4721" s="44"/>
    </row>
    <row r="4722" spans="2:9" x14ac:dyDescent="0.15">
      <c r="B4722" s="4"/>
      <c r="C4722" s="24"/>
      <c r="D4722" s="6"/>
      <c r="E4722" s="3"/>
      <c r="F4722" s="314"/>
      <c r="G4722" s="65"/>
      <c r="H4722" s="319"/>
      <c r="I4722" s="44"/>
    </row>
    <row r="4723" spans="2:9" ht="14" thickBot="1" x14ac:dyDescent="0.2">
      <c r="B4723" s="25"/>
      <c r="C4723" s="26"/>
      <c r="D4723" s="27"/>
      <c r="E4723" s="21"/>
      <c r="F4723" s="22"/>
      <c r="G4723" s="318"/>
      <c r="H4723" s="47"/>
      <c r="I4723" s="48"/>
    </row>
    <row r="4724" spans="2:9" ht="14" thickBot="1" x14ac:dyDescent="0.2">
      <c r="B4724" s="1"/>
      <c r="C4724" s="1"/>
      <c r="D4724" s="1"/>
      <c r="E4724" s="1"/>
      <c r="F4724" s="1"/>
      <c r="G4724" s="1"/>
      <c r="H4724" s="37" t="s">
        <v>26</v>
      </c>
      <c r="I4724" s="321">
        <f>SUM(H4719:H4722)</f>
        <v>277500</v>
      </c>
    </row>
    <row r="4725" spans="2:9" ht="14" thickBot="1" x14ac:dyDescent="0.2">
      <c r="B4725" s="28" t="s">
        <v>31</v>
      </c>
      <c r="C4725" s="28"/>
      <c r="D4725" s="26"/>
      <c r="E4725" s="1"/>
      <c r="F4725" s="1"/>
      <c r="G4725" s="1"/>
      <c r="H4725" s="1"/>
      <c r="I4725" s="1"/>
    </row>
    <row r="4726" spans="2:9" x14ac:dyDescent="0.15">
      <c r="B4726" s="51" t="s">
        <v>32</v>
      </c>
      <c r="C4726" s="52"/>
      <c r="D4726" s="291" t="s">
        <v>33</v>
      </c>
      <c r="E4726" s="205" t="s">
        <v>34</v>
      </c>
      <c r="F4726" s="205" t="s">
        <v>35</v>
      </c>
      <c r="G4726" s="205" t="s">
        <v>36</v>
      </c>
      <c r="H4726" s="59" t="s">
        <v>25</v>
      </c>
      <c r="I4726" s="43"/>
    </row>
    <row r="4727" spans="2:9" x14ac:dyDescent="0.15">
      <c r="B4727" s="4" t="s">
        <v>79</v>
      </c>
      <c r="C4727" s="6"/>
      <c r="D4727" s="53">
        <v>1</v>
      </c>
      <c r="E4727" s="2">
        <v>43</v>
      </c>
      <c r="F4727" s="2">
        <f>E4727*D4727</f>
        <v>43</v>
      </c>
      <c r="G4727" s="160">
        <v>1100</v>
      </c>
      <c r="H4727" s="20">
        <f>G4727*F4727</f>
        <v>47300</v>
      </c>
      <c r="I4727" s="44"/>
    </row>
    <row r="4728" spans="2:9" x14ac:dyDescent="0.15">
      <c r="B4728" s="310"/>
      <c r="C4728" s="66"/>
      <c r="D4728" s="67"/>
      <c r="E4728" s="68"/>
      <c r="F4728" s="68"/>
      <c r="G4728" s="69"/>
      <c r="H4728" s="65"/>
      <c r="I4728" s="44"/>
    </row>
    <row r="4729" spans="2:9" ht="14" thickBot="1" x14ac:dyDescent="0.2">
      <c r="B4729" s="33"/>
      <c r="C4729" s="54"/>
      <c r="D4729" s="21"/>
      <c r="E4729" s="22"/>
      <c r="F4729" s="23"/>
      <c r="G4729" s="47"/>
      <c r="H4729" s="21"/>
      <c r="I4729" s="44"/>
    </row>
    <row r="4730" spans="2:9" ht="14" thickBot="1" x14ac:dyDescent="0.2">
      <c r="B4730" s="1"/>
      <c r="C4730" s="1"/>
      <c r="D4730" s="1"/>
      <c r="E4730" s="1"/>
      <c r="F4730" s="1"/>
      <c r="G4730" s="1"/>
      <c r="H4730" s="37" t="s">
        <v>26</v>
      </c>
      <c r="I4730" s="321">
        <f>SUM(H4727:H4729)</f>
        <v>47300</v>
      </c>
    </row>
    <row r="4731" spans="2:9" ht="14" thickBot="1" x14ac:dyDescent="0.2">
      <c r="B4731" s="28" t="s">
        <v>37</v>
      </c>
      <c r="C4731" s="28"/>
      <c r="D4731" s="1"/>
      <c r="E4731" s="1"/>
      <c r="F4731" s="1"/>
      <c r="G4731" s="1"/>
      <c r="H4731" s="1"/>
      <c r="I4731" s="1"/>
    </row>
    <row r="4732" spans="2:9" x14ac:dyDescent="0.15">
      <c r="B4732" s="51" t="s">
        <v>38</v>
      </c>
      <c r="C4732" s="86"/>
      <c r="D4732" s="31" t="s">
        <v>39</v>
      </c>
      <c r="E4732" s="205" t="s">
        <v>40</v>
      </c>
      <c r="F4732" s="19" t="s">
        <v>41</v>
      </c>
      <c r="G4732" s="31" t="s">
        <v>24</v>
      </c>
      <c r="H4732" s="204" t="s">
        <v>25</v>
      </c>
      <c r="I4732" s="43"/>
    </row>
    <row r="4733" spans="2:9" x14ac:dyDescent="0.15">
      <c r="B4733" s="80" t="s">
        <v>712</v>
      </c>
      <c r="C4733" s="24"/>
      <c r="D4733" s="32">
        <f>'MANO DE OBRA'!E15</f>
        <v>95333</v>
      </c>
      <c r="E4733" s="88">
        <v>1.75</v>
      </c>
      <c r="F4733" s="314">
        <f>+E4733*D4733</f>
        <v>166832.75</v>
      </c>
      <c r="G4733" s="20">
        <v>5</v>
      </c>
      <c r="H4733" s="315">
        <f>+F4733/G4733</f>
        <v>33366.550000000003</v>
      </c>
      <c r="I4733" s="44"/>
    </row>
    <row r="4734" spans="2:9" x14ac:dyDescent="0.15">
      <c r="B4734" s="80" t="s">
        <v>55</v>
      </c>
      <c r="C4734" s="24"/>
      <c r="D4734" s="32">
        <f>'MANO DE OBRA'!E14*2</f>
        <v>104000</v>
      </c>
      <c r="E4734" s="88">
        <v>1.75</v>
      </c>
      <c r="F4734" s="314">
        <f>+E4734*D4734</f>
        <v>182000</v>
      </c>
      <c r="G4734" s="20">
        <v>5</v>
      </c>
      <c r="H4734" s="315">
        <f>+F4734/G4734</f>
        <v>36400</v>
      </c>
      <c r="I4734" s="44"/>
    </row>
    <row r="4735" spans="2:9" x14ac:dyDescent="0.15">
      <c r="B4735" s="4"/>
      <c r="C4735" s="24"/>
      <c r="D4735" s="32"/>
      <c r="E4735" s="166"/>
      <c r="F4735" s="20"/>
      <c r="G4735" s="20"/>
      <c r="H4735" s="55"/>
      <c r="I4735" s="44"/>
    </row>
    <row r="4736" spans="2:9" ht="14" thickBot="1" x14ac:dyDescent="0.2">
      <c r="B4736" s="33"/>
      <c r="C4736" s="34"/>
      <c r="D4736" s="22"/>
      <c r="E4736" s="21"/>
      <c r="F4736" s="22"/>
      <c r="G4736" s="23"/>
      <c r="H4736" s="47"/>
      <c r="I4736" s="48"/>
    </row>
    <row r="4737" spans="2:9" ht="14" thickBot="1" x14ac:dyDescent="0.2">
      <c r="B4737" s="1"/>
      <c r="C4737" s="1"/>
      <c r="D4737" s="1"/>
      <c r="E4737" s="1"/>
      <c r="F4737" s="1"/>
      <c r="G4737" s="1"/>
      <c r="H4737" s="37" t="s">
        <v>26</v>
      </c>
      <c r="I4737" s="317">
        <f>SUM(H4733:H4736)</f>
        <v>69766.55</v>
      </c>
    </row>
    <row r="4738" spans="2:9" ht="14" thickBot="1" x14ac:dyDescent="0.2">
      <c r="B4738" s="1"/>
      <c r="C4738" s="1"/>
      <c r="D4738" s="1"/>
      <c r="E4738" s="1"/>
      <c r="F4738" s="1"/>
      <c r="G4738" s="1"/>
      <c r="H4738" s="61"/>
      <c r="I4738" s="1"/>
    </row>
    <row r="4739" spans="2:9" ht="15" thickBot="1" x14ac:dyDescent="0.2">
      <c r="B4739" s="1"/>
      <c r="C4739" s="1"/>
      <c r="D4739" s="1"/>
      <c r="E4739" s="1"/>
      <c r="F4739" s="35" t="s">
        <v>43</v>
      </c>
      <c r="G4739" s="16"/>
      <c r="H4739" s="16"/>
      <c r="I4739" s="222">
        <f>ROUND((I4716+I4724+I4730+I4737),0)</f>
        <v>398055</v>
      </c>
    </row>
    <row r="4740" spans="2:9" ht="14" x14ac:dyDescent="0.15">
      <c r="B4740" s="1"/>
      <c r="C4740" s="1"/>
      <c r="D4740" s="1"/>
      <c r="E4740" s="1"/>
      <c r="F4740" s="15"/>
      <c r="G4740" s="16"/>
      <c r="H4740" s="16"/>
      <c r="I4740" s="326"/>
    </row>
    <row r="4741" spans="2:9" ht="14" x14ac:dyDescent="0.15">
      <c r="B4741" s="1"/>
      <c r="C4741" s="1"/>
      <c r="D4741" s="1"/>
      <c r="E4741" s="1"/>
      <c r="F4741" s="15"/>
      <c r="G4741" s="16"/>
      <c r="H4741" s="16"/>
      <c r="I4741" s="326"/>
    </row>
    <row r="4742" spans="2:9" ht="14" x14ac:dyDescent="0.15">
      <c r="B4742" s="1"/>
      <c r="C4742" s="1"/>
      <c r="D4742" s="1"/>
      <c r="E4742" s="1"/>
      <c r="F4742" s="15"/>
      <c r="G4742" s="16"/>
      <c r="H4742" s="16"/>
      <c r="I4742" s="326"/>
    </row>
    <row r="4743" spans="2:9" ht="14" x14ac:dyDescent="0.15">
      <c r="B4743" s="1"/>
      <c r="C4743" s="1"/>
      <c r="D4743" s="1"/>
      <c r="E4743" s="1"/>
      <c r="F4743" s="15"/>
      <c r="G4743" s="16"/>
      <c r="H4743" s="16"/>
      <c r="I4743" s="326"/>
    </row>
    <row r="4744" spans="2:9" ht="14" x14ac:dyDescent="0.15">
      <c r="B4744" s="1"/>
      <c r="C4744" s="1"/>
      <c r="D4744" s="1"/>
      <c r="E4744" s="1"/>
      <c r="F4744" s="15"/>
      <c r="G4744" s="16"/>
      <c r="H4744" s="16"/>
      <c r="I4744" s="326"/>
    </row>
    <row r="4745" spans="2:9" ht="14" x14ac:dyDescent="0.15">
      <c r="B4745" s="1"/>
      <c r="C4745" s="1"/>
      <c r="D4745" s="1"/>
      <c r="E4745" s="1"/>
      <c r="F4745" s="15"/>
      <c r="G4745" s="16"/>
      <c r="H4745" s="16"/>
      <c r="I4745" s="326"/>
    </row>
    <row r="4746" spans="2:9" ht="14" x14ac:dyDescent="0.15">
      <c r="B4746" s="1"/>
      <c r="C4746" s="1"/>
      <c r="D4746" s="1"/>
      <c r="E4746" s="1"/>
      <c r="F4746" s="15"/>
      <c r="G4746" s="16"/>
      <c r="H4746" s="16"/>
      <c r="I4746" s="326"/>
    </row>
    <row r="4747" spans="2:9" ht="14" x14ac:dyDescent="0.15">
      <c r="B4747" s="1"/>
      <c r="C4747" s="1"/>
      <c r="D4747" s="1"/>
      <c r="E4747" s="1"/>
      <c r="F4747" s="15"/>
      <c r="G4747" s="16"/>
      <c r="H4747" s="16"/>
      <c r="I4747" s="326"/>
    </row>
    <row r="4748" spans="2:9" ht="14" x14ac:dyDescent="0.15">
      <c r="B4748" s="1"/>
      <c r="C4748" s="1"/>
      <c r="D4748" s="1"/>
      <c r="E4748" s="1"/>
      <c r="F4748" s="15"/>
      <c r="G4748" s="16"/>
      <c r="H4748" s="16"/>
      <c r="I4748" s="326"/>
    </row>
    <row r="4749" spans="2:9" ht="14" x14ac:dyDescent="0.15">
      <c r="B4749" s="1"/>
      <c r="C4749" s="1"/>
      <c r="D4749" s="1"/>
      <c r="E4749" s="1"/>
      <c r="F4749" s="15"/>
      <c r="G4749" s="16"/>
      <c r="H4749" s="16"/>
      <c r="I4749" s="326"/>
    </row>
    <row r="4750" spans="2:9" ht="14" x14ac:dyDescent="0.15">
      <c r="B4750" s="1"/>
      <c r="C4750" s="1"/>
      <c r="D4750" s="1"/>
      <c r="E4750" s="1"/>
      <c r="F4750" s="15"/>
      <c r="G4750" s="16"/>
      <c r="H4750" s="16"/>
      <c r="I4750" s="326"/>
    </row>
    <row r="4751" spans="2:9" ht="14" x14ac:dyDescent="0.15">
      <c r="B4751" s="1"/>
      <c r="C4751" s="1"/>
      <c r="D4751" s="1"/>
      <c r="E4751" s="1"/>
      <c r="F4751" s="15"/>
      <c r="G4751" s="16"/>
      <c r="H4751" s="16"/>
      <c r="I4751" s="326"/>
    </row>
    <row r="4752" spans="2:9" ht="14" x14ac:dyDescent="0.15">
      <c r="B4752" s="1"/>
      <c r="C4752" s="1"/>
      <c r="D4752" s="1"/>
      <c r="E4752" s="1"/>
      <c r="F4752" s="15"/>
      <c r="G4752" s="16"/>
      <c r="H4752" s="16"/>
      <c r="I4752" s="326"/>
    </row>
    <row r="4753" spans="2:9" ht="14" x14ac:dyDescent="0.15">
      <c r="B4753" s="1"/>
      <c r="C4753" s="1"/>
      <c r="D4753" s="1"/>
      <c r="E4753" s="1"/>
      <c r="F4753" s="15"/>
      <c r="G4753" s="16"/>
      <c r="H4753" s="16"/>
      <c r="I4753" s="326"/>
    </row>
    <row r="4754" spans="2:9" ht="14" x14ac:dyDescent="0.15">
      <c r="B4754" s="1"/>
      <c r="C4754" s="1"/>
      <c r="D4754" s="1"/>
      <c r="E4754" s="1"/>
      <c r="F4754" s="15"/>
      <c r="G4754" s="16"/>
      <c r="H4754" s="16"/>
      <c r="I4754" s="326"/>
    </row>
    <row r="4755" spans="2:9" x14ac:dyDescent="0.15">
      <c r="B4755" s="11"/>
      <c r="C4755" s="11"/>
      <c r="D4755" s="1"/>
      <c r="E4755" s="153"/>
      <c r="F4755" s="153"/>
      <c r="G4755" s="153"/>
      <c r="H4755" s="153"/>
      <c r="I4755" s="327"/>
    </row>
    <row r="4756" spans="2:9" x14ac:dyDescent="0.15">
      <c r="B4756" s="11"/>
      <c r="C4756" s="11"/>
      <c r="D4756" s="1"/>
      <c r="E4756" s="153"/>
      <c r="F4756" s="153"/>
      <c r="G4756" s="153"/>
      <c r="H4756" s="153"/>
      <c r="I4756" s="327"/>
    </row>
    <row r="4757" spans="2:9" x14ac:dyDescent="0.15">
      <c r="B4757" s="11"/>
      <c r="C4757" s="11"/>
      <c r="D4757" s="1"/>
      <c r="E4757" s="153"/>
      <c r="F4757" s="153"/>
      <c r="G4757" s="153"/>
      <c r="H4757" s="153"/>
      <c r="I4757" s="327"/>
    </row>
    <row r="4758" spans="2:9" x14ac:dyDescent="0.15">
      <c r="B4758" s="11"/>
      <c r="C4758" s="11"/>
      <c r="D4758" s="1"/>
      <c r="E4758" s="153"/>
      <c r="F4758" s="153"/>
      <c r="G4758" s="153"/>
      <c r="H4758" s="153"/>
      <c r="I4758" s="327"/>
    </row>
    <row r="4759" spans="2:9" x14ac:dyDescent="0.15">
      <c r="B4759" s="11"/>
      <c r="C4759" s="11"/>
      <c r="D4759" s="1"/>
      <c r="E4759" s="153"/>
      <c r="F4759" s="153"/>
      <c r="G4759" s="153"/>
      <c r="H4759" s="153"/>
      <c r="I4759" s="327"/>
    </row>
    <row r="4760" spans="2:9" x14ac:dyDescent="0.15">
      <c r="B4760" s="11"/>
      <c r="C4760" s="11"/>
      <c r="D4760" s="1"/>
      <c r="E4760" s="153"/>
      <c r="F4760" s="153"/>
      <c r="G4760" s="153"/>
      <c r="H4760" s="153"/>
      <c r="I4760" s="327"/>
    </row>
    <row r="4761" spans="2:9" ht="14" thickBot="1" x14ac:dyDescent="0.2"/>
    <row r="4762" spans="2:9" ht="21" customHeight="1" x14ac:dyDescent="0.15">
      <c r="B4762" s="607" t="s">
        <v>1065</v>
      </c>
      <c r="C4762" s="608"/>
      <c r="D4762" s="608"/>
      <c r="E4762" s="608"/>
      <c r="F4762" s="609"/>
      <c r="G4762" s="1"/>
      <c r="H4762" s="638" t="s">
        <v>20</v>
      </c>
      <c r="I4762" s="639"/>
    </row>
    <row r="4763" spans="2:9" ht="16.5" customHeight="1" x14ac:dyDescent="0.15">
      <c r="B4763" s="604" t="s">
        <v>446</v>
      </c>
      <c r="C4763" s="605"/>
      <c r="D4763" s="605"/>
      <c r="E4763" s="605"/>
      <c r="F4763" s="606"/>
      <c r="G4763" s="63"/>
      <c r="H4763" s="640"/>
      <c r="I4763" s="641"/>
    </row>
    <row r="4764" spans="2:9" ht="12.75" customHeight="1" x14ac:dyDescent="0.15">
      <c r="B4764" s="610" t="s">
        <v>447</v>
      </c>
      <c r="C4764" s="611"/>
      <c r="D4764" s="611"/>
      <c r="E4764" s="611"/>
      <c r="F4764" s="612"/>
      <c r="G4764" s="63"/>
      <c r="H4764" s="642"/>
      <c r="I4764" s="643"/>
    </row>
    <row r="4765" spans="2:9" ht="16.5" customHeight="1" thickBot="1" x14ac:dyDescent="0.2">
      <c r="B4765" s="613"/>
      <c r="C4765" s="614"/>
      <c r="D4765" s="614"/>
      <c r="E4765" s="614"/>
      <c r="F4765" s="615"/>
      <c r="G4765" s="1"/>
      <c r="H4765" s="676" t="s">
        <v>1057</v>
      </c>
      <c r="I4765" s="677"/>
    </row>
    <row r="4766" spans="2:9" ht="14" thickBot="1" x14ac:dyDescent="0.2">
      <c r="B4766" s="15"/>
      <c r="C4766" s="16"/>
      <c r="D4766" s="1"/>
      <c r="E4766" s="1"/>
      <c r="F4766" s="1"/>
      <c r="G4766" s="1"/>
      <c r="H4766" s="678"/>
      <c r="I4766" s="679"/>
    </row>
    <row r="4767" spans="2:9" ht="12.75" customHeight="1" x14ac:dyDescent="0.15">
      <c r="B4767" s="650" t="s">
        <v>890</v>
      </c>
      <c r="C4767" s="651"/>
      <c r="D4767" s="651"/>
      <c r="E4767" s="651"/>
      <c r="F4767" s="652"/>
      <c r="G4767" s="1"/>
      <c r="H4767" s="678"/>
      <c r="I4767" s="679"/>
    </row>
    <row r="4768" spans="2:9" ht="12.75" customHeight="1" x14ac:dyDescent="0.15">
      <c r="B4768" s="653"/>
      <c r="C4768" s="654"/>
      <c r="D4768" s="654"/>
      <c r="E4768" s="654"/>
      <c r="F4768" s="655"/>
      <c r="H4768" s="678"/>
      <c r="I4768" s="679"/>
    </row>
    <row r="4769" spans="1:10" ht="13.5" customHeight="1" x14ac:dyDescent="0.15">
      <c r="B4769" s="653"/>
      <c r="C4769" s="654"/>
      <c r="D4769" s="654"/>
      <c r="E4769" s="654"/>
      <c r="F4769" s="655"/>
      <c r="G4769" s="11"/>
      <c r="H4769" s="680"/>
      <c r="I4769" s="681"/>
    </row>
    <row r="4770" spans="1:10" ht="21.75" customHeight="1" thickBot="1" x14ac:dyDescent="0.2">
      <c r="B4770" s="656"/>
      <c r="C4770" s="657"/>
      <c r="D4770" s="657"/>
      <c r="E4770" s="657"/>
      <c r="F4770" s="658"/>
      <c r="H4770" s="64" t="s">
        <v>45</v>
      </c>
      <c r="I4770" s="17" t="s">
        <v>5</v>
      </c>
    </row>
    <row r="4771" spans="1:10" x14ac:dyDescent="0.15">
      <c r="B4771" s="18"/>
      <c r="C4771" s="18"/>
      <c r="D4771" s="1"/>
      <c r="E4771" s="18"/>
      <c r="F4771" s="18"/>
      <c r="G4771" s="18"/>
      <c r="H4771" s="18"/>
      <c r="I4771" s="1"/>
    </row>
    <row r="4772" spans="1:10" ht="14" thickBot="1" x14ac:dyDescent="0.2">
      <c r="B4772" s="12" t="s">
        <v>21</v>
      </c>
      <c r="C4772" s="12"/>
      <c r="D4772" s="1"/>
      <c r="E4772" s="1"/>
      <c r="F4772" s="1"/>
      <c r="G4772" s="1"/>
      <c r="H4772" s="1"/>
      <c r="I4772" s="1"/>
    </row>
    <row r="4773" spans="1:10" x14ac:dyDescent="0.15">
      <c r="B4773" s="628" t="s">
        <v>22</v>
      </c>
      <c r="C4773" s="629"/>
      <c r="D4773" s="630"/>
      <c r="E4773" s="205" t="s">
        <v>23</v>
      </c>
      <c r="F4773" s="19" t="s">
        <v>47</v>
      </c>
      <c r="G4773" s="205" t="s">
        <v>24</v>
      </c>
      <c r="H4773" s="204" t="s">
        <v>25</v>
      </c>
      <c r="I4773" s="43"/>
    </row>
    <row r="4774" spans="1:10" x14ac:dyDescent="0.15">
      <c r="B4774" s="631" t="s">
        <v>56</v>
      </c>
      <c r="C4774" s="632"/>
      <c r="D4774" s="633"/>
      <c r="E4774" s="5"/>
      <c r="F4774" s="323"/>
      <c r="G4774" s="58"/>
      <c r="H4774" s="319">
        <f>I4797*0.05</f>
        <v>3488.3275000000003</v>
      </c>
      <c r="I4774" s="44"/>
    </row>
    <row r="4775" spans="1:10" ht="14" thickBot="1" x14ac:dyDescent="0.2">
      <c r="B4775" s="634"/>
      <c r="C4775" s="635"/>
      <c r="D4775" s="636"/>
      <c r="E4775" s="21"/>
      <c r="F4775" s="22"/>
      <c r="G4775" s="23"/>
      <c r="H4775" s="47"/>
      <c r="I4775" s="48"/>
    </row>
    <row r="4776" spans="1:10" ht="14" thickBot="1" x14ac:dyDescent="0.2">
      <c r="B4776" s="1"/>
      <c r="C4776" s="1"/>
      <c r="D4776" s="1"/>
      <c r="E4776" s="1"/>
      <c r="F4776" s="1"/>
      <c r="G4776" s="1"/>
      <c r="H4776" s="37" t="s">
        <v>26</v>
      </c>
      <c r="I4776" s="321">
        <f>SUM(H4774:H4775)</f>
        <v>3488.3275000000003</v>
      </c>
    </row>
    <row r="4777" spans="1:10" ht="14" thickBot="1" x14ac:dyDescent="0.2">
      <c r="B4777" s="12" t="s">
        <v>27</v>
      </c>
      <c r="C4777" s="12"/>
      <c r="D4777" s="1"/>
      <c r="E4777" s="1"/>
      <c r="F4777" s="1"/>
      <c r="G4777" s="1"/>
      <c r="H4777" s="1"/>
      <c r="I4777" s="1"/>
    </row>
    <row r="4778" spans="1:10" x14ac:dyDescent="0.15">
      <c r="B4778" s="628" t="s">
        <v>22</v>
      </c>
      <c r="C4778" s="629"/>
      <c r="D4778" s="630"/>
      <c r="E4778" s="205" t="s">
        <v>28</v>
      </c>
      <c r="F4778" s="205" t="s">
        <v>29</v>
      </c>
      <c r="G4778" s="205" t="s">
        <v>30</v>
      </c>
      <c r="H4778" s="204" t="s">
        <v>25</v>
      </c>
      <c r="I4778" s="43"/>
    </row>
    <row r="4779" spans="1:10" x14ac:dyDescent="0.15">
      <c r="A4779" s="11"/>
      <c r="B4779" s="4" t="s">
        <v>869</v>
      </c>
      <c r="C4779" s="24"/>
      <c r="D4779" s="6"/>
      <c r="E4779" s="3" t="s">
        <v>5</v>
      </c>
      <c r="F4779" s="314">
        <f>MATERIALES!C188</f>
        <v>486000.00000000006</v>
      </c>
      <c r="G4779" s="65">
        <v>1</v>
      </c>
      <c r="H4779" s="319">
        <f>G4779*F4779</f>
        <v>486000.00000000006</v>
      </c>
      <c r="I4779" s="44"/>
      <c r="J4779" s="11"/>
    </row>
    <row r="4780" spans="1:10" x14ac:dyDescent="0.15">
      <c r="B4780" s="4" t="s">
        <v>69</v>
      </c>
      <c r="C4780" s="24"/>
      <c r="D4780" s="6"/>
      <c r="E4780" s="3" t="s">
        <v>19</v>
      </c>
      <c r="F4780" s="314">
        <v>15000</v>
      </c>
      <c r="G4780" s="65">
        <v>0.5</v>
      </c>
      <c r="H4780" s="319">
        <f>G4780*F4780</f>
        <v>7500</v>
      </c>
      <c r="I4780" s="44"/>
    </row>
    <row r="4781" spans="1:10" x14ac:dyDescent="0.15">
      <c r="B4781" s="4"/>
      <c r="C4781" s="24"/>
      <c r="D4781" s="6"/>
      <c r="E4781" s="3"/>
      <c r="F4781" s="314"/>
      <c r="G4781" s="65"/>
      <c r="H4781" s="319"/>
      <c r="I4781" s="44"/>
    </row>
    <row r="4782" spans="1:10" x14ac:dyDescent="0.15">
      <c r="B4782" s="4"/>
      <c r="C4782" s="24"/>
      <c r="D4782" s="6"/>
      <c r="E4782" s="3"/>
      <c r="F4782" s="314"/>
      <c r="G4782" s="65"/>
      <c r="H4782" s="319"/>
      <c r="I4782" s="44"/>
    </row>
    <row r="4783" spans="1:10" ht="14" thickBot="1" x14ac:dyDescent="0.2">
      <c r="B4783" s="25"/>
      <c r="C4783" s="26"/>
      <c r="D4783" s="27"/>
      <c r="E4783" s="21"/>
      <c r="F4783" s="22"/>
      <c r="G4783" s="318"/>
      <c r="H4783" s="47"/>
      <c r="I4783" s="48"/>
    </row>
    <row r="4784" spans="1:10" ht="14" thickBot="1" x14ac:dyDescent="0.2">
      <c r="B4784" s="1"/>
      <c r="C4784" s="1"/>
      <c r="D4784" s="1"/>
      <c r="E4784" s="1"/>
      <c r="F4784" s="1"/>
      <c r="G4784" s="1"/>
      <c r="H4784" s="37" t="s">
        <v>26</v>
      </c>
      <c r="I4784" s="321">
        <f>SUM(H4779:H4782)</f>
        <v>493500.00000000006</v>
      </c>
    </row>
    <row r="4785" spans="2:9" ht="14" thickBot="1" x14ac:dyDescent="0.2">
      <c r="B4785" s="28" t="s">
        <v>31</v>
      </c>
      <c r="C4785" s="28"/>
      <c r="D4785" s="26"/>
      <c r="E4785" s="1"/>
      <c r="F4785" s="1"/>
      <c r="G4785" s="1"/>
      <c r="H4785" s="1"/>
      <c r="I4785" s="1"/>
    </row>
    <row r="4786" spans="2:9" x14ac:dyDescent="0.15">
      <c r="B4786" s="51" t="s">
        <v>32</v>
      </c>
      <c r="C4786" s="52"/>
      <c r="D4786" s="291" t="s">
        <v>33</v>
      </c>
      <c r="E4786" s="205" t="s">
        <v>34</v>
      </c>
      <c r="F4786" s="205" t="s">
        <v>35</v>
      </c>
      <c r="G4786" s="205" t="s">
        <v>36</v>
      </c>
      <c r="H4786" s="59" t="s">
        <v>25</v>
      </c>
      <c r="I4786" s="43"/>
    </row>
    <row r="4787" spans="2:9" x14ac:dyDescent="0.15">
      <c r="B4787" s="4" t="s">
        <v>79</v>
      </c>
      <c r="C4787" s="6"/>
      <c r="D4787" s="53">
        <v>1</v>
      </c>
      <c r="E4787" s="2">
        <v>43</v>
      </c>
      <c r="F4787" s="2">
        <f>E4787*D4787</f>
        <v>43</v>
      </c>
      <c r="G4787" s="160">
        <v>1100</v>
      </c>
      <c r="H4787" s="20">
        <f>G4787*F4787</f>
        <v>47300</v>
      </c>
      <c r="I4787" s="44"/>
    </row>
    <row r="4788" spans="2:9" x14ac:dyDescent="0.15">
      <c r="B4788" s="310"/>
      <c r="C4788" s="66"/>
      <c r="D4788" s="67"/>
      <c r="E4788" s="68"/>
      <c r="F4788" s="68"/>
      <c r="G4788" s="69"/>
      <c r="H4788" s="65"/>
      <c r="I4788" s="44"/>
    </row>
    <row r="4789" spans="2:9" ht="14" thickBot="1" x14ac:dyDescent="0.2">
      <c r="B4789" s="33"/>
      <c r="C4789" s="54"/>
      <c r="D4789" s="21"/>
      <c r="E4789" s="22"/>
      <c r="F4789" s="23"/>
      <c r="G4789" s="47"/>
      <c r="H4789" s="21"/>
      <c r="I4789" s="44"/>
    </row>
    <row r="4790" spans="2:9" ht="14" thickBot="1" x14ac:dyDescent="0.2">
      <c r="B4790" s="1"/>
      <c r="C4790" s="1"/>
      <c r="D4790" s="1"/>
      <c r="E4790" s="1"/>
      <c r="F4790" s="1"/>
      <c r="G4790" s="1"/>
      <c r="H4790" s="37" t="s">
        <v>26</v>
      </c>
      <c r="I4790" s="321">
        <f>SUM(H4787:H4789)</f>
        <v>47300</v>
      </c>
    </row>
    <row r="4791" spans="2:9" ht="14" thickBot="1" x14ac:dyDescent="0.2">
      <c r="B4791" s="28" t="s">
        <v>37</v>
      </c>
      <c r="C4791" s="28"/>
      <c r="D4791" s="1"/>
      <c r="E4791" s="1"/>
      <c r="F4791" s="1"/>
      <c r="G4791" s="1"/>
      <c r="H4791" s="1"/>
      <c r="I4791" s="1"/>
    </row>
    <row r="4792" spans="2:9" x14ac:dyDescent="0.15">
      <c r="B4792" s="51" t="s">
        <v>38</v>
      </c>
      <c r="C4792" s="86"/>
      <c r="D4792" s="31" t="s">
        <v>39</v>
      </c>
      <c r="E4792" s="205" t="s">
        <v>40</v>
      </c>
      <c r="F4792" s="19" t="s">
        <v>41</v>
      </c>
      <c r="G4792" s="31" t="s">
        <v>24</v>
      </c>
      <c r="H4792" s="204" t="s">
        <v>25</v>
      </c>
      <c r="I4792" s="43"/>
    </row>
    <row r="4793" spans="2:9" x14ac:dyDescent="0.15">
      <c r="B4793" s="80" t="s">
        <v>712</v>
      </c>
      <c r="C4793" s="24"/>
      <c r="D4793" s="32">
        <f>'MANO DE OBRA'!E15</f>
        <v>95333</v>
      </c>
      <c r="E4793" s="88">
        <v>1.75</v>
      </c>
      <c r="F4793" s="314">
        <f>+E4793*D4793</f>
        <v>166832.75</v>
      </c>
      <c r="G4793" s="20">
        <v>5</v>
      </c>
      <c r="H4793" s="315">
        <f>+F4793/G4793</f>
        <v>33366.550000000003</v>
      </c>
      <c r="I4793" s="44"/>
    </row>
    <row r="4794" spans="2:9" x14ac:dyDescent="0.15">
      <c r="B4794" s="80" t="s">
        <v>55</v>
      </c>
      <c r="C4794" s="24"/>
      <c r="D4794" s="32">
        <f>'MANO DE OBRA'!E14*2</f>
        <v>104000</v>
      </c>
      <c r="E4794" s="88">
        <v>1.75</v>
      </c>
      <c r="F4794" s="314">
        <f>+E4794*D4794</f>
        <v>182000</v>
      </c>
      <c r="G4794" s="20">
        <v>5</v>
      </c>
      <c r="H4794" s="315">
        <f>+F4794/G4794</f>
        <v>36400</v>
      </c>
      <c r="I4794" s="44"/>
    </row>
    <row r="4795" spans="2:9" x14ac:dyDescent="0.15">
      <c r="B4795" s="4"/>
      <c r="C4795" s="24"/>
      <c r="D4795" s="32"/>
      <c r="E4795" s="166"/>
      <c r="F4795" s="20"/>
      <c r="G4795" s="20"/>
      <c r="H4795" s="55"/>
      <c r="I4795" s="44"/>
    </row>
    <row r="4796" spans="2:9" ht="14" thickBot="1" x14ac:dyDescent="0.2">
      <c r="B4796" s="33"/>
      <c r="C4796" s="34"/>
      <c r="D4796" s="22"/>
      <c r="E4796" s="21"/>
      <c r="F4796" s="22"/>
      <c r="G4796" s="23"/>
      <c r="H4796" s="47"/>
      <c r="I4796" s="48"/>
    </row>
    <row r="4797" spans="2:9" ht="14" thickBot="1" x14ac:dyDescent="0.2">
      <c r="B4797" s="1"/>
      <c r="C4797" s="1"/>
      <c r="D4797" s="1"/>
      <c r="E4797" s="1"/>
      <c r="F4797" s="1"/>
      <c r="G4797" s="1"/>
      <c r="H4797" s="37" t="s">
        <v>26</v>
      </c>
      <c r="I4797" s="317">
        <f>SUM(H4793:H4796)</f>
        <v>69766.55</v>
      </c>
    </row>
    <row r="4798" spans="2:9" ht="14" thickBot="1" x14ac:dyDescent="0.2">
      <c r="B4798" s="1"/>
      <c r="C4798" s="1"/>
      <c r="D4798" s="1"/>
      <c r="E4798" s="1"/>
      <c r="F4798" s="1"/>
      <c r="G4798" s="1"/>
      <c r="H4798" s="61"/>
      <c r="I4798" s="1"/>
    </row>
    <row r="4799" spans="2:9" ht="15" thickBot="1" x14ac:dyDescent="0.2">
      <c r="B4799" s="1"/>
      <c r="C4799" s="1"/>
      <c r="D4799" s="1"/>
      <c r="E4799" s="1"/>
      <c r="F4799" s="35" t="s">
        <v>43</v>
      </c>
      <c r="G4799" s="16"/>
      <c r="H4799" s="16"/>
      <c r="I4799" s="222">
        <f>ROUND((I4776+I4784+I4790+I4797),0)</f>
        <v>614055</v>
      </c>
    </row>
    <row r="4800" spans="2:9" ht="14" x14ac:dyDescent="0.15">
      <c r="B4800" s="1"/>
      <c r="C4800" s="1"/>
      <c r="D4800" s="1"/>
      <c r="E4800" s="1"/>
      <c r="F4800" s="15"/>
      <c r="G4800" s="16"/>
      <c r="H4800" s="16"/>
      <c r="I4800" s="326"/>
    </row>
    <row r="4801" spans="2:9" ht="14" x14ac:dyDescent="0.15">
      <c r="B4801" s="1"/>
      <c r="C4801" s="1"/>
      <c r="D4801" s="1"/>
      <c r="E4801" s="1"/>
      <c r="F4801" s="15"/>
      <c r="G4801" s="16"/>
      <c r="H4801" s="16"/>
      <c r="I4801" s="326"/>
    </row>
    <row r="4802" spans="2:9" ht="14" x14ac:dyDescent="0.15">
      <c r="B4802" s="1"/>
      <c r="C4802" s="1"/>
      <c r="D4802" s="1"/>
      <c r="E4802" s="1"/>
      <c r="F4802" s="15"/>
      <c r="G4802" s="16"/>
      <c r="H4802" s="16"/>
      <c r="I4802" s="326"/>
    </row>
    <row r="4803" spans="2:9" ht="14" x14ac:dyDescent="0.15">
      <c r="B4803" s="1"/>
      <c r="C4803" s="1"/>
      <c r="D4803" s="1"/>
      <c r="E4803" s="1"/>
      <c r="F4803" s="15"/>
      <c r="G4803" s="16"/>
      <c r="H4803" s="16"/>
      <c r="I4803" s="326"/>
    </row>
    <row r="4804" spans="2:9" ht="14" x14ac:dyDescent="0.15">
      <c r="B4804" s="1"/>
      <c r="C4804" s="1"/>
      <c r="D4804" s="1"/>
      <c r="E4804" s="1"/>
      <c r="F4804" s="15"/>
      <c r="G4804" s="16"/>
      <c r="H4804" s="16"/>
      <c r="I4804" s="326"/>
    </row>
    <row r="4805" spans="2:9" ht="14" x14ac:dyDescent="0.15">
      <c r="B4805" s="1"/>
      <c r="C4805" s="1"/>
      <c r="D4805" s="1"/>
      <c r="E4805" s="1"/>
      <c r="F4805" s="15"/>
      <c r="G4805" s="16"/>
      <c r="H4805" s="16"/>
      <c r="I4805" s="326"/>
    </row>
    <row r="4806" spans="2:9" ht="14" x14ac:dyDescent="0.15">
      <c r="B4806" s="1"/>
      <c r="C4806" s="1"/>
      <c r="D4806" s="1"/>
      <c r="E4806" s="1"/>
      <c r="F4806" s="15"/>
      <c r="G4806" s="16"/>
      <c r="H4806" s="16"/>
      <c r="I4806" s="326"/>
    </row>
    <row r="4807" spans="2:9" ht="14" x14ac:dyDescent="0.15">
      <c r="B4807" s="1"/>
      <c r="C4807" s="1"/>
      <c r="D4807" s="1"/>
      <c r="E4807" s="1"/>
      <c r="F4807" s="15"/>
      <c r="G4807" s="16"/>
      <c r="H4807" s="16"/>
      <c r="I4807" s="326"/>
    </row>
    <row r="4808" spans="2:9" ht="14" x14ac:dyDescent="0.15">
      <c r="B4808" s="1"/>
      <c r="C4808" s="1"/>
      <c r="D4808" s="1"/>
      <c r="E4808" s="1"/>
      <c r="F4808" s="15"/>
      <c r="G4808" s="16"/>
      <c r="H4808" s="16"/>
      <c r="I4808" s="326"/>
    </row>
    <row r="4809" spans="2:9" ht="14" x14ac:dyDescent="0.15">
      <c r="B4809" s="1"/>
      <c r="C4809" s="1"/>
      <c r="D4809" s="1"/>
      <c r="E4809" s="1"/>
      <c r="F4809" s="15"/>
      <c r="G4809" s="16"/>
      <c r="H4809" s="16"/>
      <c r="I4809" s="326"/>
    </row>
    <row r="4810" spans="2:9" ht="14" x14ac:dyDescent="0.15">
      <c r="B4810" s="1"/>
      <c r="C4810" s="1"/>
      <c r="D4810" s="1"/>
      <c r="E4810" s="1"/>
      <c r="F4810" s="15"/>
      <c r="G4810" s="16"/>
      <c r="H4810" s="16"/>
      <c r="I4810" s="326"/>
    </row>
    <row r="4811" spans="2:9" ht="14" x14ac:dyDescent="0.15">
      <c r="B4811" s="1"/>
      <c r="C4811" s="1"/>
      <c r="D4811" s="1"/>
      <c r="E4811" s="1"/>
      <c r="F4811" s="15"/>
      <c r="G4811" s="16"/>
      <c r="H4811" s="16"/>
      <c r="I4811" s="326"/>
    </row>
    <row r="4812" spans="2:9" ht="14" x14ac:dyDescent="0.15">
      <c r="B4812" s="1"/>
      <c r="C4812" s="1"/>
      <c r="D4812" s="1"/>
      <c r="E4812" s="1"/>
      <c r="F4812" s="15"/>
      <c r="G4812" s="16"/>
      <c r="H4812" s="16"/>
      <c r="I4812" s="326"/>
    </row>
    <row r="4813" spans="2:9" ht="14" x14ac:dyDescent="0.15">
      <c r="B4813" s="1"/>
      <c r="C4813" s="1"/>
      <c r="D4813" s="1"/>
      <c r="E4813" s="1"/>
      <c r="F4813" s="15"/>
      <c r="G4813" s="16"/>
      <c r="H4813" s="16"/>
      <c r="I4813" s="326"/>
    </row>
    <row r="4814" spans="2:9" ht="14" x14ac:dyDescent="0.15">
      <c r="B4814" s="1"/>
      <c r="C4814" s="1"/>
      <c r="D4814" s="1"/>
      <c r="E4814" s="1"/>
      <c r="F4814" s="15"/>
      <c r="G4814" s="16"/>
      <c r="H4814" s="16"/>
      <c r="I4814" s="326"/>
    </row>
    <row r="4815" spans="2:9" x14ac:dyDescent="0.15">
      <c r="B4815" s="11"/>
      <c r="C4815" s="11"/>
      <c r="D4815" s="1"/>
      <c r="E4815" s="153"/>
      <c r="F4815" s="153"/>
      <c r="G4815" s="153"/>
      <c r="H4815" s="153"/>
      <c r="I4815" s="327"/>
    </row>
    <row r="4816" spans="2:9" x14ac:dyDescent="0.15">
      <c r="B4816" s="11"/>
      <c r="C4816" s="11"/>
      <c r="D4816" s="1"/>
      <c r="E4816" s="153"/>
      <c r="F4816" s="153"/>
      <c r="G4816" s="153"/>
      <c r="H4816" s="153"/>
      <c r="I4816" s="327"/>
    </row>
    <row r="4817" spans="2:11" x14ac:dyDescent="0.15">
      <c r="B4817" s="11"/>
      <c r="C4817" s="11"/>
      <c r="D4817" s="1"/>
      <c r="E4817" s="153"/>
      <c r="F4817" s="153"/>
      <c r="G4817" s="153"/>
      <c r="H4817" s="153"/>
      <c r="I4817" s="327"/>
    </row>
    <row r="4818" spans="2:11" x14ac:dyDescent="0.15">
      <c r="B4818" s="11"/>
      <c r="C4818" s="11"/>
      <c r="D4818" s="1"/>
      <c r="E4818" s="153"/>
      <c r="F4818" s="153"/>
      <c r="G4818" s="153"/>
      <c r="H4818" s="153"/>
      <c r="I4818" s="327"/>
    </row>
    <row r="4819" spans="2:11" x14ac:dyDescent="0.15">
      <c r="B4819" s="11"/>
      <c r="C4819" s="11"/>
      <c r="D4819" s="1"/>
      <c r="E4819" s="153"/>
      <c r="F4819" s="153"/>
      <c r="G4819" s="153"/>
      <c r="H4819" s="153"/>
      <c r="I4819" s="327"/>
    </row>
    <row r="4820" spans="2:11" x14ac:dyDescent="0.15">
      <c r="B4820" s="11"/>
      <c r="C4820" s="11"/>
      <c r="D4820" s="1"/>
      <c r="E4820" s="153"/>
      <c r="F4820" s="153"/>
      <c r="G4820" s="153"/>
      <c r="H4820" s="153"/>
      <c r="I4820" s="327"/>
    </row>
    <row r="4821" spans="2:11" ht="14" thickBot="1" x14ac:dyDescent="0.2"/>
    <row r="4822" spans="2:11" ht="21" customHeight="1" x14ac:dyDescent="0.15">
      <c r="B4822" s="607" t="s">
        <v>1065</v>
      </c>
      <c r="C4822" s="608"/>
      <c r="D4822" s="608"/>
      <c r="E4822" s="608"/>
      <c r="F4822" s="609"/>
      <c r="G4822" s="1"/>
      <c r="H4822" s="638" t="s">
        <v>20</v>
      </c>
      <c r="I4822" s="639"/>
    </row>
    <row r="4823" spans="2:11" ht="16.5" customHeight="1" x14ac:dyDescent="0.15">
      <c r="B4823" s="604" t="s">
        <v>446</v>
      </c>
      <c r="C4823" s="605"/>
      <c r="D4823" s="605"/>
      <c r="E4823" s="605"/>
      <c r="F4823" s="606"/>
      <c r="G4823" s="63"/>
      <c r="H4823" s="642"/>
      <c r="I4823" s="643"/>
    </row>
    <row r="4824" spans="2:11" ht="12.75" customHeight="1" x14ac:dyDescent="0.15">
      <c r="B4824" s="610" t="s">
        <v>447</v>
      </c>
      <c r="C4824" s="611"/>
      <c r="D4824" s="611"/>
      <c r="E4824" s="611"/>
      <c r="F4824" s="612"/>
      <c r="G4824" s="63"/>
      <c r="H4824" s="662" t="s">
        <v>1056</v>
      </c>
      <c r="I4824" s="663"/>
    </row>
    <row r="4825" spans="2:11" ht="16.5" customHeight="1" thickBot="1" x14ac:dyDescent="0.2">
      <c r="B4825" s="613"/>
      <c r="C4825" s="614"/>
      <c r="D4825" s="614"/>
      <c r="E4825" s="614"/>
      <c r="F4825" s="615"/>
      <c r="G4825" s="1"/>
      <c r="H4825" s="664"/>
      <c r="I4825" s="665"/>
    </row>
    <row r="4826" spans="2:11" ht="13.5" customHeight="1" thickBot="1" x14ac:dyDescent="0.2">
      <c r="B4826" s="37"/>
      <c r="C4826" s="61"/>
      <c r="D4826" s="1"/>
      <c r="E4826" s="1"/>
      <c r="F4826" s="1"/>
      <c r="G4826" s="1"/>
      <c r="H4826" s="664"/>
      <c r="I4826" s="665"/>
    </row>
    <row r="4827" spans="2:11" ht="12.75" customHeight="1" x14ac:dyDescent="0.15">
      <c r="B4827" s="619" t="s">
        <v>890</v>
      </c>
      <c r="C4827" s="620"/>
      <c r="D4827" s="620"/>
      <c r="E4827" s="620"/>
      <c r="F4827" s="621"/>
      <c r="G4827" s="1"/>
      <c r="H4827" s="664"/>
      <c r="I4827" s="665"/>
      <c r="K4827" s="1"/>
    </row>
    <row r="4828" spans="2:11" ht="12.75" customHeight="1" x14ac:dyDescent="0.15">
      <c r="B4828" s="622"/>
      <c r="C4828" s="623"/>
      <c r="D4828" s="623"/>
      <c r="E4828" s="623"/>
      <c r="F4828" s="624"/>
      <c r="G4828" s="1"/>
      <c r="H4828" s="664"/>
      <c r="I4828" s="665"/>
      <c r="K4828" s="1"/>
    </row>
    <row r="4829" spans="2:11" ht="12.75" customHeight="1" x14ac:dyDescent="0.15">
      <c r="B4829" s="622"/>
      <c r="C4829" s="623"/>
      <c r="D4829" s="623"/>
      <c r="E4829" s="623"/>
      <c r="F4829" s="624"/>
      <c r="G4829" s="1"/>
      <c r="H4829" s="664"/>
      <c r="I4829" s="665"/>
      <c r="K4829" s="1"/>
    </row>
    <row r="4830" spans="2:11" ht="13.5" customHeight="1" x14ac:dyDescent="0.15">
      <c r="B4830" s="622"/>
      <c r="C4830" s="623"/>
      <c r="D4830" s="623"/>
      <c r="E4830" s="623"/>
      <c r="F4830" s="624"/>
      <c r="G4830" s="11"/>
      <c r="H4830" s="666"/>
      <c r="I4830" s="667"/>
    </row>
    <row r="4831" spans="2:11" ht="21.75" customHeight="1" thickBot="1" x14ac:dyDescent="0.2">
      <c r="B4831" s="625"/>
      <c r="C4831" s="626"/>
      <c r="D4831" s="626"/>
      <c r="E4831" s="626"/>
      <c r="F4831" s="627"/>
      <c r="H4831" s="64" t="s">
        <v>45</v>
      </c>
      <c r="I4831" s="17" t="s">
        <v>316</v>
      </c>
    </row>
    <row r="4832" spans="2:11" ht="13.5" customHeight="1" x14ac:dyDescent="0.15">
      <c r="B4832" s="292"/>
      <c r="C4832" s="292"/>
      <c r="D4832" s="292"/>
      <c r="E4832" s="292"/>
      <c r="F4832" s="292"/>
      <c r="G4832" s="18"/>
      <c r="H4832" s="18"/>
      <c r="I4832" s="1"/>
    </row>
    <row r="4833" spans="2:9" ht="14" thickBot="1" x14ac:dyDescent="0.2">
      <c r="B4833" s="12" t="s">
        <v>21</v>
      </c>
      <c r="C4833" s="12"/>
      <c r="D4833" s="1"/>
      <c r="E4833" s="1"/>
      <c r="F4833" s="1"/>
      <c r="G4833" s="1"/>
      <c r="H4833" s="1"/>
      <c r="I4833" s="1"/>
    </row>
    <row r="4834" spans="2:9" x14ac:dyDescent="0.15">
      <c r="B4834" s="628" t="s">
        <v>22</v>
      </c>
      <c r="C4834" s="629"/>
      <c r="D4834" s="630"/>
      <c r="E4834" s="205" t="s">
        <v>23</v>
      </c>
      <c r="F4834" s="19" t="s">
        <v>47</v>
      </c>
      <c r="G4834" s="205" t="s">
        <v>24</v>
      </c>
      <c r="H4834" s="204" t="s">
        <v>25</v>
      </c>
      <c r="I4834" s="43"/>
    </row>
    <row r="4835" spans="2:9" x14ac:dyDescent="0.15">
      <c r="B4835" s="631" t="s">
        <v>56</v>
      </c>
      <c r="C4835" s="632"/>
      <c r="D4835" s="633"/>
      <c r="E4835" s="5"/>
      <c r="F4835" s="160"/>
      <c r="G4835" s="58"/>
      <c r="H4835" s="160">
        <f>I4863*0.05</f>
        <v>18326.364583333336</v>
      </c>
      <c r="I4835" s="44"/>
    </row>
    <row r="4836" spans="2:9" ht="14" thickBot="1" x14ac:dyDescent="0.2">
      <c r="B4836" s="634"/>
      <c r="C4836" s="635"/>
      <c r="D4836" s="636"/>
      <c r="E4836" s="21"/>
      <c r="F4836" s="22"/>
      <c r="G4836" s="23"/>
      <c r="H4836" s="47"/>
      <c r="I4836" s="48"/>
    </row>
    <row r="4837" spans="2:9" ht="14" thickBot="1" x14ac:dyDescent="0.2">
      <c r="B4837" s="1"/>
      <c r="C4837" s="1"/>
      <c r="D4837" s="1"/>
      <c r="E4837" s="1"/>
      <c r="F4837" s="1"/>
      <c r="G4837" s="1"/>
      <c r="H4837" s="37" t="s">
        <v>26</v>
      </c>
      <c r="I4837" s="161">
        <f>SUM(H4835:H4836)</f>
        <v>18326.364583333336</v>
      </c>
    </row>
    <row r="4838" spans="2:9" ht="14" thickBot="1" x14ac:dyDescent="0.2">
      <c r="B4838" s="12" t="s">
        <v>27</v>
      </c>
      <c r="C4838" s="12"/>
      <c r="D4838" s="1"/>
      <c r="E4838" s="1"/>
      <c r="F4838" s="1"/>
      <c r="G4838" s="1"/>
      <c r="H4838" s="1"/>
      <c r="I4838" s="1"/>
    </row>
    <row r="4839" spans="2:9" x14ac:dyDescent="0.15">
      <c r="B4839" s="628" t="s">
        <v>22</v>
      </c>
      <c r="C4839" s="629"/>
      <c r="D4839" s="630"/>
      <c r="E4839" s="205" t="s">
        <v>28</v>
      </c>
      <c r="F4839" s="205" t="s">
        <v>29</v>
      </c>
      <c r="G4839" s="205" t="s">
        <v>30</v>
      </c>
      <c r="H4839" s="204" t="s">
        <v>25</v>
      </c>
      <c r="I4839" s="43"/>
    </row>
    <row r="4840" spans="2:9" x14ac:dyDescent="0.15">
      <c r="B4840" s="4" t="s">
        <v>766</v>
      </c>
      <c r="C4840" s="24"/>
      <c r="D4840" s="6"/>
      <c r="E4840" s="3" t="s">
        <v>316</v>
      </c>
      <c r="F4840" s="162">
        <f>MATERIALES!C118</f>
        <v>227000</v>
      </c>
      <c r="G4840" s="65">
        <v>2</v>
      </c>
      <c r="H4840" s="163">
        <f t="shared" ref="H4840" si="30">G4840*F4840</f>
        <v>454000</v>
      </c>
      <c r="I4840" s="44"/>
    </row>
    <row r="4841" spans="2:9" x14ac:dyDescent="0.15">
      <c r="B4841" s="4" t="s">
        <v>302</v>
      </c>
      <c r="C4841" s="24"/>
      <c r="D4841" s="6"/>
      <c r="E4841" s="3" t="s">
        <v>193</v>
      </c>
      <c r="F4841" s="162">
        <f>MATERIALES!C119</f>
        <v>8750</v>
      </c>
      <c r="G4841" s="65">
        <v>5.4</v>
      </c>
      <c r="H4841" s="163">
        <f t="shared" ref="H4841:H4846" si="31">G4841*F4841</f>
        <v>47250</v>
      </c>
      <c r="I4841" s="44"/>
    </row>
    <row r="4842" spans="2:9" x14ac:dyDescent="0.15">
      <c r="B4842" s="4" t="s">
        <v>303</v>
      </c>
      <c r="C4842" s="24"/>
      <c r="D4842" s="6"/>
      <c r="E4842" s="3" t="s">
        <v>193</v>
      </c>
      <c r="F4842" s="162">
        <f>MATERIALES!C120</f>
        <v>17650</v>
      </c>
      <c r="G4842" s="65">
        <f>(6.75+0.85+0.85)*2</f>
        <v>16.899999999999999</v>
      </c>
      <c r="H4842" s="163">
        <f t="shared" si="31"/>
        <v>298285</v>
      </c>
      <c r="I4842" s="44"/>
    </row>
    <row r="4843" spans="2:9" x14ac:dyDescent="0.15">
      <c r="B4843" s="4" t="s">
        <v>304</v>
      </c>
      <c r="C4843" s="24"/>
      <c r="D4843" s="6"/>
      <c r="E4843" s="3" t="s">
        <v>193</v>
      </c>
      <c r="F4843" s="162">
        <f>MATERIALES!C121</f>
        <v>27880</v>
      </c>
      <c r="G4843" s="65">
        <v>7.05</v>
      </c>
      <c r="H4843" s="163">
        <f t="shared" si="31"/>
        <v>196554</v>
      </c>
      <c r="I4843" s="44"/>
    </row>
    <row r="4844" spans="2:9" x14ac:dyDescent="0.15">
      <c r="B4844" s="4" t="s">
        <v>74</v>
      </c>
      <c r="C4844" s="24"/>
      <c r="D4844" s="6"/>
      <c r="E4844" s="3" t="s">
        <v>58</v>
      </c>
      <c r="F4844" s="162">
        <f>MATERIALES!C106</f>
        <v>24500</v>
      </c>
      <c r="G4844" s="65">
        <v>3</v>
      </c>
      <c r="H4844" s="163">
        <f t="shared" si="31"/>
        <v>73500</v>
      </c>
      <c r="I4844" s="44"/>
    </row>
    <row r="4845" spans="2:9" x14ac:dyDescent="0.15">
      <c r="B4845" s="4" t="s">
        <v>119</v>
      </c>
      <c r="C4845" s="24"/>
      <c r="D4845" s="6"/>
      <c r="E4845" s="3" t="s">
        <v>76</v>
      </c>
      <c r="F4845" s="162">
        <f>MATERIALES!C107</f>
        <v>110500</v>
      </c>
      <c r="G4845" s="65">
        <v>0.5</v>
      </c>
      <c r="H4845" s="163">
        <f t="shared" si="31"/>
        <v>55250</v>
      </c>
      <c r="I4845" s="44"/>
    </row>
    <row r="4846" spans="2:9" x14ac:dyDescent="0.15">
      <c r="B4846" s="4" t="s">
        <v>75</v>
      </c>
      <c r="C4846" s="24"/>
      <c r="D4846" s="6"/>
      <c r="E4846" s="3" t="s">
        <v>76</v>
      </c>
      <c r="F4846" s="162">
        <f>MATERIALES!C109</f>
        <v>82420</v>
      </c>
      <c r="G4846" s="65">
        <v>0.5</v>
      </c>
      <c r="H4846" s="163">
        <f t="shared" si="31"/>
        <v>41210</v>
      </c>
      <c r="I4846" s="44"/>
    </row>
    <row r="4847" spans="2:9" x14ac:dyDescent="0.15">
      <c r="B4847" s="4" t="s">
        <v>305</v>
      </c>
      <c r="C4847" s="24"/>
      <c r="D4847" s="6"/>
      <c r="E4847" s="3" t="s">
        <v>76</v>
      </c>
      <c r="F4847" s="162">
        <f>MATERIALES!C111</f>
        <v>60000</v>
      </c>
      <c r="G4847" s="65">
        <v>0.2</v>
      </c>
      <c r="H4847" s="163">
        <f>G4847*F4847</f>
        <v>12000</v>
      </c>
      <c r="I4847" s="44"/>
    </row>
    <row r="4848" spans="2:9" x14ac:dyDescent="0.15">
      <c r="B4848" s="4" t="s">
        <v>306</v>
      </c>
      <c r="C4848" s="24"/>
      <c r="D4848" s="6"/>
      <c r="E4848" s="3" t="s">
        <v>316</v>
      </c>
      <c r="F4848" s="162">
        <f>MATERIALES!C112</f>
        <v>4500</v>
      </c>
      <c r="G4848" s="65">
        <v>4</v>
      </c>
      <c r="H4848" s="163">
        <f t="shared" ref="H4848:H4849" si="32">G4848*F4848</f>
        <v>18000</v>
      </c>
      <c r="I4848" s="44"/>
    </row>
    <row r="4849" spans="2:9" x14ac:dyDescent="0.15">
      <c r="B4849" s="4" t="s">
        <v>308</v>
      </c>
      <c r="C4849" s="24"/>
      <c r="D4849" s="6"/>
      <c r="E4849" s="3" t="s">
        <v>193</v>
      </c>
      <c r="F4849" s="162">
        <f>MATERIALES!C117</f>
        <v>5800</v>
      </c>
      <c r="G4849" s="65">
        <v>2</v>
      </c>
      <c r="H4849" s="163">
        <f t="shared" si="32"/>
        <v>11600</v>
      </c>
      <c r="I4849" s="44"/>
    </row>
    <row r="4850" spans="2:9" x14ac:dyDescent="0.15">
      <c r="B4850" s="4" t="s">
        <v>69</v>
      </c>
      <c r="C4850" s="24"/>
      <c r="D4850" s="6"/>
      <c r="E4850" s="3" t="s">
        <v>19</v>
      </c>
      <c r="F4850" s="162">
        <v>65000</v>
      </c>
      <c r="G4850" s="65">
        <v>1</v>
      </c>
      <c r="H4850" s="163">
        <f>G4850*F4850</f>
        <v>65000</v>
      </c>
      <c r="I4850" s="44"/>
    </row>
    <row r="4851" spans="2:9" ht="14" thickBot="1" x14ac:dyDescent="0.2">
      <c r="B4851" s="25"/>
      <c r="C4851" s="26"/>
      <c r="D4851" s="27"/>
      <c r="E4851" s="21"/>
      <c r="F4851" s="22"/>
      <c r="G4851" s="165"/>
      <c r="H4851" s="47"/>
      <c r="I4851" s="48"/>
    </row>
    <row r="4852" spans="2:9" ht="14" thickBot="1" x14ac:dyDescent="0.2">
      <c r="B4852" s="1"/>
      <c r="C4852" s="1"/>
      <c r="D4852" s="1"/>
      <c r="E4852" s="1"/>
      <c r="F4852" s="1"/>
      <c r="G4852" s="1"/>
      <c r="H4852" s="37" t="s">
        <v>26</v>
      </c>
      <c r="I4852" s="161">
        <f>SUM(H4840:H4850)</f>
        <v>1272649</v>
      </c>
    </row>
    <row r="4853" spans="2:9" ht="14" thickBot="1" x14ac:dyDescent="0.2">
      <c r="B4853" s="28" t="s">
        <v>31</v>
      </c>
      <c r="C4853" s="28"/>
      <c r="D4853" s="26"/>
      <c r="E4853" s="1"/>
      <c r="F4853" s="1"/>
      <c r="G4853" s="1"/>
      <c r="H4853" s="1"/>
      <c r="I4853" s="1"/>
    </row>
    <row r="4854" spans="2:9" x14ac:dyDescent="0.15">
      <c r="B4854" s="51" t="s">
        <v>32</v>
      </c>
      <c r="C4854" s="52"/>
      <c r="D4854" s="96" t="s">
        <v>33</v>
      </c>
      <c r="E4854" s="205" t="s">
        <v>34</v>
      </c>
      <c r="F4854" s="205" t="s">
        <v>35</v>
      </c>
      <c r="G4854" s="205" t="s">
        <v>36</v>
      </c>
      <c r="H4854" s="59" t="s">
        <v>25</v>
      </c>
      <c r="I4854" s="43"/>
    </row>
    <row r="4855" spans="2:9" x14ac:dyDescent="0.15">
      <c r="B4855" s="4" t="s">
        <v>79</v>
      </c>
      <c r="C4855" s="6"/>
      <c r="D4855" s="53">
        <v>2</v>
      </c>
      <c r="E4855" s="2">
        <v>43</v>
      </c>
      <c r="F4855" s="2">
        <f>E4855*D4855</f>
        <v>86</v>
      </c>
      <c r="G4855" s="160">
        <v>1100</v>
      </c>
      <c r="H4855" s="20">
        <f>G4855*F4855</f>
        <v>94600</v>
      </c>
      <c r="I4855" s="44"/>
    </row>
    <row r="4856" spans="2:9" ht="14" thickBot="1" x14ac:dyDescent="0.2">
      <c r="B4856" s="33"/>
      <c r="C4856" s="54"/>
      <c r="D4856" s="21"/>
      <c r="E4856" s="22"/>
      <c r="F4856" s="23"/>
      <c r="G4856" s="47"/>
      <c r="H4856" s="21"/>
      <c r="I4856" s="48"/>
    </row>
    <row r="4857" spans="2:9" ht="14" thickBot="1" x14ac:dyDescent="0.2">
      <c r="B4857" s="1"/>
      <c r="C4857" s="1"/>
      <c r="D4857" s="1"/>
      <c r="E4857" s="1"/>
      <c r="F4857" s="1"/>
      <c r="G4857" s="1"/>
      <c r="H4857" s="37" t="s">
        <v>26</v>
      </c>
      <c r="I4857" s="161">
        <f>SUM(H4855:H4856)</f>
        <v>94600</v>
      </c>
    </row>
    <row r="4858" spans="2:9" ht="14" thickBot="1" x14ac:dyDescent="0.2">
      <c r="B4858" s="28" t="s">
        <v>37</v>
      </c>
      <c r="C4858" s="28"/>
      <c r="D4858" s="1"/>
      <c r="E4858" s="1"/>
      <c r="F4858" s="1"/>
      <c r="G4858" s="1"/>
      <c r="H4858" s="1"/>
      <c r="I4858" s="1"/>
    </row>
    <row r="4859" spans="2:9" x14ac:dyDescent="0.15">
      <c r="B4859" s="51" t="s">
        <v>38</v>
      </c>
      <c r="C4859" s="86"/>
      <c r="D4859" s="31" t="s">
        <v>39</v>
      </c>
      <c r="E4859" s="205" t="s">
        <v>40</v>
      </c>
      <c r="F4859" s="19" t="s">
        <v>41</v>
      </c>
      <c r="G4859" s="31" t="s">
        <v>24</v>
      </c>
      <c r="H4859" s="59" t="s">
        <v>25</v>
      </c>
      <c r="I4859" s="43"/>
    </row>
    <row r="4860" spans="2:9" x14ac:dyDescent="0.15">
      <c r="B4860" s="4" t="s">
        <v>761</v>
      </c>
      <c r="C4860" s="24"/>
      <c r="D4860" s="32">
        <f>'MANO DE OBRA'!E17</f>
        <v>95333</v>
      </c>
      <c r="E4860" s="88">
        <v>1.75</v>
      </c>
      <c r="F4860" s="162">
        <f>+E4860*D4860</f>
        <v>166832.75</v>
      </c>
      <c r="G4860" s="20">
        <v>1.2</v>
      </c>
      <c r="H4860" s="167">
        <f>+F4860/G4860</f>
        <v>139027.29166666669</v>
      </c>
      <c r="I4860" s="44"/>
    </row>
    <row r="4861" spans="2:9" x14ac:dyDescent="0.15">
      <c r="B4861" s="4" t="s">
        <v>64</v>
      </c>
      <c r="C4861" s="24"/>
      <c r="D4861" s="32">
        <f>'MANO DE OBRA'!E14*3</f>
        <v>156000</v>
      </c>
      <c r="E4861" s="88">
        <v>1.75</v>
      </c>
      <c r="F4861" s="162">
        <f>+E4861*D4861</f>
        <v>273000</v>
      </c>
      <c r="G4861" s="20">
        <v>1.2</v>
      </c>
      <c r="H4861" s="167">
        <f>+F4861/G4861</f>
        <v>227500</v>
      </c>
      <c r="I4861" s="44"/>
    </row>
    <row r="4862" spans="2:9" ht="14" thickBot="1" x14ac:dyDescent="0.2">
      <c r="B4862" s="33"/>
      <c r="C4862" s="34"/>
      <c r="D4862" s="22"/>
      <c r="E4862" s="21"/>
      <c r="F4862" s="22"/>
      <c r="G4862" s="23"/>
      <c r="H4862" s="87"/>
      <c r="I4862" s="44"/>
    </row>
    <row r="4863" spans="2:9" ht="14" thickBot="1" x14ac:dyDescent="0.2">
      <c r="B4863" s="1"/>
      <c r="C4863" s="1"/>
      <c r="D4863" s="1"/>
      <c r="E4863" s="1"/>
      <c r="F4863" s="1"/>
      <c r="G4863" s="1"/>
      <c r="H4863" s="37" t="s">
        <v>26</v>
      </c>
      <c r="I4863" s="161">
        <f>SUM(H4860:H4862)</f>
        <v>366527.29166666669</v>
      </c>
    </row>
    <row r="4864" spans="2:9" ht="14" thickBot="1" x14ac:dyDescent="0.2">
      <c r="B4864" s="1"/>
      <c r="C4864" s="1"/>
      <c r="D4864" s="1"/>
      <c r="E4864" s="1"/>
      <c r="F4864" s="1"/>
      <c r="G4864" s="1"/>
      <c r="H4864" s="61"/>
      <c r="I4864" s="1"/>
    </row>
    <row r="4865" spans="2:9" ht="15" thickBot="1" x14ac:dyDescent="0.2">
      <c r="B4865" s="1"/>
      <c r="C4865" s="1"/>
      <c r="D4865" s="1"/>
      <c r="E4865" s="1"/>
      <c r="F4865" s="35" t="s">
        <v>43</v>
      </c>
      <c r="G4865" s="16"/>
      <c r="H4865" s="16"/>
      <c r="I4865" s="222">
        <f>ROUND((I4837+I4852+I4857+I4863),0)</f>
        <v>1752103</v>
      </c>
    </row>
    <row r="4866" spans="2:9" x14ac:dyDescent="0.15">
      <c r="B4866" s="1"/>
      <c r="C4866" s="1"/>
      <c r="D4866" s="1"/>
      <c r="E4866" s="1"/>
      <c r="F4866" s="1"/>
      <c r="G4866" s="159"/>
      <c r="H4866" s="170"/>
      <c r="I4866" s="170"/>
    </row>
    <row r="4867" spans="2:9" x14ac:dyDescent="0.15">
      <c r="B4867" s="1"/>
      <c r="C4867" s="1"/>
      <c r="D4867" s="1"/>
      <c r="E4867" s="1"/>
      <c r="F4867" s="1"/>
      <c r="G4867" s="159"/>
      <c r="H4867" s="170"/>
      <c r="I4867" s="170"/>
    </row>
    <row r="4868" spans="2:9" x14ac:dyDescent="0.15">
      <c r="B4868" s="1"/>
      <c r="C4868" s="1"/>
      <c r="D4868" s="1"/>
      <c r="E4868" s="1"/>
      <c r="F4868" s="1"/>
      <c r="G4868" s="159"/>
      <c r="H4868" s="170"/>
      <c r="I4868" s="170"/>
    </row>
    <row r="4869" spans="2:9" x14ac:dyDescent="0.15">
      <c r="B4869" s="1"/>
      <c r="C4869" s="1"/>
      <c r="D4869" s="1"/>
      <c r="E4869" s="1"/>
      <c r="F4869" s="1"/>
      <c r="G4869" s="159"/>
      <c r="H4869" s="170"/>
      <c r="I4869" s="170"/>
    </row>
    <row r="4870" spans="2:9" x14ac:dyDescent="0.15">
      <c r="B4870" s="1"/>
      <c r="C4870" s="1"/>
      <c r="D4870" s="1"/>
      <c r="E4870" s="1"/>
      <c r="F4870" s="1"/>
      <c r="G4870" s="159"/>
      <c r="H4870" s="170"/>
      <c r="I4870" s="170"/>
    </row>
    <row r="4871" spans="2:9" x14ac:dyDescent="0.15">
      <c r="B4871" s="1"/>
      <c r="C4871" s="1"/>
      <c r="D4871" s="1"/>
      <c r="E4871" s="1"/>
      <c r="F4871" s="1"/>
      <c r="G4871" s="159"/>
      <c r="H4871" s="170"/>
      <c r="I4871" s="170"/>
    </row>
    <row r="4872" spans="2:9" x14ac:dyDescent="0.15">
      <c r="B4872" s="1"/>
      <c r="C4872" s="1"/>
      <c r="D4872" s="1"/>
      <c r="E4872" s="1"/>
      <c r="F4872" s="1"/>
      <c r="G4872" s="159"/>
      <c r="H4872" s="170"/>
      <c r="I4872" s="170"/>
    </row>
    <row r="4873" spans="2:9" x14ac:dyDescent="0.15">
      <c r="B4873" s="1"/>
      <c r="C4873" s="1"/>
      <c r="D4873" s="1"/>
      <c r="E4873" s="1"/>
      <c r="F4873" s="1"/>
      <c r="G4873" s="159"/>
      <c r="H4873" s="170"/>
      <c r="I4873" s="170"/>
    </row>
    <row r="4874" spans="2:9" x14ac:dyDescent="0.15">
      <c r="B4874" s="1"/>
      <c r="C4874" s="1"/>
      <c r="D4874" s="1"/>
      <c r="E4874" s="1"/>
      <c r="F4874" s="1"/>
      <c r="G4874" s="159"/>
      <c r="H4874" s="170"/>
      <c r="I4874" s="170"/>
    </row>
    <row r="4875" spans="2:9" x14ac:dyDescent="0.15">
      <c r="B4875" s="1"/>
      <c r="C4875" s="1"/>
      <c r="D4875" s="1"/>
      <c r="E4875" s="1"/>
      <c r="F4875" s="1"/>
      <c r="G4875" s="159"/>
      <c r="H4875" s="170"/>
      <c r="I4875" s="170"/>
    </row>
    <row r="4876" spans="2:9" x14ac:dyDescent="0.15">
      <c r="B4876" s="1"/>
      <c r="C4876" s="1"/>
      <c r="D4876" s="1"/>
      <c r="E4876" s="1"/>
      <c r="F4876" s="1"/>
      <c r="G4876" s="159"/>
      <c r="H4876" s="170"/>
      <c r="I4876" s="170"/>
    </row>
    <row r="4877" spans="2:9" ht="14" x14ac:dyDescent="0.15">
      <c r="B4877" s="83"/>
      <c r="C4877" s="1"/>
      <c r="D4877" s="1"/>
      <c r="E4877" s="1"/>
      <c r="F4877" s="1"/>
      <c r="G4877" s="159"/>
      <c r="H4877" s="170"/>
      <c r="I4877" s="170"/>
    </row>
    <row r="4878" spans="2:9" x14ac:dyDescent="0.15">
      <c r="B4878" s="1"/>
      <c r="C4878" s="1"/>
      <c r="D4878" s="1"/>
      <c r="E4878" s="1"/>
      <c r="F4878" s="1"/>
      <c r="G4878" s="159"/>
      <c r="H4878" s="170"/>
      <c r="I4878" s="170"/>
    </row>
    <row r="4879" spans="2:9" x14ac:dyDescent="0.15">
      <c r="B4879" s="1"/>
      <c r="C4879" s="1"/>
      <c r="D4879" s="1"/>
      <c r="E4879" s="1"/>
      <c r="F4879" s="1"/>
      <c r="G4879" s="159"/>
      <c r="H4879" s="170"/>
      <c r="I4879" s="170"/>
    </row>
    <row r="4880" spans="2:9" x14ac:dyDescent="0.15">
      <c r="B4880" s="1"/>
      <c r="C4880" s="1"/>
      <c r="D4880" s="1"/>
      <c r="E4880" s="1"/>
      <c r="F4880" s="1"/>
      <c r="G4880" s="159"/>
      <c r="H4880" s="170"/>
      <c r="I4880" s="170"/>
    </row>
    <row r="4881" spans="2:9" x14ac:dyDescent="0.15">
      <c r="B4881" s="1"/>
      <c r="C4881" s="1"/>
      <c r="D4881" s="1"/>
      <c r="E4881" s="1"/>
      <c r="F4881" s="1"/>
      <c r="G4881" s="159"/>
      <c r="H4881" s="170"/>
      <c r="I4881" s="170"/>
    </row>
    <row r="4882" spans="2:9" x14ac:dyDescent="0.15">
      <c r="B4882" s="1"/>
      <c r="C4882" s="1"/>
      <c r="D4882" s="1"/>
      <c r="E4882" s="1"/>
      <c r="F4882" s="1"/>
      <c r="G4882" s="1"/>
      <c r="H4882" s="37"/>
      <c r="I4882" s="170"/>
    </row>
    <row r="4883" spans="2:9" ht="15" thickBot="1" x14ac:dyDescent="0.2">
      <c r="B4883" s="101"/>
      <c r="C4883" s="1"/>
      <c r="D4883" s="1"/>
      <c r="E4883" s="1"/>
      <c r="F4883" s="1"/>
      <c r="G4883" s="1"/>
      <c r="H4883" s="1"/>
      <c r="I4883" s="170"/>
    </row>
    <row r="4884" spans="2:9" ht="15.75" customHeight="1" x14ac:dyDescent="0.15">
      <c r="B4884" s="607" t="s">
        <v>1065</v>
      </c>
      <c r="C4884" s="608"/>
      <c r="D4884" s="608"/>
      <c r="E4884" s="608"/>
      <c r="F4884" s="609"/>
      <c r="G4884" s="1"/>
      <c r="H4884" s="638" t="s">
        <v>20</v>
      </c>
      <c r="I4884" s="639"/>
    </row>
    <row r="4885" spans="2:9" ht="15.75" customHeight="1" x14ac:dyDescent="0.15">
      <c r="B4885" s="604" t="s">
        <v>446</v>
      </c>
      <c r="C4885" s="605"/>
      <c r="D4885" s="605"/>
      <c r="E4885" s="605"/>
      <c r="F4885" s="606"/>
      <c r="G4885" s="63"/>
      <c r="H4885" s="640"/>
      <c r="I4885" s="641"/>
    </row>
    <row r="4886" spans="2:9" ht="12.75" customHeight="1" x14ac:dyDescent="0.15">
      <c r="B4886" s="610" t="s">
        <v>447</v>
      </c>
      <c r="C4886" s="611"/>
      <c r="D4886" s="611"/>
      <c r="E4886" s="611"/>
      <c r="F4886" s="612"/>
      <c r="G4886" s="63"/>
      <c r="H4886" s="642"/>
      <c r="I4886" s="643"/>
    </row>
    <row r="4887" spans="2:9" ht="13.5" customHeight="1" thickBot="1" x14ac:dyDescent="0.2">
      <c r="B4887" s="613"/>
      <c r="C4887" s="614"/>
      <c r="D4887" s="614"/>
      <c r="E4887" s="614"/>
      <c r="F4887" s="615"/>
      <c r="G4887" s="1"/>
      <c r="H4887" s="668" t="s">
        <v>714</v>
      </c>
      <c r="I4887" s="669"/>
    </row>
    <row r="4888" spans="2:9" ht="14" thickBot="1" x14ac:dyDescent="0.2">
      <c r="B4888" s="15"/>
      <c r="C4888" s="16"/>
      <c r="D4888" s="1"/>
      <c r="E4888" s="1"/>
      <c r="F4888" s="1"/>
      <c r="G4888" s="1"/>
      <c r="H4888" s="670"/>
      <c r="I4888" s="671"/>
    </row>
    <row r="4889" spans="2:9" ht="12.75" customHeight="1" x14ac:dyDescent="0.15">
      <c r="B4889" s="619" t="s">
        <v>890</v>
      </c>
      <c r="C4889" s="620"/>
      <c r="D4889" s="620"/>
      <c r="E4889" s="620"/>
      <c r="F4889" s="621"/>
      <c r="G4889" s="1"/>
      <c r="H4889" s="670"/>
      <c r="I4889" s="671"/>
    </row>
    <row r="4890" spans="2:9" ht="12.75" customHeight="1" x14ac:dyDescent="0.15">
      <c r="B4890" s="622"/>
      <c r="C4890" s="623"/>
      <c r="D4890" s="623"/>
      <c r="E4890" s="623"/>
      <c r="F4890" s="624"/>
      <c r="H4890" s="670"/>
      <c r="I4890" s="671"/>
    </row>
    <row r="4891" spans="2:9" ht="12.75" customHeight="1" x14ac:dyDescent="0.15">
      <c r="B4891" s="622"/>
      <c r="C4891" s="623"/>
      <c r="D4891" s="623"/>
      <c r="E4891" s="623"/>
      <c r="F4891" s="624"/>
      <c r="H4891" s="670"/>
      <c r="I4891" s="671"/>
    </row>
    <row r="4892" spans="2:9" ht="12.75" customHeight="1" x14ac:dyDescent="0.15">
      <c r="B4892" s="622"/>
      <c r="C4892" s="623"/>
      <c r="D4892" s="623"/>
      <c r="E4892" s="623"/>
      <c r="F4892" s="624"/>
      <c r="H4892" s="670"/>
      <c r="I4892" s="671"/>
    </row>
    <row r="4893" spans="2:9" ht="12.75" customHeight="1" x14ac:dyDescent="0.15">
      <c r="B4893" s="622"/>
      <c r="C4893" s="623"/>
      <c r="D4893" s="623"/>
      <c r="E4893" s="623"/>
      <c r="F4893" s="624"/>
      <c r="G4893" s="11"/>
      <c r="H4893" s="672"/>
      <c r="I4893" s="673"/>
    </row>
    <row r="4894" spans="2:9" ht="13.5" customHeight="1" thickBot="1" x14ac:dyDescent="0.2">
      <c r="B4894" s="625"/>
      <c r="C4894" s="626"/>
      <c r="D4894" s="626"/>
      <c r="E4894" s="626"/>
      <c r="F4894" s="627"/>
      <c r="H4894" s="64" t="s">
        <v>45</v>
      </c>
      <c r="I4894" s="17" t="s">
        <v>193</v>
      </c>
    </row>
    <row r="4895" spans="2:9" x14ac:dyDescent="0.15">
      <c r="B4895" s="18"/>
      <c r="C4895" s="18"/>
      <c r="D4895" s="1"/>
      <c r="E4895" s="18"/>
      <c r="F4895" s="18"/>
      <c r="G4895" s="18"/>
      <c r="H4895" s="18"/>
      <c r="I4895" s="1"/>
    </row>
    <row r="4896" spans="2:9" ht="14" thickBot="1" x14ac:dyDescent="0.2">
      <c r="B4896" s="12" t="s">
        <v>21</v>
      </c>
      <c r="C4896" s="12"/>
      <c r="D4896" s="1"/>
      <c r="E4896" s="1"/>
      <c r="F4896" s="1"/>
      <c r="G4896" s="1"/>
      <c r="H4896" s="1"/>
      <c r="I4896" s="1"/>
    </row>
    <row r="4897" spans="2:9" x14ac:dyDescent="0.15">
      <c r="B4897" s="628" t="s">
        <v>22</v>
      </c>
      <c r="C4897" s="629"/>
      <c r="D4897" s="630"/>
      <c r="E4897" s="205" t="s">
        <v>23</v>
      </c>
      <c r="F4897" s="19" t="s">
        <v>47</v>
      </c>
      <c r="G4897" s="205" t="s">
        <v>24</v>
      </c>
      <c r="H4897" s="204" t="s">
        <v>25</v>
      </c>
      <c r="I4897" s="43"/>
    </row>
    <row r="4898" spans="2:9" x14ac:dyDescent="0.15">
      <c r="B4898" s="631" t="s">
        <v>56</v>
      </c>
      <c r="C4898" s="632"/>
      <c r="D4898" s="633"/>
      <c r="E4898" s="5"/>
      <c r="F4898" s="160"/>
      <c r="G4898" s="58"/>
      <c r="H4898" s="160">
        <f>I4916*0.05</f>
        <v>872.08187500000008</v>
      </c>
      <c r="I4898" s="44"/>
    </row>
    <row r="4899" spans="2:9" ht="14" thickBot="1" x14ac:dyDescent="0.2">
      <c r="B4899" s="634"/>
      <c r="C4899" s="635"/>
      <c r="D4899" s="636"/>
      <c r="E4899" s="21"/>
      <c r="F4899" s="22"/>
      <c r="G4899" s="23"/>
      <c r="H4899" s="47"/>
      <c r="I4899" s="48"/>
    </row>
    <row r="4900" spans="2:9" ht="14" thickBot="1" x14ac:dyDescent="0.2">
      <c r="B4900" s="1"/>
      <c r="C4900" s="1"/>
      <c r="D4900" s="1"/>
      <c r="E4900" s="1"/>
      <c r="F4900" s="1"/>
      <c r="G4900" s="1"/>
      <c r="H4900" s="37" t="s">
        <v>26</v>
      </c>
      <c r="I4900" s="161">
        <f>SUM(H4898:H4899)</f>
        <v>872.08187500000008</v>
      </c>
    </row>
    <row r="4901" spans="2:9" ht="14" thickBot="1" x14ac:dyDescent="0.2">
      <c r="B4901" s="12" t="s">
        <v>27</v>
      </c>
      <c r="C4901" s="12"/>
      <c r="D4901" s="1"/>
      <c r="E4901" s="1"/>
      <c r="F4901" s="1"/>
      <c r="G4901" s="1"/>
      <c r="H4901" s="1"/>
      <c r="I4901" s="1"/>
    </row>
    <row r="4902" spans="2:9" x14ac:dyDescent="0.15">
      <c r="B4902" s="628" t="s">
        <v>22</v>
      </c>
      <c r="C4902" s="629"/>
      <c r="D4902" s="630"/>
      <c r="E4902" s="205" t="s">
        <v>28</v>
      </c>
      <c r="F4902" s="205" t="s">
        <v>29</v>
      </c>
      <c r="G4902" s="205" t="s">
        <v>30</v>
      </c>
      <c r="H4902" s="204" t="s">
        <v>25</v>
      </c>
      <c r="I4902" s="43"/>
    </row>
    <row r="4903" spans="2:9" ht="14.25" customHeight="1" x14ac:dyDescent="0.15">
      <c r="B4903" s="682" t="s">
        <v>710</v>
      </c>
      <c r="C4903" s="683"/>
      <c r="D4903" s="684"/>
      <c r="E4903" s="3" t="s">
        <v>193</v>
      </c>
      <c r="F4903" s="162">
        <f>MATERIALES!C177</f>
        <v>890865.00000000012</v>
      </c>
      <c r="G4903" s="65">
        <v>1</v>
      </c>
      <c r="H4903" s="163">
        <f>G4903*F4903</f>
        <v>890865.00000000012</v>
      </c>
      <c r="I4903" s="44"/>
    </row>
    <row r="4904" spans="2:9" ht="14" thickBot="1" x14ac:dyDescent="0.2">
      <c r="B4904" s="25"/>
      <c r="C4904" s="26"/>
      <c r="D4904" s="27"/>
      <c r="E4904" s="21"/>
      <c r="F4904" s="22"/>
      <c r="G4904" s="165"/>
      <c r="H4904" s="47"/>
      <c r="I4904" s="48"/>
    </row>
    <row r="4905" spans="2:9" ht="14" thickBot="1" x14ac:dyDescent="0.2">
      <c r="B4905" s="1"/>
      <c r="C4905" s="1"/>
      <c r="D4905" s="1"/>
      <c r="E4905" s="1"/>
      <c r="F4905" s="1"/>
      <c r="G4905" s="1"/>
      <c r="H4905" s="37" t="s">
        <v>26</v>
      </c>
      <c r="I4905" s="161">
        <f>SUM(H4903:H4903)</f>
        <v>890865.00000000012</v>
      </c>
    </row>
    <row r="4906" spans="2:9" ht="14" thickBot="1" x14ac:dyDescent="0.2">
      <c r="B4906" s="28" t="s">
        <v>31</v>
      </c>
      <c r="C4906" s="28"/>
      <c r="D4906" s="26"/>
      <c r="E4906" s="1"/>
      <c r="F4906" s="1"/>
      <c r="G4906" s="1"/>
      <c r="H4906" s="1"/>
      <c r="I4906" s="1"/>
    </row>
    <row r="4907" spans="2:9" x14ac:dyDescent="0.15">
      <c r="B4907" s="51" t="s">
        <v>32</v>
      </c>
      <c r="C4907" s="52"/>
      <c r="D4907" s="96" t="s">
        <v>33</v>
      </c>
      <c r="E4907" s="205" t="s">
        <v>34</v>
      </c>
      <c r="F4907" s="205" t="s">
        <v>35</v>
      </c>
      <c r="G4907" s="205" t="s">
        <v>36</v>
      </c>
      <c r="H4907" s="59" t="s">
        <v>25</v>
      </c>
      <c r="I4907" s="43"/>
    </row>
    <row r="4908" spans="2:9" x14ac:dyDescent="0.15">
      <c r="B4908" s="4" t="s">
        <v>79</v>
      </c>
      <c r="C4908" s="6"/>
      <c r="D4908" s="53">
        <v>0.25</v>
      </c>
      <c r="E4908" s="2">
        <f>43+225.2</f>
        <v>268.2</v>
      </c>
      <c r="F4908" s="2">
        <f>E4908*D4908</f>
        <v>67.05</v>
      </c>
      <c r="G4908" s="160">
        <v>1100</v>
      </c>
      <c r="H4908" s="20">
        <f>G4908*F4908</f>
        <v>73755</v>
      </c>
      <c r="I4908" s="44"/>
    </row>
    <row r="4909" spans="2:9" ht="14" thickBot="1" x14ac:dyDescent="0.2">
      <c r="B4909" s="33"/>
      <c r="C4909" s="54"/>
      <c r="D4909" s="21"/>
      <c r="E4909" s="22"/>
      <c r="F4909" s="23"/>
      <c r="G4909" s="47"/>
      <c r="H4909" s="21"/>
      <c r="I4909" s="48"/>
    </row>
    <row r="4910" spans="2:9" ht="14" thickBot="1" x14ac:dyDescent="0.2">
      <c r="B4910" s="1"/>
      <c r="C4910" s="1"/>
      <c r="D4910" s="1"/>
      <c r="E4910" s="1"/>
      <c r="F4910" s="1"/>
      <c r="G4910" s="1"/>
      <c r="H4910" s="37" t="s">
        <v>26</v>
      </c>
      <c r="I4910" s="161">
        <f>SUM(H4908:H4909)</f>
        <v>73755</v>
      </c>
    </row>
    <row r="4911" spans="2:9" ht="14" thickBot="1" x14ac:dyDescent="0.2">
      <c r="B4911" s="28" t="s">
        <v>37</v>
      </c>
      <c r="C4911" s="28"/>
      <c r="D4911" s="1"/>
      <c r="E4911" s="1"/>
      <c r="F4911" s="1"/>
      <c r="G4911" s="1"/>
      <c r="H4911" s="1"/>
      <c r="I4911" s="1"/>
    </row>
    <row r="4912" spans="2:9" x14ac:dyDescent="0.15">
      <c r="B4912" s="51" t="s">
        <v>38</v>
      </c>
      <c r="C4912" s="86"/>
      <c r="D4912" s="31" t="s">
        <v>39</v>
      </c>
      <c r="E4912" s="205" t="s">
        <v>40</v>
      </c>
      <c r="F4912" s="19" t="s">
        <v>41</v>
      </c>
      <c r="G4912" s="31" t="s">
        <v>24</v>
      </c>
      <c r="H4912" s="59" t="s">
        <v>25</v>
      </c>
      <c r="I4912" s="43"/>
    </row>
    <row r="4913" spans="2:9" x14ac:dyDescent="0.15">
      <c r="B4913" s="4" t="s">
        <v>42</v>
      </c>
      <c r="C4913" s="24"/>
      <c r="D4913" s="32">
        <f>'MANO DE OBRA'!E15</f>
        <v>95333</v>
      </c>
      <c r="E4913" s="166">
        <v>1.75</v>
      </c>
      <c r="F4913" s="162">
        <f>+E4913*D4913</f>
        <v>166832.75</v>
      </c>
      <c r="G4913" s="20">
        <v>20</v>
      </c>
      <c r="H4913" s="167">
        <f>+F4913/G4913</f>
        <v>8341.6375000000007</v>
      </c>
      <c r="I4913" s="44"/>
    </row>
    <row r="4914" spans="2:9" x14ac:dyDescent="0.15">
      <c r="B4914" s="4" t="s">
        <v>716</v>
      </c>
      <c r="C4914" s="24"/>
      <c r="D4914" s="32">
        <f>'MANO DE OBRA'!E14*2</f>
        <v>104000</v>
      </c>
      <c r="E4914" s="166">
        <v>1.75</v>
      </c>
      <c r="F4914" s="162">
        <f>+E4914*D4914</f>
        <v>182000</v>
      </c>
      <c r="G4914" s="20">
        <v>20</v>
      </c>
      <c r="H4914" s="167">
        <f>+F4914/G4914</f>
        <v>9100</v>
      </c>
      <c r="I4914" s="44"/>
    </row>
    <row r="4915" spans="2:9" ht="14" thickBot="1" x14ac:dyDescent="0.2">
      <c r="B4915" s="33"/>
      <c r="C4915" s="34"/>
      <c r="D4915" s="22"/>
      <c r="E4915" s="21"/>
      <c r="F4915" s="22"/>
      <c r="G4915" s="23"/>
      <c r="H4915" s="87"/>
      <c r="I4915" s="44"/>
    </row>
    <row r="4916" spans="2:9" ht="14" thickBot="1" x14ac:dyDescent="0.2">
      <c r="B4916" s="1"/>
      <c r="C4916" s="1"/>
      <c r="D4916" s="1"/>
      <c r="E4916" s="1"/>
      <c r="F4916" s="1"/>
      <c r="G4916" s="1"/>
      <c r="H4916" s="37" t="s">
        <v>26</v>
      </c>
      <c r="I4916" s="161">
        <f>SUM(H4913:H4915)</f>
        <v>17441.637500000001</v>
      </c>
    </row>
    <row r="4917" spans="2:9" ht="14" thickBot="1" x14ac:dyDescent="0.2">
      <c r="B4917" s="1"/>
      <c r="C4917" s="1"/>
      <c r="D4917" s="1"/>
      <c r="E4917" s="1"/>
      <c r="F4917" s="1"/>
      <c r="G4917" s="1"/>
      <c r="H4917" s="61"/>
      <c r="I4917" s="1"/>
    </row>
    <row r="4918" spans="2:9" ht="15" thickBot="1" x14ac:dyDescent="0.2">
      <c r="B4918" s="1"/>
      <c r="C4918" s="1"/>
      <c r="D4918" s="1"/>
      <c r="E4918" s="1"/>
      <c r="F4918" s="35" t="s">
        <v>43</v>
      </c>
      <c r="G4918" s="16"/>
      <c r="H4918" s="16"/>
      <c r="I4918" s="222">
        <f>ROUND((I4900+I4905+I4910+I4916),0)</f>
        <v>982934</v>
      </c>
    </row>
    <row r="4919" spans="2:9" x14ac:dyDescent="0.15">
      <c r="B4919" s="12"/>
      <c r="C4919" s="12"/>
      <c r="D4919" s="1"/>
      <c r="E4919" s="1"/>
      <c r="F4919" s="1"/>
      <c r="G4919" s="1"/>
      <c r="H4919" s="170"/>
      <c r="I4919" s="170"/>
    </row>
    <row r="4920" spans="2:9" x14ac:dyDescent="0.15">
      <c r="B4920" s="16"/>
      <c r="C4920" s="16"/>
      <c r="D4920" s="16"/>
      <c r="E4920" s="16"/>
      <c r="F4920" s="16"/>
      <c r="G4920" s="61"/>
      <c r="H4920" s="171"/>
      <c r="I4920" s="170"/>
    </row>
    <row r="4921" spans="2:9" x14ac:dyDescent="0.15">
      <c r="B4921" s="1"/>
      <c r="C4921" s="1"/>
      <c r="D4921" s="1"/>
      <c r="E4921" s="1"/>
      <c r="F4921" s="1"/>
      <c r="G4921" s="159"/>
      <c r="H4921" s="170"/>
      <c r="I4921" s="170"/>
    </row>
    <row r="4922" spans="2:9" x14ac:dyDescent="0.15">
      <c r="B4922" s="1"/>
      <c r="C4922" s="1"/>
      <c r="D4922" s="1"/>
      <c r="E4922" s="1"/>
      <c r="F4922" s="1"/>
      <c r="G4922" s="159"/>
      <c r="H4922" s="170"/>
      <c r="I4922" s="170"/>
    </row>
    <row r="4923" spans="2:9" x14ac:dyDescent="0.15">
      <c r="B4923" s="1"/>
      <c r="C4923" s="1"/>
      <c r="D4923" s="1"/>
      <c r="E4923" s="1"/>
      <c r="F4923" s="1"/>
      <c r="G4923" s="159"/>
      <c r="H4923" s="170"/>
      <c r="I4923" s="170"/>
    </row>
    <row r="4924" spans="2:9" x14ac:dyDescent="0.15">
      <c r="B4924" s="1"/>
      <c r="C4924" s="1"/>
      <c r="D4924" s="1"/>
      <c r="E4924" s="1"/>
      <c r="F4924" s="1"/>
      <c r="G4924" s="1"/>
      <c r="H4924" s="37"/>
      <c r="I4924" s="170"/>
    </row>
    <row r="4925" spans="2:9" ht="14" x14ac:dyDescent="0.15">
      <c r="B4925" s="101"/>
      <c r="C4925" s="1"/>
      <c r="D4925" s="1"/>
      <c r="E4925" s="1"/>
      <c r="F4925" s="1"/>
      <c r="G4925" s="1"/>
      <c r="H4925" s="1"/>
      <c r="I4925" s="170"/>
    </row>
    <row r="4926" spans="2:9" ht="14" x14ac:dyDescent="0.15">
      <c r="B4926" s="83"/>
      <c r="C4926" s="11"/>
      <c r="D4926" s="1"/>
      <c r="E4926" s="637"/>
      <c r="F4926" s="637"/>
      <c r="G4926" s="637"/>
      <c r="H4926" s="637"/>
      <c r="I4926" s="169"/>
    </row>
    <row r="4927" spans="2:9" ht="14" x14ac:dyDescent="0.15">
      <c r="B4927" s="101"/>
      <c r="C4927" s="11"/>
      <c r="D4927" s="1"/>
      <c r="E4927" s="153"/>
      <c r="F4927" s="153"/>
      <c r="G4927" s="153"/>
      <c r="H4927" s="153"/>
      <c r="I4927" s="169"/>
    </row>
    <row r="4928" spans="2:9" ht="14" x14ac:dyDescent="0.15">
      <c r="B4928" s="83"/>
      <c r="C4928" s="11"/>
      <c r="D4928" s="1"/>
      <c r="E4928" s="153"/>
      <c r="F4928" s="153"/>
      <c r="G4928" s="153"/>
      <c r="H4928" s="153"/>
      <c r="I4928" s="169"/>
    </row>
    <row r="4929" spans="2:10" ht="14" x14ac:dyDescent="0.15">
      <c r="B4929" s="83"/>
      <c r="C4929" s="11"/>
      <c r="D4929" s="1"/>
      <c r="E4929" s="153"/>
      <c r="F4929" s="153"/>
      <c r="G4929" s="153"/>
      <c r="H4929" s="153"/>
      <c r="I4929" s="169"/>
    </row>
    <row r="4930" spans="2:10" ht="14" x14ac:dyDescent="0.15">
      <c r="B4930" s="83"/>
      <c r="C4930" s="11"/>
      <c r="D4930" s="1"/>
      <c r="E4930" s="153"/>
      <c r="F4930" s="153"/>
      <c r="G4930" s="153"/>
      <c r="H4930" s="153"/>
      <c r="I4930" s="169"/>
    </row>
    <row r="4931" spans="2:10" ht="14" x14ac:dyDescent="0.15">
      <c r="B4931" s="83"/>
      <c r="C4931" s="11"/>
      <c r="D4931" s="1"/>
      <c r="E4931" s="153"/>
      <c r="F4931" s="153"/>
      <c r="G4931" s="153"/>
      <c r="H4931" s="153"/>
      <c r="I4931" s="169"/>
    </row>
    <row r="4932" spans="2:10" ht="14" x14ac:dyDescent="0.15">
      <c r="B4932" s="83"/>
      <c r="C4932" s="11"/>
      <c r="D4932" s="1"/>
      <c r="E4932" s="153"/>
      <c r="F4932" s="153"/>
      <c r="G4932" s="153"/>
      <c r="H4932" s="153"/>
      <c r="I4932" s="169"/>
    </row>
    <row r="4933" spans="2:10" ht="14" x14ac:dyDescent="0.15">
      <c r="B4933" s="83"/>
      <c r="C4933" s="11"/>
      <c r="D4933" s="1"/>
      <c r="E4933" s="153"/>
      <c r="F4933" s="153"/>
      <c r="G4933" s="153"/>
      <c r="H4933" s="153"/>
      <c r="I4933" s="169"/>
    </row>
    <row r="4934" spans="2:10" x14ac:dyDescent="0.15">
      <c r="B4934" s="11"/>
      <c r="C4934" s="11"/>
      <c r="D4934" s="1"/>
      <c r="E4934" s="153"/>
      <c r="F4934" s="153"/>
      <c r="G4934" s="153"/>
      <c r="H4934" s="153"/>
      <c r="I4934" s="169"/>
    </row>
    <row r="4935" spans="2:10" x14ac:dyDescent="0.15">
      <c r="B4935" s="11"/>
      <c r="C4935" s="11"/>
      <c r="D4935" s="1"/>
      <c r="E4935" s="153"/>
      <c r="F4935" s="153"/>
      <c r="G4935" s="153"/>
      <c r="H4935" s="153"/>
      <c r="I4935" s="169"/>
    </row>
    <row r="4936" spans="2:10" x14ac:dyDescent="0.15">
      <c r="B4936" s="11"/>
      <c r="C4936" s="11"/>
      <c r="D4936" s="1"/>
      <c r="E4936" s="153"/>
      <c r="F4936" s="153"/>
      <c r="G4936" s="153"/>
      <c r="H4936" s="153"/>
      <c r="I4936" s="169"/>
    </row>
    <row r="4937" spans="2:10" x14ac:dyDescent="0.15">
      <c r="B4937" s="11"/>
      <c r="C4937" s="11"/>
      <c r="D4937" s="1"/>
      <c r="E4937" s="153"/>
      <c r="F4937" s="153"/>
      <c r="G4937" s="153"/>
      <c r="H4937" s="153"/>
      <c r="I4937" s="169"/>
    </row>
    <row r="4938" spans="2:10" x14ac:dyDescent="0.15">
      <c r="B4938" s="11"/>
      <c r="C4938" s="11"/>
      <c r="D4938" s="1"/>
      <c r="E4938" s="153"/>
      <c r="F4938" s="153"/>
      <c r="G4938" s="153"/>
      <c r="H4938" s="153"/>
      <c r="I4938" s="169"/>
    </row>
    <row r="4939" spans="2:10" x14ac:dyDescent="0.15">
      <c r="B4939" s="11"/>
      <c r="C4939" s="11"/>
      <c r="D4939" s="1"/>
      <c r="E4939" s="153"/>
      <c r="F4939" s="153"/>
      <c r="G4939" s="153"/>
      <c r="H4939" s="153"/>
      <c r="I4939" s="169"/>
    </row>
    <row r="4942" spans="2:10" ht="14" x14ac:dyDescent="0.15">
      <c r="B4942" s="101"/>
      <c r="C4942" s="83"/>
      <c r="D4942" s="84"/>
      <c r="E4942" s="83"/>
      <c r="F4942" s="158"/>
      <c r="G4942" s="155"/>
      <c r="H4942" s="83"/>
      <c r="I4942" s="83"/>
      <c r="J4942" s="85"/>
    </row>
    <row r="4943" spans="2:10" ht="14" x14ac:dyDescent="0.15">
      <c r="B4943" s="83"/>
      <c r="C4943" s="83"/>
      <c r="D4943" s="84"/>
      <c r="E4943" s="83"/>
      <c r="F4943" s="154"/>
      <c r="G4943" s="155"/>
      <c r="H4943" s="156"/>
      <c r="I4943" s="157"/>
      <c r="J4943" s="85"/>
    </row>
    <row r="4944" spans="2:10" ht="15" thickBot="1" x14ac:dyDescent="0.2">
      <c r="B4944" s="83"/>
      <c r="C4944" s="11"/>
      <c r="D4944" s="11"/>
      <c r="E4944" s="11"/>
      <c r="F4944" s="691"/>
      <c r="G4944" s="691"/>
      <c r="H4944" s="691"/>
      <c r="I4944" s="691"/>
    </row>
    <row r="4945" spans="2:9" ht="15.75" customHeight="1" x14ac:dyDescent="0.15">
      <c r="B4945" s="607" t="s">
        <v>1065</v>
      </c>
      <c r="C4945" s="608"/>
      <c r="D4945" s="608"/>
      <c r="E4945" s="608"/>
      <c r="F4945" s="609"/>
      <c r="G4945" s="1"/>
      <c r="H4945" s="638" t="s">
        <v>20</v>
      </c>
      <c r="I4945" s="639"/>
    </row>
    <row r="4946" spans="2:9" ht="15.75" customHeight="1" x14ac:dyDescent="0.15">
      <c r="B4946" s="604" t="s">
        <v>446</v>
      </c>
      <c r="C4946" s="605"/>
      <c r="D4946" s="605"/>
      <c r="E4946" s="605"/>
      <c r="F4946" s="606"/>
      <c r="G4946" s="63"/>
      <c r="H4946" s="640"/>
      <c r="I4946" s="641"/>
    </row>
    <row r="4947" spans="2:9" ht="12.75" customHeight="1" x14ac:dyDescent="0.15">
      <c r="B4947" s="610" t="s">
        <v>447</v>
      </c>
      <c r="C4947" s="611"/>
      <c r="D4947" s="611"/>
      <c r="E4947" s="611"/>
      <c r="F4947" s="612"/>
      <c r="G4947" s="63"/>
      <c r="H4947" s="642"/>
      <c r="I4947" s="643"/>
    </row>
    <row r="4948" spans="2:9" ht="13.5" customHeight="1" thickBot="1" x14ac:dyDescent="0.2">
      <c r="B4948" s="613"/>
      <c r="C4948" s="614"/>
      <c r="D4948" s="614"/>
      <c r="E4948" s="614"/>
      <c r="F4948" s="615"/>
      <c r="G4948" s="1"/>
      <c r="H4948" s="668" t="s">
        <v>762</v>
      </c>
      <c r="I4948" s="669"/>
    </row>
    <row r="4949" spans="2:9" ht="14" thickBot="1" x14ac:dyDescent="0.2">
      <c r="B4949" s="15"/>
      <c r="C4949" s="16"/>
      <c r="D4949" s="1"/>
      <c r="E4949" s="1"/>
      <c r="F4949" s="1"/>
      <c r="G4949" s="1"/>
      <c r="H4949" s="670"/>
      <c r="I4949" s="671"/>
    </row>
    <row r="4950" spans="2:9" ht="12.75" customHeight="1" x14ac:dyDescent="0.15">
      <c r="B4950" s="619" t="s">
        <v>890</v>
      </c>
      <c r="C4950" s="620"/>
      <c r="D4950" s="620"/>
      <c r="E4950" s="620"/>
      <c r="F4950" s="621"/>
      <c r="G4950" s="1"/>
      <c r="H4950" s="670"/>
      <c r="I4950" s="671"/>
    </row>
    <row r="4951" spans="2:9" ht="12.75" customHeight="1" x14ac:dyDescent="0.15">
      <c r="B4951" s="622"/>
      <c r="C4951" s="623"/>
      <c r="D4951" s="623"/>
      <c r="E4951" s="623"/>
      <c r="F4951" s="624"/>
      <c r="H4951" s="670"/>
      <c r="I4951" s="671"/>
    </row>
    <row r="4952" spans="2:9" ht="12.75" customHeight="1" x14ac:dyDescent="0.15">
      <c r="B4952" s="622"/>
      <c r="C4952" s="623"/>
      <c r="D4952" s="623"/>
      <c r="E4952" s="623"/>
      <c r="F4952" s="624"/>
      <c r="H4952" s="670"/>
      <c r="I4952" s="671"/>
    </row>
    <row r="4953" spans="2:9" ht="12.75" customHeight="1" x14ac:dyDescent="0.15">
      <c r="B4953" s="622"/>
      <c r="C4953" s="623"/>
      <c r="D4953" s="623"/>
      <c r="E4953" s="623"/>
      <c r="F4953" s="624"/>
      <c r="H4953" s="670"/>
      <c r="I4953" s="671"/>
    </row>
    <row r="4954" spans="2:9" ht="12.75" customHeight="1" x14ac:dyDescent="0.15">
      <c r="B4954" s="622"/>
      <c r="C4954" s="623"/>
      <c r="D4954" s="623"/>
      <c r="E4954" s="623"/>
      <c r="F4954" s="624"/>
      <c r="G4954" s="11"/>
      <c r="H4954" s="672"/>
      <c r="I4954" s="673"/>
    </row>
    <row r="4955" spans="2:9" ht="13.5" customHeight="1" thickBot="1" x14ac:dyDescent="0.2">
      <c r="B4955" s="625"/>
      <c r="C4955" s="626"/>
      <c r="D4955" s="626"/>
      <c r="E4955" s="626"/>
      <c r="F4955" s="627"/>
      <c r="H4955" s="64" t="s">
        <v>45</v>
      </c>
      <c r="I4955" s="17" t="s">
        <v>193</v>
      </c>
    </row>
    <row r="4956" spans="2:9" x14ac:dyDescent="0.15">
      <c r="B4956" s="18"/>
      <c r="C4956" s="18"/>
      <c r="D4956" s="1"/>
      <c r="E4956" s="18"/>
      <c r="F4956" s="18"/>
      <c r="G4956" s="18"/>
      <c r="H4956" s="18"/>
      <c r="I4956" s="1"/>
    </row>
    <row r="4957" spans="2:9" ht="14" thickBot="1" x14ac:dyDescent="0.2">
      <c r="B4957" s="12" t="s">
        <v>21</v>
      </c>
      <c r="C4957" s="12"/>
      <c r="D4957" s="1"/>
      <c r="E4957" s="1"/>
      <c r="F4957" s="1"/>
      <c r="G4957" s="1"/>
      <c r="H4957" s="1"/>
      <c r="I4957" s="1"/>
    </row>
    <row r="4958" spans="2:9" x14ac:dyDescent="0.15">
      <c r="B4958" s="628" t="s">
        <v>22</v>
      </c>
      <c r="C4958" s="629"/>
      <c r="D4958" s="630"/>
      <c r="E4958" s="205" t="s">
        <v>23</v>
      </c>
      <c r="F4958" s="19" t="s">
        <v>47</v>
      </c>
      <c r="G4958" s="205" t="s">
        <v>24</v>
      </c>
      <c r="H4958" s="204" t="s">
        <v>25</v>
      </c>
      <c r="I4958" s="43"/>
    </row>
    <row r="4959" spans="2:9" x14ac:dyDescent="0.15">
      <c r="B4959" s="631" t="s">
        <v>56</v>
      </c>
      <c r="C4959" s="632"/>
      <c r="D4959" s="633"/>
      <c r="E4959" s="5"/>
      <c r="F4959" s="160"/>
      <c r="G4959" s="58"/>
      <c r="H4959" s="160">
        <f>I4977*0.05</f>
        <v>830.55416666666667</v>
      </c>
      <c r="I4959" s="44"/>
    </row>
    <row r="4960" spans="2:9" ht="14" thickBot="1" x14ac:dyDescent="0.2">
      <c r="B4960" s="634"/>
      <c r="C4960" s="635"/>
      <c r="D4960" s="636"/>
      <c r="E4960" s="21"/>
      <c r="F4960" s="22"/>
      <c r="G4960" s="23"/>
      <c r="H4960" s="47"/>
      <c r="I4960" s="48"/>
    </row>
    <row r="4961" spans="2:9" ht="14" thickBot="1" x14ac:dyDescent="0.2">
      <c r="B4961" s="1"/>
      <c r="C4961" s="1"/>
      <c r="D4961" s="1"/>
      <c r="E4961" s="1"/>
      <c r="F4961" s="1"/>
      <c r="G4961" s="1"/>
      <c r="H4961" s="37" t="s">
        <v>26</v>
      </c>
      <c r="I4961" s="161">
        <f>SUM(H4959:H4960)</f>
        <v>830.55416666666667</v>
      </c>
    </row>
    <row r="4962" spans="2:9" ht="14" thickBot="1" x14ac:dyDescent="0.2">
      <c r="B4962" s="12" t="s">
        <v>27</v>
      </c>
      <c r="C4962" s="12"/>
      <c r="D4962" s="1"/>
      <c r="E4962" s="1"/>
      <c r="F4962" s="1"/>
      <c r="G4962" s="1"/>
      <c r="H4962" s="1"/>
      <c r="I4962" s="1"/>
    </row>
    <row r="4963" spans="2:9" x14ac:dyDescent="0.15">
      <c r="B4963" s="628" t="s">
        <v>22</v>
      </c>
      <c r="C4963" s="629"/>
      <c r="D4963" s="630"/>
      <c r="E4963" s="205" t="s">
        <v>28</v>
      </c>
      <c r="F4963" s="205" t="s">
        <v>29</v>
      </c>
      <c r="G4963" s="205" t="s">
        <v>30</v>
      </c>
      <c r="H4963" s="204" t="s">
        <v>25</v>
      </c>
      <c r="I4963" s="43"/>
    </row>
    <row r="4964" spans="2:9" ht="14.25" customHeight="1" x14ac:dyDescent="0.15">
      <c r="B4964" s="682" t="s">
        <v>763</v>
      </c>
      <c r="C4964" s="683"/>
      <c r="D4964" s="684"/>
      <c r="E4964" s="3" t="s">
        <v>5</v>
      </c>
      <c r="F4964" s="162">
        <f>MATERIALES!C185</f>
        <v>114750.00000000001</v>
      </c>
      <c r="G4964" s="65">
        <v>1</v>
      </c>
      <c r="H4964" s="163">
        <f>G4964*F4964</f>
        <v>114750.00000000001</v>
      </c>
      <c r="I4964" s="44"/>
    </row>
    <row r="4965" spans="2:9" ht="14" thickBot="1" x14ac:dyDescent="0.2">
      <c r="B4965" s="25"/>
      <c r="C4965" s="26"/>
      <c r="D4965" s="27"/>
      <c r="E4965" s="21"/>
      <c r="F4965" s="22"/>
      <c r="G4965" s="165"/>
      <c r="H4965" s="47"/>
      <c r="I4965" s="48"/>
    </row>
    <row r="4966" spans="2:9" ht="14" thickBot="1" x14ac:dyDescent="0.2">
      <c r="B4966" s="1"/>
      <c r="C4966" s="1"/>
      <c r="D4966" s="1"/>
      <c r="E4966" s="1"/>
      <c r="F4966" s="1"/>
      <c r="G4966" s="1"/>
      <c r="H4966" s="37" t="s">
        <v>26</v>
      </c>
      <c r="I4966" s="161">
        <f>SUM(H4964:H4964)</f>
        <v>114750.00000000001</v>
      </c>
    </row>
    <row r="4967" spans="2:9" ht="14" thickBot="1" x14ac:dyDescent="0.2">
      <c r="B4967" s="28" t="s">
        <v>31</v>
      </c>
      <c r="C4967" s="28"/>
      <c r="D4967" s="26"/>
      <c r="E4967" s="1"/>
      <c r="F4967" s="1"/>
      <c r="G4967" s="1"/>
      <c r="H4967" s="1"/>
      <c r="I4967" s="1"/>
    </row>
    <row r="4968" spans="2:9" x14ac:dyDescent="0.15">
      <c r="B4968" s="51" t="s">
        <v>32</v>
      </c>
      <c r="C4968" s="52"/>
      <c r="D4968" s="96" t="s">
        <v>33</v>
      </c>
      <c r="E4968" s="205" t="s">
        <v>34</v>
      </c>
      <c r="F4968" s="205" t="s">
        <v>35</v>
      </c>
      <c r="G4968" s="205" t="s">
        <v>36</v>
      </c>
      <c r="H4968" s="59" t="s">
        <v>25</v>
      </c>
      <c r="I4968" s="43"/>
    </row>
    <row r="4969" spans="2:9" x14ac:dyDescent="0.15">
      <c r="B4969" s="4" t="s">
        <v>79</v>
      </c>
      <c r="C4969" s="6"/>
      <c r="D4969" s="416">
        <v>5.7479711500000003E-2</v>
      </c>
      <c r="E4969" s="2">
        <f>43+225.2</f>
        <v>268.2</v>
      </c>
      <c r="F4969" s="2">
        <f>E4969*D4969</f>
        <v>15.4160586243</v>
      </c>
      <c r="G4969" s="160">
        <v>1100</v>
      </c>
      <c r="H4969" s="20">
        <f>G4969*F4969</f>
        <v>16957.664486729998</v>
      </c>
      <c r="I4969" s="44"/>
    </row>
    <row r="4970" spans="2:9" ht="14" thickBot="1" x14ac:dyDescent="0.2">
      <c r="B4970" s="33"/>
      <c r="C4970" s="54"/>
      <c r="D4970" s="21"/>
      <c r="E4970" s="22"/>
      <c r="F4970" s="23"/>
      <c r="G4970" s="47"/>
      <c r="H4970" s="21"/>
      <c r="I4970" s="48"/>
    </row>
    <row r="4971" spans="2:9" ht="14" thickBot="1" x14ac:dyDescent="0.2">
      <c r="B4971" s="1"/>
      <c r="C4971" s="1"/>
      <c r="D4971" s="1"/>
      <c r="E4971" s="1"/>
      <c r="F4971" s="1"/>
      <c r="G4971" s="1"/>
      <c r="H4971" s="37" t="s">
        <v>26</v>
      </c>
      <c r="I4971" s="161">
        <f>SUM(H4969:H4970)</f>
        <v>16957.664486729998</v>
      </c>
    </row>
    <row r="4972" spans="2:9" ht="14" thickBot="1" x14ac:dyDescent="0.2">
      <c r="B4972" s="28" t="s">
        <v>37</v>
      </c>
      <c r="C4972" s="28"/>
      <c r="D4972" s="1"/>
      <c r="E4972" s="1"/>
      <c r="F4972" s="1"/>
      <c r="G4972" s="1"/>
      <c r="H4972" s="1"/>
      <c r="I4972" s="1"/>
    </row>
    <row r="4973" spans="2:9" x14ac:dyDescent="0.15">
      <c r="B4973" s="51" t="s">
        <v>38</v>
      </c>
      <c r="C4973" s="86"/>
      <c r="D4973" s="31" t="s">
        <v>39</v>
      </c>
      <c r="E4973" s="205" t="s">
        <v>40</v>
      </c>
      <c r="F4973" s="19" t="s">
        <v>41</v>
      </c>
      <c r="G4973" s="31" t="s">
        <v>24</v>
      </c>
      <c r="H4973" s="59" t="s">
        <v>25</v>
      </c>
      <c r="I4973" s="43"/>
    </row>
    <row r="4974" spans="2:9" x14ac:dyDescent="0.15">
      <c r="B4974" s="4" t="s">
        <v>42</v>
      </c>
      <c r="C4974" s="24"/>
      <c r="D4974" s="32">
        <f>'MANO DE OBRA'!E15</f>
        <v>95333</v>
      </c>
      <c r="E4974" s="166">
        <v>1.75</v>
      </c>
      <c r="F4974" s="162">
        <f>+E4974*D4974</f>
        <v>166832.75</v>
      </c>
      <c r="G4974" s="20">
        <v>21</v>
      </c>
      <c r="H4974" s="167">
        <f>+F4974/G4974</f>
        <v>7944.416666666667</v>
      </c>
      <c r="I4974" s="44"/>
    </row>
    <row r="4975" spans="2:9" x14ac:dyDescent="0.15">
      <c r="B4975" s="4" t="s">
        <v>716</v>
      </c>
      <c r="C4975" s="24"/>
      <c r="D4975" s="32">
        <f>'MANO DE OBRA'!E14*2</f>
        <v>104000</v>
      </c>
      <c r="E4975" s="166">
        <v>1.75</v>
      </c>
      <c r="F4975" s="162">
        <f>+E4975*D4975</f>
        <v>182000</v>
      </c>
      <c r="G4975" s="20">
        <v>21</v>
      </c>
      <c r="H4975" s="167">
        <f>+F4975/G4975</f>
        <v>8666.6666666666661</v>
      </c>
      <c r="I4975" s="44"/>
    </row>
    <row r="4976" spans="2:9" ht="14" thickBot="1" x14ac:dyDescent="0.2">
      <c r="B4976" s="33"/>
      <c r="C4976" s="34"/>
      <c r="D4976" s="22"/>
      <c r="E4976" s="21"/>
      <c r="F4976" s="22"/>
      <c r="G4976" s="23"/>
      <c r="H4976" s="87"/>
      <c r="I4976" s="44"/>
    </row>
    <row r="4977" spans="2:14" ht="14" thickBot="1" x14ac:dyDescent="0.2">
      <c r="B4977" s="1"/>
      <c r="C4977" s="1"/>
      <c r="D4977" s="1"/>
      <c r="E4977" s="1"/>
      <c r="F4977" s="1"/>
      <c r="G4977" s="1"/>
      <c r="H4977" s="37" t="s">
        <v>26</v>
      </c>
      <c r="I4977" s="161">
        <f>SUM(H4974:H4976)</f>
        <v>16611.083333333332</v>
      </c>
    </row>
    <row r="4978" spans="2:14" ht="14" thickBot="1" x14ac:dyDescent="0.2">
      <c r="B4978" s="1"/>
      <c r="C4978" s="1"/>
      <c r="D4978" s="1"/>
      <c r="E4978" s="1"/>
      <c r="F4978" s="1"/>
      <c r="G4978" s="1"/>
      <c r="H4978" s="61"/>
      <c r="I4978" s="1"/>
    </row>
    <row r="4979" spans="2:14" ht="15" thickBot="1" x14ac:dyDescent="0.2">
      <c r="B4979" s="1"/>
      <c r="C4979" s="1"/>
      <c r="D4979" s="1"/>
      <c r="E4979" s="1"/>
      <c r="F4979" s="35" t="s">
        <v>43</v>
      </c>
      <c r="G4979" s="16"/>
      <c r="H4979" s="16"/>
      <c r="I4979" s="222">
        <f>ROUND((I4961+I4966+I4971+I4977),4)</f>
        <v>149149.302</v>
      </c>
      <c r="N4979" s="415"/>
    </row>
    <row r="4980" spans="2:14" x14ac:dyDescent="0.15">
      <c r="B4980" s="12"/>
      <c r="C4980" s="12"/>
      <c r="D4980" s="1"/>
      <c r="E4980" s="1"/>
      <c r="F4980" s="1"/>
      <c r="G4980" s="1"/>
      <c r="H4980" s="170"/>
      <c r="I4980" s="170"/>
      <c r="N4980" s="415"/>
    </row>
    <row r="4981" spans="2:14" x14ac:dyDescent="0.15">
      <c r="B4981" s="16"/>
      <c r="C4981" s="16"/>
      <c r="D4981" s="16"/>
      <c r="E4981" s="16"/>
      <c r="F4981" s="16"/>
      <c r="G4981" s="61"/>
      <c r="H4981" s="171"/>
      <c r="I4981" s="170"/>
    </row>
    <row r="4982" spans="2:14" x14ac:dyDescent="0.15">
      <c r="B4982" s="1"/>
      <c r="C4982" s="1"/>
      <c r="D4982" s="1"/>
      <c r="E4982" s="1"/>
      <c r="F4982" s="1"/>
      <c r="G4982" s="159"/>
      <c r="H4982" s="170"/>
      <c r="I4982" s="170"/>
    </row>
    <row r="4983" spans="2:14" x14ac:dyDescent="0.15">
      <c r="B4983" s="1"/>
      <c r="C4983" s="1"/>
      <c r="D4983" s="1"/>
      <c r="E4983" s="1"/>
      <c r="F4983" s="1"/>
      <c r="G4983" s="159"/>
      <c r="H4983" s="170"/>
      <c r="I4983" s="170"/>
    </row>
    <row r="4984" spans="2:14" x14ac:dyDescent="0.15">
      <c r="B4984" s="1"/>
      <c r="C4984" s="1"/>
      <c r="D4984" s="1"/>
      <c r="E4984" s="1"/>
      <c r="F4984" s="1"/>
      <c r="G4984" s="159"/>
      <c r="H4984" s="170"/>
      <c r="I4984" s="170"/>
    </row>
    <row r="4985" spans="2:14" x14ac:dyDescent="0.15">
      <c r="B4985" s="1"/>
      <c r="C4985" s="1"/>
      <c r="D4985" s="1"/>
      <c r="E4985" s="1"/>
      <c r="F4985" s="1"/>
      <c r="G4985" s="1"/>
      <c r="H4985" s="37"/>
      <c r="I4985" s="170"/>
    </row>
    <row r="4986" spans="2:14" ht="14" x14ac:dyDescent="0.15">
      <c r="B4986" s="101"/>
      <c r="C4986" s="1"/>
      <c r="D4986" s="1"/>
      <c r="E4986" s="1"/>
      <c r="F4986" s="1"/>
      <c r="G4986" s="1"/>
      <c r="H4986" s="1"/>
      <c r="I4986" s="170"/>
    </row>
    <row r="4987" spans="2:14" ht="14" x14ac:dyDescent="0.15">
      <c r="B4987" s="83"/>
      <c r="C4987" s="11"/>
      <c r="D4987" s="1"/>
      <c r="E4987" s="637"/>
      <c r="F4987" s="637"/>
      <c r="G4987" s="637"/>
      <c r="H4987" s="637"/>
      <c r="I4987" s="169"/>
    </row>
    <row r="4988" spans="2:14" ht="14" x14ac:dyDescent="0.15">
      <c r="B4988" s="101"/>
      <c r="C4988" s="11"/>
      <c r="D4988" s="1"/>
      <c r="E4988" s="153"/>
      <c r="F4988" s="153"/>
      <c r="G4988" s="153"/>
      <c r="H4988" s="153"/>
      <c r="I4988" s="169"/>
    </row>
    <row r="4989" spans="2:14" ht="14" x14ac:dyDescent="0.15">
      <c r="B4989" s="83"/>
      <c r="C4989" s="11"/>
      <c r="D4989" s="1"/>
      <c r="E4989" s="153"/>
      <c r="F4989" s="153"/>
      <c r="G4989" s="153"/>
      <c r="H4989" s="153"/>
      <c r="I4989" s="169"/>
    </row>
    <row r="4990" spans="2:14" x14ac:dyDescent="0.15">
      <c r="B4990" s="11"/>
      <c r="C4990" s="11"/>
      <c r="D4990" s="1"/>
      <c r="E4990" s="153"/>
      <c r="F4990" s="153"/>
      <c r="G4990" s="153"/>
      <c r="H4990" s="153"/>
      <c r="I4990" s="169"/>
    </row>
    <row r="4991" spans="2:14" x14ac:dyDescent="0.15">
      <c r="B4991" s="11"/>
      <c r="C4991" s="11"/>
      <c r="D4991" s="1"/>
      <c r="E4991" s="153"/>
      <c r="F4991" s="153"/>
      <c r="G4991" s="153"/>
      <c r="H4991" s="153"/>
      <c r="I4991" s="169"/>
    </row>
    <row r="4992" spans="2:14" x14ac:dyDescent="0.15">
      <c r="B4992" s="11"/>
      <c r="C4992" s="11"/>
      <c r="D4992" s="1"/>
      <c r="E4992" s="153"/>
      <c r="F4992" s="153"/>
      <c r="G4992" s="153"/>
      <c r="H4992" s="153"/>
      <c r="I4992" s="169"/>
    </row>
    <row r="4993" spans="2:10" x14ac:dyDescent="0.15">
      <c r="B4993" s="11"/>
      <c r="C4993" s="11"/>
      <c r="D4993" s="1"/>
      <c r="E4993" s="153"/>
      <c r="F4993" s="153"/>
      <c r="G4993" s="153"/>
      <c r="H4993" s="153"/>
      <c r="I4993" s="169"/>
    </row>
    <row r="4994" spans="2:10" x14ac:dyDescent="0.15">
      <c r="B4994" s="11"/>
      <c r="C4994" s="11"/>
      <c r="D4994" s="1"/>
      <c r="E4994" s="153"/>
      <c r="F4994" s="153"/>
      <c r="G4994" s="153"/>
      <c r="H4994" s="153"/>
      <c r="I4994" s="169"/>
    </row>
    <row r="4995" spans="2:10" x14ac:dyDescent="0.15">
      <c r="B4995" s="11"/>
      <c r="C4995" s="11"/>
      <c r="D4995" s="1"/>
      <c r="E4995" s="153"/>
      <c r="F4995" s="153"/>
      <c r="G4995" s="153"/>
      <c r="H4995" s="153"/>
      <c r="I4995" s="169"/>
    </row>
    <row r="4996" spans="2:10" x14ac:dyDescent="0.15">
      <c r="B4996" s="11"/>
      <c r="C4996" s="11"/>
      <c r="D4996" s="1"/>
      <c r="E4996" s="153"/>
      <c r="F4996" s="153"/>
      <c r="G4996" s="153"/>
      <c r="H4996" s="153"/>
      <c r="I4996" s="169"/>
    </row>
    <row r="4997" spans="2:10" x14ac:dyDescent="0.15">
      <c r="B4997" s="11"/>
      <c r="C4997" s="11"/>
      <c r="D4997" s="1"/>
      <c r="E4997" s="153"/>
      <c r="F4997" s="153"/>
      <c r="G4997" s="153"/>
      <c r="H4997" s="153"/>
      <c r="I4997" s="169"/>
    </row>
    <row r="4998" spans="2:10" x14ac:dyDescent="0.15">
      <c r="B4998" s="11"/>
      <c r="C4998" s="11"/>
      <c r="D4998" s="1"/>
      <c r="E4998" s="153"/>
      <c r="F4998" s="153"/>
      <c r="G4998" s="153"/>
      <c r="H4998" s="153"/>
      <c r="I4998" s="169"/>
    </row>
    <row r="4999" spans="2:10" x14ac:dyDescent="0.15">
      <c r="B4999" s="11"/>
      <c r="C4999" s="11"/>
      <c r="D4999" s="1"/>
      <c r="E4999" s="153"/>
      <c r="F4999" s="153"/>
      <c r="G4999" s="153"/>
      <c r="H4999" s="153"/>
      <c r="I4999" s="169"/>
    </row>
    <row r="5003" spans="2:10" ht="14" x14ac:dyDescent="0.15">
      <c r="B5003" s="101"/>
      <c r="C5003" s="83"/>
      <c r="D5003" s="84"/>
      <c r="E5003" s="83"/>
      <c r="F5003" s="158"/>
      <c r="G5003" s="155"/>
      <c r="H5003" s="83"/>
      <c r="I5003" s="83"/>
      <c r="J5003" s="85"/>
    </row>
    <row r="5004" spans="2:10" ht="14" x14ac:dyDescent="0.15">
      <c r="B5004" s="101"/>
      <c r="C5004" s="83"/>
      <c r="D5004" s="84"/>
      <c r="E5004" s="83"/>
      <c r="F5004" s="158"/>
      <c r="G5004" s="155"/>
      <c r="H5004" s="83"/>
      <c r="I5004" s="83"/>
      <c r="J5004" s="85"/>
    </row>
    <row r="5005" spans="2:10" ht="14" x14ac:dyDescent="0.15">
      <c r="B5005" s="83"/>
      <c r="C5005" s="83"/>
      <c r="D5005" s="84"/>
      <c r="E5005" s="83"/>
      <c r="F5005" s="154"/>
      <c r="G5005" s="155"/>
      <c r="H5005" s="156"/>
      <c r="I5005" s="157"/>
      <c r="J5005" s="85"/>
    </row>
    <row r="5006" spans="2:10" ht="15" thickBot="1" x14ac:dyDescent="0.2">
      <c r="B5006" s="83"/>
      <c r="C5006" s="11"/>
      <c r="D5006" s="11"/>
      <c r="E5006" s="11"/>
      <c r="F5006" s="691"/>
      <c r="G5006" s="691"/>
      <c r="H5006" s="691"/>
      <c r="I5006" s="691"/>
    </row>
    <row r="5007" spans="2:10" ht="21" customHeight="1" x14ac:dyDescent="0.15">
      <c r="B5007" s="607" t="s">
        <v>1065</v>
      </c>
      <c r="C5007" s="608"/>
      <c r="D5007" s="608"/>
      <c r="E5007" s="608"/>
      <c r="F5007" s="609"/>
      <c r="G5007" s="1"/>
      <c r="H5007" s="638" t="s">
        <v>20</v>
      </c>
      <c r="I5007" s="639"/>
    </row>
    <row r="5008" spans="2:10" ht="16.5" customHeight="1" x14ac:dyDescent="0.15">
      <c r="B5008" s="604" t="s">
        <v>446</v>
      </c>
      <c r="C5008" s="605"/>
      <c r="D5008" s="605"/>
      <c r="E5008" s="605"/>
      <c r="F5008" s="606"/>
      <c r="G5008" s="63"/>
      <c r="H5008" s="640"/>
      <c r="I5008" s="641"/>
    </row>
    <row r="5009" spans="2:11" ht="12.75" customHeight="1" x14ac:dyDescent="0.15">
      <c r="B5009" s="610" t="s">
        <v>447</v>
      </c>
      <c r="C5009" s="611"/>
      <c r="D5009" s="611"/>
      <c r="E5009" s="611"/>
      <c r="F5009" s="612"/>
      <c r="G5009" s="63"/>
      <c r="H5009" s="642"/>
      <c r="I5009" s="643"/>
    </row>
    <row r="5010" spans="2:11" ht="16.5" customHeight="1" thickBot="1" x14ac:dyDescent="0.2">
      <c r="B5010" s="613"/>
      <c r="C5010" s="614"/>
      <c r="D5010" s="614"/>
      <c r="E5010" s="614"/>
      <c r="F5010" s="615"/>
      <c r="G5010" s="1"/>
      <c r="H5010" s="662" t="s">
        <v>717</v>
      </c>
      <c r="I5010" s="663"/>
    </row>
    <row r="5011" spans="2:11" ht="14" thickBot="1" x14ac:dyDescent="0.2">
      <c r="B5011" s="37"/>
      <c r="C5011" s="61"/>
      <c r="D5011" s="1"/>
      <c r="E5011" s="1"/>
      <c r="F5011" s="1"/>
      <c r="G5011" s="1"/>
      <c r="H5011" s="664"/>
      <c r="I5011" s="665"/>
    </row>
    <row r="5012" spans="2:11" ht="12.75" customHeight="1" x14ac:dyDescent="0.15">
      <c r="B5012" s="619" t="s">
        <v>890</v>
      </c>
      <c r="C5012" s="620"/>
      <c r="D5012" s="620"/>
      <c r="E5012" s="620"/>
      <c r="F5012" s="621"/>
      <c r="G5012" s="1"/>
      <c r="H5012" s="664"/>
      <c r="I5012" s="665"/>
      <c r="K5012" s="1"/>
    </row>
    <row r="5013" spans="2:11" ht="12.75" customHeight="1" x14ac:dyDescent="0.15">
      <c r="B5013" s="622"/>
      <c r="C5013" s="623"/>
      <c r="D5013" s="623"/>
      <c r="E5013" s="623"/>
      <c r="F5013" s="624"/>
      <c r="G5013" s="1"/>
      <c r="H5013" s="664"/>
      <c r="I5013" s="665"/>
      <c r="K5013" s="1"/>
    </row>
    <row r="5014" spans="2:11" ht="13.5" customHeight="1" x14ac:dyDescent="0.15">
      <c r="B5014" s="622"/>
      <c r="C5014" s="623"/>
      <c r="D5014" s="623"/>
      <c r="E5014" s="623"/>
      <c r="F5014" s="624"/>
      <c r="G5014" s="11"/>
      <c r="H5014" s="666"/>
      <c r="I5014" s="667"/>
    </row>
    <row r="5015" spans="2:11" ht="21.75" customHeight="1" thickBot="1" x14ac:dyDescent="0.2">
      <c r="B5015" s="622"/>
      <c r="C5015" s="623"/>
      <c r="D5015" s="623"/>
      <c r="E5015" s="623"/>
      <c r="F5015" s="624"/>
      <c r="H5015" s="64" t="s">
        <v>45</v>
      </c>
      <c r="I5015" s="17" t="s">
        <v>19</v>
      </c>
    </row>
    <row r="5016" spans="2:11" ht="13.5" customHeight="1" thickBot="1" x14ac:dyDescent="0.2">
      <c r="B5016" s="625"/>
      <c r="C5016" s="626"/>
      <c r="D5016" s="626"/>
      <c r="E5016" s="626"/>
      <c r="F5016" s="627"/>
      <c r="G5016" s="18"/>
      <c r="H5016" s="18"/>
      <c r="I5016" s="1"/>
    </row>
    <row r="5017" spans="2:11" ht="13.5" customHeight="1" x14ac:dyDescent="0.15">
      <c r="B5017" s="292"/>
      <c r="C5017" s="292"/>
      <c r="D5017" s="292"/>
      <c r="E5017" s="292"/>
      <c r="F5017" s="292"/>
      <c r="G5017" s="18"/>
      <c r="H5017" s="18"/>
      <c r="I5017" s="1"/>
    </row>
    <row r="5018" spans="2:11" ht="13.5" customHeight="1" thickBot="1" x14ac:dyDescent="0.2">
      <c r="B5018" s="12" t="s">
        <v>21</v>
      </c>
      <c r="C5018" s="12"/>
      <c r="D5018" s="1"/>
      <c r="E5018" s="1"/>
      <c r="F5018" s="1"/>
      <c r="G5018" s="1"/>
      <c r="H5018" s="1"/>
      <c r="I5018" s="1"/>
    </row>
    <row r="5019" spans="2:11" x14ac:dyDescent="0.15">
      <c r="B5019" s="628" t="s">
        <v>22</v>
      </c>
      <c r="C5019" s="629"/>
      <c r="D5019" s="630"/>
      <c r="E5019" s="205" t="s">
        <v>23</v>
      </c>
      <c r="F5019" s="19" t="s">
        <v>47</v>
      </c>
      <c r="G5019" s="205" t="s">
        <v>24</v>
      </c>
      <c r="H5019" s="204" t="s">
        <v>25</v>
      </c>
      <c r="I5019" s="43"/>
    </row>
    <row r="5020" spans="2:11" x14ac:dyDescent="0.15">
      <c r="B5020" s="631" t="s">
        <v>56</v>
      </c>
      <c r="C5020" s="632"/>
      <c r="D5020" s="633"/>
      <c r="E5020" s="5"/>
      <c r="F5020" s="160"/>
      <c r="G5020" s="58"/>
      <c r="H5020" s="160">
        <f>I5039*0.05</f>
        <v>21991.637500000001</v>
      </c>
      <c r="I5020" s="44"/>
    </row>
    <row r="5021" spans="2:11" ht="14" thickBot="1" x14ac:dyDescent="0.2">
      <c r="B5021" s="634"/>
      <c r="C5021" s="635"/>
      <c r="D5021" s="636"/>
      <c r="E5021" s="21"/>
      <c r="F5021" s="22"/>
      <c r="G5021" s="23"/>
      <c r="H5021" s="47"/>
      <c r="I5021" s="48"/>
    </row>
    <row r="5022" spans="2:11" ht="14" thickBot="1" x14ac:dyDescent="0.2">
      <c r="B5022" s="1"/>
      <c r="C5022" s="1"/>
      <c r="D5022" s="1"/>
      <c r="E5022" s="1"/>
      <c r="F5022" s="1"/>
      <c r="G5022" s="1"/>
      <c r="H5022" s="37" t="s">
        <v>26</v>
      </c>
      <c r="I5022" s="161">
        <f>SUM(H5020:H5021)</f>
        <v>21991.637500000001</v>
      </c>
    </row>
    <row r="5023" spans="2:11" ht="14" thickBot="1" x14ac:dyDescent="0.2">
      <c r="B5023" s="12" t="s">
        <v>27</v>
      </c>
      <c r="C5023" s="12"/>
      <c r="D5023" s="1"/>
      <c r="E5023" s="1"/>
      <c r="F5023" s="1"/>
      <c r="G5023" s="1"/>
      <c r="H5023" s="1"/>
      <c r="I5023" s="1"/>
    </row>
    <row r="5024" spans="2:11" x14ac:dyDescent="0.15">
      <c r="B5024" s="628" t="s">
        <v>22</v>
      </c>
      <c r="C5024" s="629"/>
      <c r="D5024" s="630"/>
      <c r="E5024" s="205" t="s">
        <v>28</v>
      </c>
      <c r="F5024" s="205" t="s">
        <v>29</v>
      </c>
      <c r="G5024" s="205" t="s">
        <v>30</v>
      </c>
      <c r="H5024" s="204" t="s">
        <v>25</v>
      </c>
      <c r="I5024" s="43"/>
    </row>
    <row r="5025" spans="2:11" x14ac:dyDescent="0.15">
      <c r="B5025" s="4" t="s">
        <v>718</v>
      </c>
      <c r="C5025" s="24"/>
      <c r="D5025" s="6"/>
      <c r="E5025" s="3" t="s">
        <v>58</v>
      </c>
      <c r="F5025" s="162">
        <f>MATERIALES!C180</f>
        <v>12825</v>
      </c>
      <c r="G5025" s="65">
        <v>3</v>
      </c>
      <c r="H5025" s="163">
        <f>F5025*G5025</f>
        <v>38475</v>
      </c>
      <c r="I5025" s="44"/>
    </row>
    <row r="5026" spans="2:11" x14ac:dyDescent="0.15">
      <c r="B5026" s="4" t="s">
        <v>719</v>
      </c>
      <c r="C5026" s="24"/>
      <c r="D5026" s="6"/>
      <c r="E5026" s="3" t="s">
        <v>134</v>
      </c>
      <c r="F5026" s="162">
        <f>MATERIALES!C181</f>
        <v>2500.35</v>
      </c>
      <c r="G5026" s="65">
        <v>3</v>
      </c>
      <c r="H5026" s="163">
        <f t="shared" ref="H5026" si="33">F5026*G5026</f>
        <v>7501.0499999999993</v>
      </c>
      <c r="I5026" s="44"/>
    </row>
    <row r="5027" spans="2:11" ht="14" thickBot="1" x14ac:dyDescent="0.2">
      <c r="B5027" s="25"/>
      <c r="C5027" s="26"/>
      <c r="D5027" s="27"/>
      <c r="E5027" s="21"/>
      <c r="F5027" s="22"/>
      <c r="G5027" s="165"/>
      <c r="H5027" s="47"/>
      <c r="I5027" s="48"/>
    </row>
    <row r="5028" spans="2:11" ht="14" thickBot="1" x14ac:dyDescent="0.2">
      <c r="B5028" s="1"/>
      <c r="C5028" s="1"/>
      <c r="D5028" s="1"/>
      <c r="E5028" s="1"/>
      <c r="F5028" s="1"/>
      <c r="G5028" s="1"/>
      <c r="H5028" s="37" t="s">
        <v>26</v>
      </c>
      <c r="I5028" s="161">
        <f>SUM(H5025:H5027)</f>
        <v>45976.05</v>
      </c>
    </row>
    <row r="5029" spans="2:11" ht="14" thickBot="1" x14ac:dyDescent="0.2">
      <c r="B5029" s="28" t="s">
        <v>31</v>
      </c>
      <c r="C5029" s="28"/>
      <c r="D5029" s="26"/>
      <c r="E5029" s="1"/>
      <c r="F5029" s="1"/>
      <c r="G5029" s="1"/>
      <c r="H5029" s="1"/>
      <c r="I5029" s="1"/>
    </row>
    <row r="5030" spans="2:11" x14ac:dyDescent="0.15">
      <c r="B5030" s="51" t="s">
        <v>32</v>
      </c>
      <c r="C5030" s="52"/>
      <c r="D5030" s="96" t="s">
        <v>33</v>
      </c>
      <c r="E5030" s="205" t="s">
        <v>34</v>
      </c>
      <c r="F5030" s="205" t="s">
        <v>35</v>
      </c>
      <c r="G5030" s="205" t="s">
        <v>36</v>
      </c>
      <c r="H5030" s="59" t="s">
        <v>25</v>
      </c>
      <c r="I5030" s="43"/>
    </row>
    <row r="5031" spans="2:11" x14ac:dyDescent="0.15">
      <c r="B5031" s="4" t="s">
        <v>79</v>
      </c>
      <c r="C5031" s="6"/>
      <c r="D5031" s="53">
        <v>0.25</v>
      </c>
      <c r="E5031" s="2">
        <v>15</v>
      </c>
      <c r="F5031" s="2">
        <f>E5031*D5031</f>
        <v>3.75</v>
      </c>
      <c r="G5031" s="160">
        <v>1100</v>
      </c>
      <c r="H5031" s="20">
        <f>G5031*F5031</f>
        <v>4125</v>
      </c>
      <c r="I5031" s="44"/>
    </row>
    <row r="5032" spans="2:11" ht="14" thickBot="1" x14ac:dyDescent="0.2">
      <c r="B5032" s="33"/>
      <c r="C5032" s="54"/>
      <c r="D5032" s="21"/>
      <c r="E5032" s="22"/>
      <c r="F5032" s="23"/>
      <c r="G5032" s="47"/>
      <c r="H5032" s="21"/>
      <c r="I5032" s="48"/>
    </row>
    <row r="5033" spans="2:11" ht="14" thickBot="1" x14ac:dyDescent="0.2">
      <c r="B5033" s="1"/>
      <c r="C5033" s="1"/>
      <c r="D5033" s="1"/>
      <c r="E5033" s="1"/>
      <c r="F5033" s="1"/>
      <c r="G5033" s="1"/>
      <c r="H5033" s="37" t="s">
        <v>26</v>
      </c>
      <c r="I5033" s="161">
        <f>SUM(H5031:H5032)</f>
        <v>4125</v>
      </c>
    </row>
    <row r="5034" spans="2:11" ht="14" thickBot="1" x14ac:dyDescent="0.2">
      <c r="B5034" s="28" t="s">
        <v>37</v>
      </c>
      <c r="C5034" s="28"/>
      <c r="D5034" s="1"/>
      <c r="E5034" s="1"/>
      <c r="F5034" s="1"/>
      <c r="G5034" s="1"/>
      <c r="H5034" s="1"/>
      <c r="I5034" s="1"/>
    </row>
    <row r="5035" spans="2:11" x14ac:dyDescent="0.15">
      <c r="B5035" s="51" t="s">
        <v>38</v>
      </c>
      <c r="C5035" s="86"/>
      <c r="D5035" s="31" t="s">
        <v>39</v>
      </c>
      <c r="E5035" s="205" t="s">
        <v>40</v>
      </c>
      <c r="F5035" s="19" t="s">
        <v>41</v>
      </c>
      <c r="G5035" s="31" t="s">
        <v>24</v>
      </c>
      <c r="H5035" s="59" t="s">
        <v>25</v>
      </c>
      <c r="I5035" s="43"/>
    </row>
    <row r="5036" spans="2:11" x14ac:dyDescent="0.15">
      <c r="B5036" s="4" t="s">
        <v>42</v>
      </c>
      <c r="C5036" s="24"/>
      <c r="D5036" s="32">
        <f>'MANO DE OBRA'!E15</f>
        <v>95333</v>
      </c>
      <c r="E5036" s="166">
        <v>1.75</v>
      </c>
      <c r="F5036" s="162">
        <f>+E5036*D5036</f>
        <v>166832.75</v>
      </c>
      <c r="G5036" s="20">
        <v>1</v>
      </c>
      <c r="H5036" s="167">
        <f>+F5036/G5036</f>
        <v>166832.75</v>
      </c>
      <c r="I5036" s="44"/>
    </row>
    <row r="5037" spans="2:11" x14ac:dyDescent="0.15">
      <c r="B5037" s="4" t="s">
        <v>721</v>
      </c>
      <c r="C5037" s="24"/>
      <c r="D5037" s="32">
        <f>'MANO DE OBRA'!E14*3</f>
        <v>156000</v>
      </c>
      <c r="E5037" s="166">
        <v>1.75</v>
      </c>
      <c r="F5037" s="162">
        <f>+E5037*D5037</f>
        <v>273000</v>
      </c>
      <c r="G5037" s="20">
        <f>G5036</f>
        <v>1</v>
      </c>
      <c r="H5037" s="167">
        <f>+F5037/G5037</f>
        <v>273000</v>
      </c>
      <c r="I5037" s="44"/>
    </row>
    <row r="5038" spans="2:11" ht="14" thickBot="1" x14ac:dyDescent="0.2">
      <c r="B5038" s="33"/>
      <c r="C5038" s="34"/>
      <c r="D5038" s="22"/>
      <c r="E5038" s="21"/>
      <c r="F5038" s="22"/>
      <c r="G5038" s="23"/>
      <c r="H5038" s="87"/>
      <c r="I5038" s="44"/>
    </row>
    <row r="5039" spans="2:11" ht="14" thickBot="1" x14ac:dyDescent="0.2">
      <c r="B5039" s="1"/>
      <c r="C5039" s="1"/>
      <c r="D5039" s="1"/>
      <c r="E5039" s="1"/>
      <c r="F5039" s="1"/>
      <c r="G5039" s="1"/>
      <c r="H5039" s="37" t="s">
        <v>26</v>
      </c>
      <c r="I5039" s="161">
        <f>SUM(H5036:H5038)</f>
        <v>439832.75</v>
      </c>
      <c r="K5039" s="105"/>
    </row>
    <row r="5040" spans="2:11" ht="14" thickBot="1" x14ac:dyDescent="0.2">
      <c r="B5040" s="1"/>
      <c r="C5040" s="1"/>
      <c r="D5040" s="1"/>
      <c r="E5040" s="1"/>
      <c r="F5040" s="1"/>
      <c r="G5040" s="1"/>
      <c r="H5040" s="61"/>
      <c r="I5040" s="1"/>
    </row>
    <row r="5041" spans="2:9" ht="15" thickBot="1" x14ac:dyDescent="0.2">
      <c r="B5041" s="1"/>
      <c r="C5041" s="1"/>
      <c r="D5041" s="1"/>
      <c r="E5041" s="1"/>
      <c r="F5041" s="35" t="s">
        <v>43</v>
      </c>
      <c r="G5041" s="16"/>
      <c r="H5041" s="16"/>
      <c r="I5041" s="222">
        <f>I5039+I5033+I5028+I5022</f>
        <v>511925.4375</v>
      </c>
    </row>
    <row r="5042" spans="2:9" x14ac:dyDescent="0.15">
      <c r="B5042" s="12"/>
      <c r="C5042" s="12"/>
      <c r="D5042" s="1"/>
      <c r="E5042" s="1"/>
      <c r="F5042" s="1"/>
      <c r="G5042" s="1"/>
      <c r="H5042" s="170"/>
      <c r="I5042" s="170"/>
    </row>
    <row r="5043" spans="2:9" x14ac:dyDescent="0.15">
      <c r="B5043" s="16"/>
      <c r="C5043" s="16"/>
      <c r="D5043" s="16"/>
      <c r="E5043" s="16"/>
      <c r="F5043" s="16"/>
      <c r="G5043" s="61"/>
      <c r="H5043" s="171"/>
      <c r="I5043" s="170"/>
    </row>
    <row r="5044" spans="2:9" x14ac:dyDescent="0.15">
      <c r="B5044" s="1"/>
      <c r="C5044" s="1"/>
      <c r="D5044" s="1"/>
      <c r="E5044" s="1"/>
      <c r="F5044" s="1"/>
      <c r="G5044" s="159"/>
      <c r="H5044" s="170"/>
      <c r="I5044" s="170"/>
    </row>
    <row r="5045" spans="2:9" x14ac:dyDescent="0.15">
      <c r="B5045" s="1"/>
      <c r="C5045" s="1"/>
      <c r="D5045" s="1"/>
      <c r="E5045" s="1"/>
      <c r="F5045" s="1"/>
      <c r="G5045" s="159"/>
      <c r="H5045" s="170"/>
      <c r="I5045" s="170"/>
    </row>
    <row r="5046" spans="2:9" x14ac:dyDescent="0.15">
      <c r="B5046" s="1"/>
      <c r="C5046" s="1"/>
      <c r="D5046" s="1"/>
      <c r="E5046" s="1"/>
      <c r="F5046" s="1"/>
      <c r="G5046" s="159"/>
      <c r="H5046" s="170"/>
      <c r="I5046" s="170"/>
    </row>
    <row r="5047" spans="2:9" x14ac:dyDescent="0.15">
      <c r="B5047" s="1"/>
      <c r="C5047" s="1"/>
      <c r="D5047" s="1"/>
      <c r="E5047" s="1"/>
      <c r="F5047" s="1"/>
      <c r="G5047" s="159"/>
      <c r="H5047" s="170"/>
      <c r="I5047" s="170"/>
    </row>
    <row r="5048" spans="2:9" x14ac:dyDescent="0.15">
      <c r="B5048" s="1"/>
      <c r="C5048" s="1"/>
      <c r="D5048" s="1"/>
      <c r="E5048" s="1"/>
      <c r="F5048" s="1"/>
      <c r="G5048" s="159"/>
      <c r="H5048" s="170"/>
      <c r="I5048" s="170"/>
    </row>
    <row r="5049" spans="2:9" ht="14" x14ac:dyDescent="0.15">
      <c r="B5049" s="101"/>
      <c r="C5049" s="1"/>
      <c r="D5049" s="1"/>
      <c r="E5049" s="1"/>
      <c r="F5049" s="1"/>
      <c r="G5049" s="1"/>
      <c r="H5049" s="37"/>
      <c r="I5049" s="170"/>
    </row>
    <row r="5050" spans="2:9" ht="14" x14ac:dyDescent="0.15">
      <c r="B5050" s="83"/>
      <c r="C5050" s="1"/>
      <c r="D5050" s="1"/>
      <c r="E5050" s="1"/>
      <c r="F5050" s="1"/>
      <c r="G5050" s="1"/>
      <c r="H5050" s="1"/>
      <c r="I5050" s="170"/>
    </row>
    <row r="5051" spans="2:9" ht="14" x14ac:dyDescent="0.15">
      <c r="B5051" s="83"/>
      <c r="C5051" s="1"/>
      <c r="D5051" s="1"/>
      <c r="E5051" s="1"/>
      <c r="F5051" s="1"/>
      <c r="G5051" s="1"/>
      <c r="H5051" s="1"/>
      <c r="I5051" s="170"/>
    </row>
    <row r="5052" spans="2:9" ht="14" x14ac:dyDescent="0.15">
      <c r="B5052" s="101"/>
      <c r="D5052" s="1"/>
      <c r="E5052" s="15"/>
      <c r="F5052" s="16"/>
      <c r="G5052" s="16"/>
      <c r="H5052" s="16"/>
      <c r="I5052" s="190"/>
    </row>
    <row r="5053" spans="2:9" ht="14" x14ac:dyDescent="0.15">
      <c r="B5053" s="83"/>
      <c r="C5053" s="11"/>
      <c r="D5053" s="1"/>
      <c r="E5053" s="153"/>
      <c r="F5053" s="153"/>
      <c r="G5053" s="153"/>
      <c r="H5053" s="153"/>
      <c r="I5053" s="169"/>
    </row>
    <row r="5054" spans="2:9" ht="14" x14ac:dyDescent="0.15">
      <c r="B5054" s="83"/>
      <c r="C5054" s="11"/>
      <c r="D5054" s="1"/>
      <c r="E5054" s="153"/>
      <c r="F5054" s="153"/>
      <c r="G5054" s="153"/>
      <c r="H5054" s="153"/>
      <c r="I5054" s="169"/>
    </row>
    <row r="5055" spans="2:9" ht="14" x14ac:dyDescent="0.15">
      <c r="B5055" s="83"/>
      <c r="C5055" s="11"/>
      <c r="D5055" s="1"/>
      <c r="E5055" s="153"/>
      <c r="F5055" s="153"/>
      <c r="G5055" s="153"/>
      <c r="H5055" s="153"/>
      <c r="I5055" s="169"/>
    </row>
    <row r="5056" spans="2:9" ht="14" x14ac:dyDescent="0.15">
      <c r="B5056" s="83"/>
      <c r="C5056" s="11"/>
      <c r="D5056" s="1"/>
      <c r="E5056" s="153"/>
      <c r="F5056" s="153"/>
      <c r="G5056" s="153"/>
      <c r="H5056" s="153"/>
      <c r="I5056" s="169"/>
    </row>
    <row r="5057" spans="2:9" ht="21" customHeight="1" x14ac:dyDescent="0.15">
      <c r="B5057" s="83"/>
      <c r="C5057" s="11"/>
      <c r="D5057" s="1"/>
      <c r="E5057" s="153"/>
      <c r="F5057" s="153"/>
      <c r="G5057" s="153"/>
      <c r="H5057" s="153"/>
      <c r="I5057" s="169"/>
    </row>
    <row r="5058" spans="2:9" ht="14" x14ac:dyDescent="0.15">
      <c r="B5058" s="83"/>
      <c r="C5058" s="11"/>
      <c r="D5058" s="1"/>
      <c r="E5058" s="153"/>
      <c r="F5058" s="153"/>
      <c r="G5058" s="153"/>
      <c r="H5058" s="153"/>
      <c r="I5058" s="169"/>
    </row>
    <row r="5059" spans="2:9" ht="14" x14ac:dyDescent="0.15">
      <c r="B5059" s="83"/>
      <c r="C5059" s="11"/>
      <c r="D5059" s="1"/>
      <c r="E5059" s="153"/>
      <c r="F5059" s="153"/>
      <c r="G5059" s="153"/>
      <c r="H5059" s="153"/>
      <c r="I5059" s="169"/>
    </row>
    <row r="5060" spans="2:9" ht="14" x14ac:dyDescent="0.15">
      <c r="B5060" s="83"/>
      <c r="C5060" s="11"/>
      <c r="D5060" s="1"/>
      <c r="E5060" s="153"/>
      <c r="F5060" s="153"/>
      <c r="G5060" s="153"/>
      <c r="H5060" s="153"/>
      <c r="I5060" s="169"/>
    </row>
  </sheetData>
  <sheetProtection algorithmName="SHA-512" hashValue="NtorsF1SBintdtu7vxwFpM6YrZB3uBxz1SKcKCWLGCygjFMl8Sa+Hf6BERdmww7hV3zi3tq05h/dPDs9W5BdrQ==" saltValue="iqnUXuE7wkTFfu2+EZZBPQ==" spinCount="100000" sheet="1" objects="1" scenarios="1"/>
  <mergeCells count="980">
    <mergeCell ref="B3922:D3922"/>
    <mergeCell ref="B3443:D3443"/>
    <mergeCell ref="B3444:D3444"/>
    <mergeCell ref="B3447:D3447"/>
    <mergeCell ref="E3472:H3472"/>
    <mergeCell ref="B3611:F3611"/>
    <mergeCell ref="B3670:F3670"/>
    <mergeCell ref="B3790:F3790"/>
    <mergeCell ref="H3850:I3852"/>
    <mergeCell ref="B3911:F3911"/>
    <mergeCell ref="H3911:I3913"/>
    <mergeCell ref="B3523:C3523"/>
    <mergeCell ref="B3524:C3524"/>
    <mergeCell ref="E3537:H3537"/>
    <mergeCell ref="B3564:D3564"/>
    <mergeCell ref="B3565:D3565"/>
    <mergeCell ref="B3568:D3568"/>
    <mergeCell ref="B3616:F3619"/>
    <mergeCell ref="B3563:D3563"/>
    <mergeCell ref="B3552:F3552"/>
    <mergeCell ref="B3553:F3553"/>
    <mergeCell ref="B3431:F3431"/>
    <mergeCell ref="H3431:I3433"/>
    <mergeCell ref="B3432:F3432"/>
    <mergeCell ref="B3861:D3861"/>
    <mergeCell ref="B3863:D3863"/>
    <mergeCell ref="B3866:D3866"/>
    <mergeCell ref="H3853:I3857"/>
    <mergeCell ref="B3912:F3912"/>
    <mergeCell ref="B3913:F3914"/>
    <mergeCell ref="F3908:I3908"/>
    <mergeCell ref="H3552:I3552"/>
    <mergeCell ref="B3612:F3612"/>
    <mergeCell ref="F3488:I3488"/>
    <mergeCell ref="H3434:I3438"/>
    <mergeCell ref="B3613:F3614"/>
    <mergeCell ref="B3622:D3622"/>
    <mergeCell ref="B3675:F3678"/>
    <mergeCell ref="B3628:D3628"/>
    <mergeCell ref="H3611:I3613"/>
    <mergeCell ref="B3850:F3850"/>
    <mergeCell ref="B3795:F3798"/>
    <mergeCell ref="H3793:I3797"/>
    <mergeCell ref="B3732:F3733"/>
    <mergeCell ref="B3522:C3522"/>
    <mergeCell ref="B724:D724"/>
    <mergeCell ref="B725:D725"/>
    <mergeCell ref="B726:D726"/>
    <mergeCell ref="B729:D729"/>
    <mergeCell ref="E765:H765"/>
    <mergeCell ref="B1014:F1014"/>
    <mergeCell ref="B1075:F1075"/>
    <mergeCell ref="H1075:I1077"/>
    <mergeCell ref="B1076:F1076"/>
    <mergeCell ref="B1077:F1078"/>
    <mergeCell ref="H1078:I1082"/>
    <mergeCell ref="B1080:F1083"/>
    <mergeCell ref="B774:F774"/>
    <mergeCell ref="H774:I776"/>
    <mergeCell ref="B775:F775"/>
    <mergeCell ref="B776:F777"/>
    <mergeCell ref="H777:I781"/>
    <mergeCell ref="B779:F782"/>
    <mergeCell ref="B785:D785"/>
    <mergeCell ref="E818:H818"/>
    <mergeCell ref="H834:I836"/>
    <mergeCell ref="B835:F835"/>
    <mergeCell ref="B2901:D2901"/>
    <mergeCell ref="B2904:D2904"/>
    <mergeCell ref="E2868:H2868"/>
    <mergeCell ref="B3008:F3008"/>
    <mergeCell ref="H3008:I3010"/>
    <mergeCell ref="B3009:F3009"/>
    <mergeCell ref="B3010:F3011"/>
    <mergeCell ref="B2893:F2896"/>
    <mergeCell ref="H1378:I1382"/>
    <mergeCell ref="B1380:F1383"/>
    <mergeCell ref="B2037:F2038"/>
    <mergeCell ref="B2052:D2052"/>
    <mergeCell ref="E1838:H1838"/>
    <mergeCell ref="B2109:D2109"/>
    <mergeCell ref="B2231:D2231"/>
    <mergeCell ref="B2046:D2046"/>
    <mergeCell ref="H2099:I2103"/>
    <mergeCell ref="H2156:I2158"/>
    <mergeCell ref="B2157:F2157"/>
    <mergeCell ref="B2158:F2159"/>
    <mergeCell ref="H2159:I2163"/>
    <mergeCell ref="B2405:F2405"/>
    <mergeCell ref="B2406:F2407"/>
    <mergeCell ref="H2407:I2411"/>
    <mergeCell ref="H4582:I4584"/>
    <mergeCell ref="B4583:F4583"/>
    <mergeCell ref="B4584:F4585"/>
    <mergeCell ref="H4585:I4589"/>
    <mergeCell ref="B4587:F4590"/>
    <mergeCell ref="H3011:I3015"/>
    <mergeCell ref="B3013:F3016"/>
    <mergeCell ref="B3019:D3019"/>
    <mergeCell ref="B3985:D3985"/>
    <mergeCell ref="B3988:D3988"/>
    <mergeCell ref="E4025:H4025"/>
    <mergeCell ref="H3790:I3792"/>
    <mergeCell ref="B3791:F3791"/>
    <mergeCell ref="B3792:F3793"/>
    <mergeCell ref="E3891:H3891"/>
    <mergeCell ref="B3862:D3862"/>
    <mergeCell ref="B3851:F3851"/>
    <mergeCell ref="B3924:D3924"/>
    <mergeCell ref="B3927:D3927"/>
    <mergeCell ref="B3923:D3923"/>
    <mergeCell ref="E3952:H3952"/>
    <mergeCell ref="H3914:I3918"/>
    <mergeCell ref="B3433:F3434"/>
    <mergeCell ref="B3916:F3919"/>
    <mergeCell ref="B4899:D4899"/>
    <mergeCell ref="B4884:F4884"/>
    <mergeCell ref="B4885:F4885"/>
    <mergeCell ref="H4884:I4886"/>
    <mergeCell ref="B4836:D4836"/>
    <mergeCell ref="B4839:D4839"/>
    <mergeCell ref="B4835:D4835"/>
    <mergeCell ref="B4593:D4593"/>
    <mergeCell ref="B4594:D4594"/>
    <mergeCell ref="B4595:D4595"/>
    <mergeCell ref="B4598:D4598"/>
    <mergeCell ref="B4702:F4702"/>
    <mergeCell ref="H4702:I4704"/>
    <mergeCell ref="B4703:F4703"/>
    <mergeCell ref="B4704:F4705"/>
    <mergeCell ref="H4705:I4709"/>
    <mergeCell ref="B4707:F4710"/>
    <mergeCell ref="B4762:F4762"/>
    <mergeCell ref="B4715:D4715"/>
    <mergeCell ref="B4718:D4718"/>
    <mergeCell ref="B4643:F4643"/>
    <mergeCell ref="B4644:F4645"/>
    <mergeCell ref="H4645:I4649"/>
    <mergeCell ref="B4647:F4650"/>
    <mergeCell ref="B4653:D4653"/>
    <mergeCell ref="B4654:D4654"/>
    <mergeCell ref="B4655:D4655"/>
    <mergeCell ref="B4658:D4658"/>
    <mergeCell ref="B4713:D4713"/>
    <mergeCell ref="B4714:D4714"/>
    <mergeCell ref="E4987:H4987"/>
    <mergeCell ref="F5006:I5006"/>
    <mergeCell ref="B4945:F4945"/>
    <mergeCell ref="H4945:I4947"/>
    <mergeCell ref="B4946:F4946"/>
    <mergeCell ref="B4947:F4948"/>
    <mergeCell ref="H4948:I4954"/>
    <mergeCell ref="B4950:F4955"/>
    <mergeCell ref="B4902:D4902"/>
    <mergeCell ref="B4903:D4903"/>
    <mergeCell ref="E4926:H4926"/>
    <mergeCell ref="F4944:I4944"/>
    <mergeCell ref="B3074:F3077"/>
    <mergeCell ref="B3080:D3080"/>
    <mergeCell ref="B3081:D3081"/>
    <mergeCell ref="B3082:D3082"/>
    <mergeCell ref="B3085:D3085"/>
    <mergeCell ref="E3120:H3120"/>
    <mergeCell ref="F3129:I3129"/>
    <mergeCell ref="B3321:D3321"/>
    <mergeCell ref="B3193:F3194"/>
    <mergeCell ref="H3194:I3198"/>
    <mergeCell ref="B3196:F3199"/>
    <mergeCell ref="B3202:D3202"/>
    <mergeCell ref="B3203:D3203"/>
    <mergeCell ref="B3204:D3204"/>
    <mergeCell ref="E3302:H3302"/>
    <mergeCell ref="B3256:F3259"/>
    <mergeCell ref="B3311:F3311"/>
    <mergeCell ref="B3312:F3313"/>
    <mergeCell ref="H3313:I3317"/>
    <mergeCell ref="B3315:F3318"/>
    <mergeCell ref="H3130:I3132"/>
    <mergeCell ref="B3131:F3131"/>
    <mergeCell ref="B3132:F3133"/>
    <mergeCell ref="B5008:F5008"/>
    <mergeCell ref="B5009:F5010"/>
    <mergeCell ref="H5010:I5014"/>
    <mergeCell ref="B5012:F5016"/>
    <mergeCell ref="B3852:F3853"/>
    <mergeCell ref="B3735:F3738"/>
    <mergeCell ref="E3721:H3721"/>
    <mergeCell ref="H3730:I3732"/>
    <mergeCell ref="B3731:F3731"/>
    <mergeCell ref="B3801:D3801"/>
    <mergeCell ref="B3802:D3802"/>
    <mergeCell ref="B3803:D3803"/>
    <mergeCell ref="F3848:I3848"/>
    <mergeCell ref="B3746:D3746"/>
    <mergeCell ref="F3786:I3786"/>
    <mergeCell ref="B3855:F3858"/>
    <mergeCell ref="E3831:H3831"/>
    <mergeCell ref="B4886:F4887"/>
    <mergeCell ref="H4887:I4893"/>
    <mergeCell ref="B4958:D4958"/>
    <mergeCell ref="B4959:D4959"/>
    <mergeCell ref="B4960:D4960"/>
    <mergeCell ref="B4963:D4963"/>
    <mergeCell ref="B4964:D4964"/>
    <mergeCell ref="B5024:D5024"/>
    <mergeCell ref="B1328:D1328"/>
    <mergeCell ref="B1329:D1329"/>
    <mergeCell ref="E1359:H1359"/>
    <mergeCell ref="B1266:D1266"/>
    <mergeCell ref="B1267:D1267"/>
    <mergeCell ref="B1268:D1268"/>
    <mergeCell ref="B1269:D1269"/>
    <mergeCell ref="B1272:D1272"/>
    <mergeCell ref="E1299:H1299"/>
    <mergeCell ref="B3742:D3742"/>
    <mergeCell ref="B3743:D3743"/>
    <mergeCell ref="E3772:H3772"/>
    <mergeCell ref="B3806:D3806"/>
    <mergeCell ref="E1418:H1418"/>
    <mergeCell ref="B1440:F1443"/>
    <mergeCell ref="B1332:D1332"/>
    <mergeCell ref="B1690:D1690"/>
    <mergeCell ref="E1718:H1718"/>
    <mergeCell ref="H2037:I2042"/>
    <mergeCell ref="B2040:F2043"/>
    <mergeCell ref="B3322:D3322"/>
    <mergeCell ref="B3323:D3323"/>
    <mergeCell ref="B3442:D3442"/>
    <mergeCell ref="B5019:D5019"/>
    <mergeCell ref="B5020:D5020"/>
    <mergeCell ref="B5021:D5021"/>
    <mergeCell ref="B4642:F4642"/>
    <mergeCell ref="H4642:I4644"/>
    <mergeCell ref="B1447:D1447"/>
    <mergeCell ref="B1448:D1448"/>
    <mergeCell ref="B1435:F1435"/>
    <mergeCell ref="B1255:F1255"/>
    <mergeCell ref="H3614:I3618"/>
    <mergeCell ref="B2098:F2099"/>
    <mergeCell ref="B2101:F2104"/>
    <mergeCell ref="B2107:D2107"/>
    <mergeCell ref="B1316:F1316"/>
    <mergeCell ref="B1375:F1375"/>
    <mergeCell ref="H2280:I2281"/>
    <mergeCell ref="B2281:F2281"/>
    <mergeCell ref="B1994:D1994"/>
    <mergeCell ref="B2291:D2291"/>
    <mergeCell ref="B2292:D2292"/>
    <mergeCell ref="B2477:D2477"/>
    <mergeCell ref="B4898:D4898"/>
    <mergeCell ref="B5007:F5007"/>
    <mergeCell ref="H5007:I5009"/>
    <mergeCell ref="B2482:D2482"/>
    <mergeCell ref="B2223:F2226"/>
    <mergeCell ref="B2173:D2173"/>
    <mergeCell ref="B2230:D2230"/>
    <mergeCell ref="H1255:I1257"/>
    <mergeCell ref="B1135:F1135"/>
    <mergeCell ref="B4889:F4894"/>
    <mergeCell ref="B4897:D4897"/>
    <mergeCell ref="H1375:I1377"/>
    <mergeCell ref="B1376:F1376"/>
    <mergeCell ref="B1377:F1378"/>
    <mergeCell ref="B1628:D1628"/>
    <mergeCell ref="B1629:D1629"/>
    <mergeCell ref="H1435:I1437"/>
    <mergeCell ref="B1436:F1436"/>
    <mergeCell ref="B1742:F1745"/>
    <mergeCell ref="B1860:F1861"/>
    <mergeCell ref="B1446:D1446"/>
    <mergeCell ref="E1482:H1482"/>
    <mergeCell ref="B2108:D2108"/>
    <mergeCell ref="B2113:D2113"/>
    <mergeCell ref="B2096:F2096"/>
    <mergeCell ref="B2097:F2097"/>
    <mergeCell ref="H3072:I3076"/>
    <mergeCell ref="B604:D604"/>
    <mergeCell ref="B967:D967"/>
    <mergeCell ref="B1025:D1025"/>
    <mergeCell ref="B971:D971"/>
    <mergeCell ref="E1058:H1058"/>
    <mergeCell ref="H957:I961"/>
    <mergeCell ref="H1138:I1142"/>
    <mergeCell ref="B712:F712"/>
    <mergeCell ref="H712:I714"/>
    <mergeCell ref="B848:D848"/>
    <mergeCell ref="B851:D851"/>
    <mergeCell ref="H715:I719"/>
    <mergeCell ref="B717:F720"/>
    <mergeCell ref="H954:I956"/>
    <mergeCell ref="B713:F713"/>
    <mergeCell ref="B714:F715"/>
    <mergeCell ref="E1002:H1002"/>
    <mergeCell ref="H1014:I1016"/>
    <mergeCell ref="B1015:F1015"/>
    <mergeCell ref="B1016:F1017"/>
    <mergeCell ref="H1017:I1021"/>
    <mergeCell ref="B786:D786"/>
    <mergeCell ref="B834:F834"/>
    <mergeCell ref="B836:F837"/>
    <mergeCell ref="B2156:F2156"/>
    <mergeCell ref="E2021:H2021"/>
    <mergeCell ref="B1997:D1997"/>
    <mergeCell ref="B2219:F2219"/>
    <mergeCell ref="B2220:F2221"/>
    <mergeCell ref="B2161:F2164"/>
    <mergeCell ref="B2167:D2167"/>
    <mergeCell ref="B2049:D2049"/>
    <mergeCell ref="B2110:D2110"/>
    <mergeCell ref="B2168:D2168"/>
    <mergeCell ref="B2169:D2169"/>
    <mergeCell ref="B2047:D2047"/>
    <mergeCell ref="B2048:D2048"/>
    <mergeCell ref="E2077:H2077"/>
    <mergeCell ref="H2096:I2098"/>
    <mergeCell ref="B1152:D1152"/>
    <mergeCell ref="E1179:H1179"/>
    <mergeCell ref="B896:F896"/>
    <mergeCell ref="B897:F898"/>
    <mergeCell ref="H898:I902"/>
    <mergeCell ref="B900:F903"/>
    <mergeCell ref="E939:H939"/>
    <mergeCell ref="B907:D907"/>
    <mergeCell ref="B908:D908"/>
    <mergeCell ref="B909:D909"/>
    <mergeCell ref="B912:D912"/>
    <mergeCell ref="B1797:F1797"/>
    <mergeCell ref="B1678:F1679"/>
    <mergeCell ref="B1681:F1684"/>
    <mergeCell ref="B1687:D1687"/>
    <mergeCell ref="B1688:D1688"/>
    <mergeCell ref="B1689:D1689"/>
    <mergeCell ref="B1148:D1148"/>
    <mergeCell ref="B1149:D1149"/>
    <mergeCell ref="F3368:I3368"/>
    <mergeCell ref="B3370:F3370"/>
    <mergeCell ref="B3207:D3207"/>
    <mergeCell ref="E3242:H3242"/>
    <mergeCell ref="F3249:I3249"/>
    <mergeCell ref="B3251:F3251"/>
    <mergeCell ref="B3741:D3741"/>
    <mergeCell ref="B3671:F3671"/>
    <mergeCell ref="B3624:D3624"/>
    <mergeCell ref="B3627:D3627"/>
    <mergeCell ref="E3652:H3652"/>
    <mergeCell ref="B3683:D3683"/>
    <mergeCell ref="B3730:F3730"/>
    <mergeCell ref="B3623:D3623"/>
    <mergeCell ref="F3729:I3729"/>
    <mergeCell ref="B3682:D3682"/>
    <mergeCell ref="H3670:I3672"/>
    <mergeCell ref="H3733:I3737"/>
    <mergeCell ref="B3672:F3673"/>
    <mergeCell ref="H3673:I3677"/>
    <mergeCell ref="B3509:D3509"/>
    <mergeCell ref="B3521:C3521"/>
    <mergeCell ref="B3681:D3681"/>
    <mergeCell ref="B3686:D3686"/>
    <mergeCell ref="H4765:I4769"/>
    <mergeCell ref="B4476:D4476"/>
    <mergeCell ref="B3557:F3560"/>
    <mergeCell ref="B3371:F3371"/>
    <mergeCell ref="B3372:F3373"/>
    <mergeCell ref="H3373:I3377"/>
    <mergeCell ref="B3375:F3378"/>
    <mergeCell ref="B3381:D3381"/>
    <mergeCell ref="B3382:D3382"/>
    <mergeCell ref="B3383:D3383"/>
    <mergeCell ref="B3386:D3386"/>
    <mergeCell ref="B3436:F3439"/>
    <mergeCell ref="H3370:I3372"/>
    <mergeCell ref="H3553:I3559"/>
    <mergeCell ref="B3492:F3492"/>
    <mergeCell ref="H3492:I3494"/>
    <mergeCell ref="B3493:F3493"/>
    <mergeCell ref="B3494:F3495"/>
    <mergeCell ref="H3495:I3499"/>
    <mergeCell ref="B3497:F3500"/>
    <mergeCell ref="B3503:D3503"/>
    <mergeCell ref="B3504:D3504"/>
    <mergeCell ref="B3505:D3505"/>
    <mergeCell ref="B3506:D3506"/>
    <mergeCell ref="B4402:F4403"/>
    <mergeCell ref="B4824:F4825"/>
    <mergeCell ref="B4834:D4834"/>
    <mergeCell ref="E4442:H4442"/>
    <mergeCell ref="F4459:I4459"/>
    <mergeCell ref="H4400:I4402"/>
    <mergeCell ref="H4403:I4409"/>
    <mergeCell ref="B4405:F4410"/>
    <mergeCell ref="B4413:D4413"/>
    <mergeCell ref="B4414:D4414"/>
    <mergeCell ref="B4415:D4415"/>
    <mergeCell ref="B4461:F4461"/>
    <mergeCell ref="B4466:F4470"/>
    <mergeCell ref="B4473:D4473"/>
    <mergeCell ref="B4474:D4474"/>
    <mergeCell ref="B4400:F4400"/>
    <mergeCell ref="B4401:F4401"/>
    <mergeCell ref="B4582:F4582"/>
    <mergeCell ref="B4418:D4418"/>
    <mergeCell ref="B4778:D4778"/>
    <mergeCell ref="H4461:I4463"/>
    <mergeCell ref="B4462:F4462"/>
    <mergeCell ref="B4463:F4464"/>
    <mergeCell ref="F4519:I4519"/>
    <mergeCell ref="B61:F61"/>
    <mergeCell ref="B62:F63"/>
    <mergeCell ref="H62:I67"/>
    <mergeCell ref="B60:F60"/>
    <mergeCell ref="H60:I61"/>
    <mergeCell ref="B120:F121"/>
    <mergeCell ref="B236:F236"/>
    <mergeCell ref="B238:F239"/>
    <mergeCell ref="B241:F244"/>
    <mergeCell ref="H236:I237"/>
    <mergeCell ref="B123:F126"/>
    <mergeCell ref="B129:D129"/>
    <mergeCell ref="B176:F176"/>
    <mergeCell ref="E100:H100"/>
    <mergeCell ref="H120:I125"/>
    <mergeCell ref="B118:F118"/>
    <mergeCell ref="H118:I119"/>
    <mergeCell ref="B119:F119"/>
    <mergeCell ref="H176:I177"/>
    <mergeCell ref="B178:F179"/>
    <mergeCell ref="H178:I183"/>
    <mergeCell ref="B181:F184"/>
    <mergeCell ref="B177:F177"/>
    <mergeCell ref="B130:D130"/>
    <mergeCell ref="H1:I2"/>
    <mergeCell ref="B2:F2"/>
    <mergeCell ref="B3:F4"/>
    <mergeCell ref="H3:I8"/>
    <mergeCell ref="B6:F9"/>
    <mergeCell ref="B1:F1"/>
    <mergeCell ref="B237:F237"/>
    <mergeCell ref="B360:F363"/>
    <mergeCell ref="B366:D366"/>
    <mergeCell ref="H355:I356"/>
    <mergeCell ref="B356:F356"/>
    <mergeCell ref="B357:F358"/>
    <mergeCell ref="H357:I362"/>
    <mergeCell ref="B12:D12"/>
    <mergeCell ref="B13:D13"/>
    <mergeCell ref="B14:D14"/>
    <mergeCell ref="B15:D15"/>
    <mergeCell ref="B18:D18"/>
    <mergeCell ref="E50:H50"/>
    <mergeCell ref="B65:F68"/>
    <mergeCell ref="B71:D71"/>
    <mergeCell ref="B72:D72"/>
    <mergeCell ref="B73:D73"/>
    <mergeCell ref="B76:D76"/>
    <mergeCell ref="B249:D249"/>
    <mergeCell ref="B247:D247"/>
    <mergeCell ref="B248:D248"/>
    <mergeCell ref="H238:I243"/>
    <mergeCell ref="B187:D187"/>
    <mergeCell ref="B194:D194"/>
    <mergeCell ref="B188:D188"/>
    <mergeCell ref="B190:D190"/>
    <mergeCell ref="B191:D191"/>
    <mergeCell ref="B189:D189"/>
    <mergeCell ref="B131:D131"/>
    <mergeCell ref="B134:D134"/>
    <mergeCell ref="B427:D427"/>
    <mergeCell ref="B488:D488"/>
    <mergeCell ref="H532:I533"/>
    <mergeCell ref="B533:F533"/>
    <mergeCell ref="B534:F535"/>
    <mergeCell ref="H534:I539"/>
    <mergeCell ref="H474:I475"/>
    <mergeCell ref="B475:F475"/>
    <mergeCell ref="B532:F532"/>
    <mergeCell ref="B537:F540"/>
    <mergeCell ref="B416:F417"/>
    <mergeCell ref="H416:I421"/>
    <mergeCell ref="B250:D250"/>
    <mergeCell ref="B253:D253"/>
    <mergeCell ref="B428:D428"/>
    <mergeCell ref="B487:D487"/>
    <mergeCell ref="B485:D485"/>
    <mergeCell ref="B486:D486"/>
    <mergeCell ref="H295:I296"/>
    <mergeCell ref="B296:F296"/>
    <mergeCell ref="B297:F298"/>
    <mergeCell ref="H297:I302"/>
    <mergeCell ref="B1630:D1630"/>
    <mergeCell ref="B1633:D1633"/>
    <mergeCell ref="H1558:I1563"/>
    <mergeCell ref="B1561:F1564"/>
    <mergeCell ref="B1567:D1567"/>
    <mergeCell ref="B788:D788"/>
    <mergeCell ref="B791:D791"/>
    <mergeCell ref="B723:D723"/>
    <mergeCell ref="B491:D491"/>
    <mergeCell ref="B591:F591"/>
    <mergeCell ref="B592:F592"/>
    <mergeCell ref="B593:F594"/>
    <mergeCell ref="B543:D543"/>
    <mergeCell ref="B546:D546"/>
    <mergeCell ref="B549:D549"/>
    <mergeCell ref="E643:H643"/>
    <mergeCell ref="B605:D605"/>
    <mergeCell ref="B608:D608"/>
    <mergeCell ref="B544:D544"/>
    <mergeCell ref="B545:D545"/>
    <mergeCell ref="H591:I593"/>
    <mergeCell ref="B895:F895"/>
    <mergeCell ref="B602:D602"/>
    <mergeCell ref="B603:D603"/>
    <mergeCell ref="B1618:F1619"/>
    <mergeCell ref="B1621:F1624"/>
    <mergeCell ref="B1627:D1627"/>
    <mergeCell ref="B1196:F1196"/>
    <mergeCell ref="B1449:D1449"/>
    <mergeCell ref="B1437:F1438"/>
    <mergeCell ref="H1438:I1442"/>
    <mergeCell ref="B1197:F1198"/>
    <mergeCell ref="E1239:H1239"/>
    <mergeCell ref="B1209:D1209"/>
    <mergeCell ref="B1212:D1212"/>
    <mergeCell ref="B1260:F1263"/>
    <mergeCell ref="B1991:D1991"/>
    <mergeCell ref="B1751:D1751"/>
    <mergeCell ref="B1920:F1920"/>
    <mergeCell ref="B1739:F1740"/>
    <mergeCell ref="B1748:D1748"/>
    <mergeCell ref="H1737:I1738"/>
    <mergeCell ref="B1799:F1800"/>
    <mergeCell ref="B1802:F1805"/>
    <mergeCell ref="B1808:D1808"/>
    <mergeCell ref="B1809:D1809"/>
    <mergeCell ref="B1810:D1810"/>
    <mergeCell ref="B1811:D1811"/>
    <mergeCell ref="B1814:D1814"/>
    <mergeCell ref="B1933:D1933"/>
    <mergeCell ref="B1990:D1990"/>
    <mergeCell ref="B1921:F1922"/>
    <mergeCell ref="H1921:I1926"/>
    <mergeCell ref="B1978:F1978"/>
    <mergeCell ref="H1981:I1985"/>
    <mergeCell ref="B1983:F1986"/>
    <mergeCell ref="B1989:D1989"/>
    <mergeCell ref="B596:F599"/>
    <mergeCell ref="B1737:F1737"/>
    <mergeCell ref="B1556:F1556"/>
    <mergeCell ref="H1556:I1557"/>
    <mergeCell ref="B1558:F1559"/>
    <mergeCell ref="B652:F652"/>
    <mergeCell ref="H652:I654"/>
    <mergeCell ref="B653:F653"/>
    <mergeCell ref="B654:F655"/>
    <mergeCell ref="H655:I659"/>
    <mergeCell ref="B657:F660"/>
    <mergeCell ref="B663:D663"/>
    <mergeCell ref="B1693:D1693"/>
    <mergeCell ref="B1676:F1676"/>
    <mergeCell ref="B1677:F1677"/>
    <mergeCell ref="B1326:D1326"/>
    <mergeCell ref="B1315:F1315"/>
    <mergeCell ref="B1317:F1318"/>
    <mergeCell ref="B787:D787"/>
    <mergeCell ref="H594:I598"/>
    <mergeCell ref="E1659:H1659"/>
    <mergeCell ref="B1616:F1616"/>
    <mergeCell ref="B1617:F1617"/>
    <mergeCell ref="H1616:I1617"/>
    <mergeCell ref="B1026:D1026"/>
    <mergeCell ref="B1086:D1086"/>
    <mergeCell ref="B1087:D1087"/>
    <mergeCell ref="H837:I841"/>
    <mergeCell ref="B839:F842"/>
    <mergeCell ref="B845:D845"/>
    <mergeCell ref="B955:F955"/>
    <mergeCell ref="B954:F954"/>
    <mergeCell ref="H895:I897"/>
    <mergeCell ref="B1019:F1022"/>
    <mergeCell ref="B1027:D1027"/>
    <mergeCell ref="B1028:D1028"/>
    <mergeCell ref="B1031:D1031"/>
    <mergeCell ref="B846:D846"/>
    <mergeCell ref="B847:D847"/>
    <mergeCell ref="H1135:I1137"/>
    <mergeCell ref="B1136:F1136"/>
    <mergeCell ref="B1557:F1557"/>
    <mergeCell ref="B1512:D1512"/>
    <mergeCell ref="E1538:H1538"/>
    <mergeCell ref="B1508:D1508"/>
    <mergeCell ref="B1509:D1509"/>
    <mergeCell ref="B906:D906"/>
    <mergeCell ref="B1195:F1195"/>
    <mergeCell ref="H1195:I1197"/>
    <mergeCell ref="B1200:F1203"/>
    <mergeCell ref="H1198:I1202"/>
    <mergeCell ref="B1206:D1206"/>
    <mergeCell ref="B1207:D1207"/>
    <mergeCell ref="B1208:D1208"/>
    <mergeCell ref="H1315:I1317"/>
    <mergeCell ref="B1256:F1256"/>
    <mergeCell ref="B1257:F1258"/>
    <mergeCell ref="H1258:I1262"/>
    <mergeCell ref="B959:F962"/>
    <mergeCell ref="B965:D965"/>
    <mergeCell ref="B966:D966"/>
    <mergeCell ref="B968:D968"/>
    <mergeCell ref="B956:F957"/>
    <mergeCell ref="B1088:D1088"/>
    <mergeCell ref="H1496:I1498"/>
    <mergeCell ref="B1497:F1497"/>
    <mergeCell ref="B1498:F1499"/>
    <mergeCell ref="H1499:I1503"/>
    <mergeCell ref="B1501:F1504"/>
    <mergeCell ref="B1507:D1507"/>
    <mergeCell ref="B1146:D1146"/>
    <mergeCell ref="B1147:D1147"/>
    <mergeCell ref="B1089:D1089"/>
    <mergeCell ref="B1092:D1092"/>
    <mergeCell ref="E1124:H1124"/>
    <mergeCell ref="B1137:F1138"/>
    <mergeCell ref="B1140:F1143"/>
    <mergeCell ref="H1318:I1322"/>
    <mergeCell ref="B1452:D1452"/>
    <mergeCell ref="B1386:D1386"/>
    <mergeCell ref="B1387:D1387"/>
    <mergeCell ref="B1388:D1388"/>
    <mergeCell ref="B1389:D1389"/>
    <mergeCell ref="B1392:D1392"/>
    <mergeCell ref="B1320:F1323"/>
    <mergeCell ref="B1327:D1327"/>
    <mergeCell ref="B1496:F1496"/>
    <mergeCell ref="B1568:D1568"/>
    <mergeCell ref="B1569:D1569"/>
    <mergeCell ref="B1570:D1570"/>
    <mergeCell ref="B1573:D1573"/>
    <mergeCell ref="E1599:H1599"/>
    <mergeCell ref="B1749:D1749"/>
    <mergeCell ref="B1750:D1750"/>
    <mergeCell ref="B1919:F1919"/>
    <mergeCell ref="B1754:D1754"/>
    <mergeCell ref="E1778:H1778"/>
    <mergeCell ref="B1863:F1866"/>
    <mergeCell ref="B1869:D1869"/>
    <mergeCell ref="B1870:D1870"/>
    <mergeCell ref="B1871:D1871"/>
    <mergeCell ref="H1919:I1920"/>
    <mergeCell ref="H1799:I1804"/>
    <mergeCell ref="B1872:D1872"/>
    <mergeCell ref="H1676:I1678"/>
    <mergeCell ref="H1679:I1683"/>
    <mergeCell ref="B1859:F1859"/>
    <mergeCell ref="H1739:I1744"/>
    <mergeCell ref="B1738:F1738"/>
    <mergeCell ref="H1860:I1865"/>
    <mergeCell ref="H1618:I1623"/>
    <mergeCell ref="B2355:D2355"/>
    <mergeCell ref="B2358:D2358"/>
    <mergeCell ref="B2404:F2404"/>
    <mergeCell ref="B1931:D1931"/>
    <mergeCell ref="H1797:I1798"/>
    <mergeCell ref="B1798:F1798"/>
    <mergeCell ref="B1932:D1932"/>
    <mergeCell ref="B1998:D1998"/>
    <mergeCell ref="B1999:D1999"/>
    <mergeCell ref="H2035:I2036"/>
    <mergeCell ref="B2036:F2036"/>
    <mergeCell ref="B2170:D2170"/>
    <mergeCell ref="B1979:F1979"/>
    <mergeCell ref="B1875:D1875"/>
    <mergeCell ref="E1900:H1900"/>
    <mergeCell ref="B1858:F1858"/>
    <mergeCell ref="H1858:I1859"/>
    <mergeCell ref="B1936:D1936"/>
    <mergeCell ref="E1961:H1961"/>
    <mergeCell ref="B2035:F2035"/>
    <mergeCell ref="B1924:F1927"/>
    <mergeCell ref="B1930:D1930"/>
    <mergeCell ref="H1978:I1980"/>
    <mergeCell ref="B1980:F1981"/>
    <mergeCell ref="H2218:I2220"/>
    <mergeCell ref="B2354:D2354"/>
    <mergeCell ref="B2341:F2341"/>
    <mergeCell ref="H2341:I2343"/>
    <mergeCell ref="B2342:F2342"/>
    <mergeCell ref="B2343:F2344"/>
    <mergeCell ref="H2344:I2348"/>
    <mergeCell ref="B2346:F2349"/>
    <mergeCell ref="B2352:D2352"/>
    <mergeCell ref="B2353:D2353"/>
    <mergeCell ref="B2282:F2283"/>
    <mergeCell ref="B2229:D2229"/>
    <mergeCell ref="H2221:I2225"/>
    <mergeCell ref="B2232:D2232"/>
    <mergeCell ref="B2235:D2235"/>
    <mergeCell ref="B2280:F2280"/>
    <mergeCell ref="B2218:F2218"/>
    <mergeCell ref="B2293:D2293"/>
    <mergeCell ref="B2294:D2294"/>
    <mergeCell ref="B2297:D2297"/>
    <mergeCell ref="E2323:H2323"/>
    <mergeCell ref="H2282:I2287"/>
    <mergeCell ref="B2285:F2288"/>
    <mergeCell ref="H2404:I2406"/>
    <mergeCell ref="E3061:H3061"/>
    <mergeCell ref="B2409:F2412"/>
    <mergeCell ref="B2415:D2415"/>
    <mergeCell ref="B2416:D2416"/>
    <mergeCell ref="B2417:D2417"/>
    <mergeCell ref="B2418:D2418"/>
    <mergeCell ref="B2421:D2421"/>
    <mergeCell ref="B2531:F2534"/>
    <mergeCell ref="B2466:F2466"/>
    <mergeCell ref="H2466:I2468"/>
    <mergeCell ref="B2467:F2467"/>
    <mergeCell ref="B2479:D2479"/>
    <mergeCell ref="B2478:D2478"/>
    <mergeCell ref="E2517:H2517"/>
    <mergeCell ref="B2537:D2537"/>
    <mergeCell ref="B2538:D2538"/>
    <mergeCell ref="B2840:D2840"/>
    <mergeCell ref="B3020:D3020"/>
    <mergeCell ref="B3021:D3021"/>
    <mergeCell ref="B3024:D3024"/>
    <mergeCell ref="B2539:D2539"/>
    <mergeCell ref="B2542:D2542"/>
    <mergeCell ref="E2570:H2570"/>
    <mergeCell ref="H3133:I3137"/>
    <mergeCell ref="B3135:F3138"/>
    <mergeCell ref="B3141:D3141"/>
    <mergeCell ref="B2468:F2469"/>
    <mergeCell ref="H2469:I2473"/>
    <mergeCell ref="B2471:F2474"/>
    <mergeCell ref="B3070:F3070"/>
    <mergeCell ref="B3071:F3072"/>
    <mergeCell ref="B2647:F2647"/>
    <mergeCell ref="H2647:I2649"/>
    <mergeCell ref="B2648:F2648"/>
    <mergeCell ref="B2649:F2650"/>
    <mergeCell ref="H2650:I2654"/>
    <mergeCell ref="B2652:F2655"/>
    <mergeCell ref="B2526:F2526"/>
    <mergeCell ref="H2526:I2528"/>
    <mergeCell ref="B2527:F2527"/>
    <mergeCell ref="B2528:F2529"/>
    <mergeCell ref="H2529:I2533"/>
    <mergeCell ref="B2767:F2767"/>
    <mergeCell ref="B2768:F2769"/>
    <mergeCell ref="E3000:H3000"/>
    <mergeCell ref="F3006:I3006"/>
    <mergeCell ref="B2771:F2774"/>
    <mergeCell ref="B3326:D3326"/>
    <mergeCell ref="H3251:I3253"/>
    <mergeCell ref="B2719:D2719"/>
    <mergeCell ref="B2720:D2720"/>
    <mergeCell ref="H2708:I2710"/>
    <mergeCell ref="B2709:F2709"/>
    <mergeCell ref="B2710:F2711"/>
    <mergeCell ref="H2711:I2715"/>
    <mergeCell ref="B2713:F2716"/>
    <mergeCell ref="E2813:H2813"/>
    <mergeCell ref="H2766:I2768"/>
    <mergeCell ref="B2721:D2721"/>
    <mergeCell ref="B2777:D2777"/>
    <mergeCell ref="B2778:D2778"/>
    <mergeCell ref="B2779:D2779"/>
    <mergeCell ref="B2782:D2782"/>
    <mergeCell ref="B2766:F2766"/>
    <mergeCell ref="B3142:D3142"/>
    <mergeCell ref="B3143:D3143"/>
    <mergeCell ref="F3308:I3308"/>
    <mergeCell ref="B3310:F3310"/>
    <mergeCell ref="H3310:I3312"/>
    <mergeCell ref="F3067:I3067"/>
    <mergeCell ref="B3130:F3130"/>
    <mergeCell ref="E3357:H3357"/>
    <mergeCell ref="B3146:D3146"/>
    <mergeCell ref="E3181:H3181"/>
    <mergeCell ref="F3190:I3190"/>
    <mergeCell ref="B3191:F3191"/>
    <mergeCell ref="H3191:I3193"/>
    <mergeCell ref="B3192:F3192"/>
    <mergeCell ref="F2823:I2823"/>
    <mergeCell ref="B2888:F2888"/>
    <mergeCell ref="B3252:F3252"/>
    <mergeCell ref="B3253:F3254"/>
    <mergeCell ref="H3254:I3258"/>
    <mergeCell ref="B3262:D3262"/>
    <mergeCell ref="B3263:D3263"/>
    <mergeCell ref="B3264:D3264"/>
    <mergeCell ref="B3267:D3267"/>
    <mergeCell ref="H2827:I2829"/>
    <mergeCell ref="B2828:F2828"/>
    <mergeCell ref="B2829:F2830"/>
    <mergeCell ref="B2827:F2827"/>
    <mergeCell ref="B2832:F2835"/>
    <mergeCell ref="B2838:D2838"/>
    <mergeCell ref="B3069:F3069"/>
    <mergeCell ref="H3069:I3071"/>
    <mergeCell ref="B4279:F4279"/>
    <mergeCell ref="H4279:I4281"/>
    <mergeCell ref="B4280:F4280"/>
    <mergeCell ref="B4281:F4282"/>
    <mergeCell ref="H4160:I4164"/>
    <mergeCell ref="B4162:F4165"/>
    <mergeCell ref="B4168:D4168"/>
    <mergeCell ref="B4169:D4169"/>
    <mergeCell ref="B4170:D4170"/>
    <mergeCell ref="B4173:D4173"/>
    <mergeCell ref="B4159:F4160"/>
    <mergeCell ref="B4231:D4231"/>
    <mergeCell ref="B4234:D4234"/>
    <mergeCell ref="F4215:I4215"/>
    <mergeCell ref="B4218:F4218"/>
    <mergeCell ref="H4218:I4220"/>
    <mergeCell ref="B4219:F4219"/>
    <mergeCell ref="B4220:F4221"/>
    <mergeCell ref="H4221:I4225"/>
    <mergeCell ref="B4223:F4226"/>
    <mergeCell ref="B4229:D4229"/>
    <mergeCell ref="B4230:D4230"/>
    <mergeCell ref="B4034:F4034"/>
    <mergeCell ref="B4105:D4105"/>
    <mergeCell ref="B4106:D4106"/>
    <mergeCell ref="B4107:D4107"/>
    <mergeCell ref="B4110:D4110"/>
    <mergeCell ref="F4092:I4092"/>
    <mergeCell ref="E4198:H4198"/>
    <mergeCell ref="B4035:F4036"/>
    <mergeCell ref="H4036:I4040"/>
    <mergeCell ref="B4038:F4041"/>
    <mergeCell ref="B4157:F4157"/>
    <mergeCell ref="H4157:I4159"/>
    <mergeCell ref="B4158:F4158"/>
    <mergeCell ref="B4045:D4045"/>
    <mergeCell ref="B4046:D4046"/>
    <mergeCell ref="B4049:D4049"/>
    <mergeCell ref="E4086:H4086"/>
    <mergeCell ref="H4464:I4469"/>
    <mergeCell ref="B4475:D4475"/>
    <mergeCell ref="B3972:F3972"/>
    <mergeCell ref="H3972:I3974"/>
    <mergeCell ref="B3973:F3973"/>
    <mergeCell ref="B3974:F3975"/>
    <mergeCell ref="H3975:I3979"/>
    <mergeCell ref="B3977:F3980"/>
    <mergeCell ref="E4135:H4135"/>
    <mergeCell ref="F4155:I4155"/>
    <mergeCell ref="B4094:F4094"/>
    <mergeCell ref="H4094:I4096"/>
    <mergeCell ref="B4095:F4095"/>
    <mergeCell ref="B4096:F4097"/>
    <mergeCell ref="H4097:I4101"/>
    <mergeCell ref="B4099:F4102"/>
    <mergeCell ref="B3983:D3983"/>
    <mergeCell ref="B3984:D3984"/>
    <mergeCell ref="B4044:D4044"/>
    <mergeCell ref="F4032:I4032"/>
    <mergeCell ref="B4033:F4033"/>
    <mergeCell ref="H4033:I4035"/>
    <mergeCell ref="B4371:C4371"/>
    <mergeCell ref="B4372:C4372"/>
    <mergeCell ref="B2586:F2586"/>
    <mergeCell ref="H2586:I2588"/>
    <mergeCell ref="B2587:F2587"/>
    <mergeCell ref="B2588:F2589"/>
    <mergeCell ref="H2589:I2593"/>
    <mergeCell ref="B2591:F2594"/>
    <mergeCell ref="E2753:H2753"/>
    <mergeCell ref="H2830:I2834"/>
    <mergeCell ref="H2769:I2773"/>
    <mergeCell ref="B2724:D2724"/>
    <mergeCell ref="B2725:D2725"/>
    <mergeCell ref="B2726:D2726"/>
    <mergeCell ref="B2708:F2708"/>
    <mergeCell ref="H2888:I2890"/>
    <mergeCell ref="B2889:F2889"/>
    <mergeCell ref="B2890:F2891"/>
    <mergeCell ref="H2891:I2895"/>
    <mergeCell ref="B2839:D2839"/>
    <mergeCell ref="F2884:I2884"/>
    <mergeCell ref="B2843:D2843"/>
    <mergeCell ref="B2899:D2899"/>
    <mergeCell ref="B2900:D2900"/>
    <mergeCell ref="B4524:F4525"/>
    <mergeCell ref="H4525:I4529"/>
    <mergeCell ref="B4527:F4530"/>
    <mergeCell ref="B2597:D2597"/>
    <mergeCell ref="B2598:D2598"/>
    <mergeCell ref="B2599:D2599"/>
    <mergeCell ref="B2602:D2602"/>
    <mergeCell ref="E2629:H2629"/>
    <mergeCell ref="B3554:F3555"/>
    <mergeCell ref="B2658:D2658"/>
    <mergeCell ref="B2659:D2659"/>
    <mergeCell ref="B2660:D2660"/>
    <mergeCell ref="B2663:D2663"/>
    <mergeCell ref="E2690:H2690"/>
    <mergeCell ref="B2948:F2948"/>
    <mergeCell ref="H2948:I2950"/>
    <mergeCell ref="B2949:F2949"/>
    <mergeCell ref="B2950:F2951"/>
    <mergeCell ref="H2951:I2955"/>
    <mergeCell ref="B2953:F2956"/>
    <mergeCell ref="B2959:D2959"/>
    <mergeCell ref="B2960:D2960"/>
    <mergeCell ref="B2961:D2961"/>
    <mergeCell ref="B2964:D2964"/>
    <mergeCell ref="B429:D429"/>
    <mergeCell ref="H476:I481"/>
    <mergeCell ref="B476:F477"/>
    <mergeCell ref="B4369:C4369"/>
    <mergeCell ref="B4370:C4370"/>
    <mergeCell ref="B4539:D4539"/>
    <mergeCell ref="H4282:I4286"/>
    <mergeCell ref="B4284:F4287"/>
    <mergeCell ref="B4290:D4290"/>
    <mergeCell ref="B4291:D4291"/>
    <mergeCell ref="B4292:D4292"/>
    <mergeCell ref="B4295:D4295"/>
    <mergeCell ref="B4340:F4340"/>
    <mergeCell ref="H4340:I4342"/>
    <mergeCell ref="B4341:F4341"/>
    <mergeCell ref="B4342:F4343"/>
    <mergeCell ref="H4343:I4347"/>
    <mergeCell ref="B4345:F4348"/>
    <mergeCell ref="B4351:D4351"/>
    <mergeCell ref="B4352:D4352"/>
    <mergeCell ref="B4353:D4353"/>
    <mergeCell ref="B4354:D4354"/>
    <mergeCell ref="B4357:D4357"/>
    <mergeCell ref="B4419:D4419"/>
    <mergeCell ref="B4827:F4831"/>
    <mergeCell ref="H4824:I4830"/>
    <mergeCell ref="B4823:F4823"/>
    <mergeCell ref="H4822:I4823"/>
    <mergeCell ref="B4822:F4822"/>
    <mergeCell ref="B664:D664"/>
    <mergeCell ref="B665:D665"/>
    <mergeCell ref="B666:D666"/>
    <mergeCell ref="B669:D669"/>
    <mergeCell ref="E705:H705"/>
    <mergeCell ref="B4767:F4770"/>
    <mergeCell ref="B4773:D4773"/>
    <mergeCell ref="B4774:D4774"/>
    <mergeCell ref="B4775:D4775"/>
    <mergeCell ref="H4762:I4764"/>
    <mergeCell ref="B4763:F4763"/>
    <mergeCell ref="B4764:F4765"/>
    <mergeCell ref="B4533:D4533"/>
    <mergeCell ref="B4534:D4534"/>
    <mergeCell ref="B4535:D4535"/>
    <mergeCell ref="B4479:D4479"/>
    <mergeCell ref="E4510:H4510"/>
    <mergeCell ref="H4522:I4524"/>
    <mergeCell ref="B4523:F4523"/>
    <mergeCell ref="E4390:H4390"/>
    <mergeCell ref="B4522:F4522"/>
    <mergeCell ref="B4536:D4536"/>
    <mergeCell ref="B300:F303"/>
    <mergeCell ref="B306:D306"/>
    <mergeCell ref="B295:F295"/>
    <mergeCell ref="B309:D309"/>
    <mergeCell ref="B312:D312"/>
    <mergeCell ref="B307:D307"/>
    <mergeCell ref="B308:D308"/>
    <mergeCell ref="B355:F355"/>
    <mergeCell ref="B367:D367"/>
    <mergeCell ref="B368:D368"/>
    <mergeCell ref="B479:F482"/>
    <mergeCell ref="H414:I415"/>
    <mergeCell ref="B474:F474"/>
    <mergeCell ref="B414:F414"/>
    <mergeCell ref="B432:D432"/>
    <mergeCell ref="B415:F415"/>
    <mergeCell ref="B369:D369"/>
    <mergeCell ref="B372:D372"/>
    <mergeCell ref="B419:F422"/>
    <mergeCell ref="B425:D425"/>
    <mergeCell ref="B426:D426"/>
  </mergeCells>
  <pageMargins left="0.7" right="0.7" top="1.31" bottom="0.75" header="0.3" footer="0.3"/>
  <pageSetup paperSize="9" scale="82" orientation="portrait" horizontalDpi="4294967292" r:id="rId1"/>
  <colBreaks count="1" manualBreakCount="1">
    <brk id="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8">
    <tabColor rgb="FF66FF33"/>
  </sheetPr>
  <dimension ref="A1:G30"/>
  <sheetViews>
    <sheetView view="pageBreakPreview" topLeftCell="A2" zoomScale="145" zoomScaleNormal="100" zoomScaleSheetLayoutView="145" workbookViewId="0">
      <selection activeCell="H34" sqref="H34"/>
    </sheetView>
  </sheetViews>
  <sheetFormatPr baseColWidth="10" defaultRowHeight="13" x14ac:dyDescent="0.15"/>
  <cols>
    <col min="3" max="3" width="28.33203125" customWidth="1"/>
    <col min="4" max="4" width="14.33203125" customWidth="1"/>
    <col min="5" max="5" width="14.83203125" customWidth="1"/>
    <col min="6" max="6" width="12.33203125" bestFit="1" customWidth="1"/>
    <col min="7" max="7" width="16" bestFit="1" customWidth="1"/>
  </cols>
  <sheetData>
    <row r="1" spans="1:7" ht="2.25" hidden="1" customHeight="1" x14ac:dyDescent="0.15">
      <c r="A1" s="742"/>
      <c r="B1" s="452"/>
      <c r="C1" s="452"/>
      <c r="D1" s="452"/>
      <c r="E1" s="743"/>
    </row>
    <row r="2" spans="1:7" ht="21" customHeight="1" x14ac:dyDescent="0.15">
      <c r="A2" s="752" t="s">
        <v>1065</v>
      </c>
      <c r="B2" s="753"/>
      <c r="C2" s="753"/>
      <c r="D2" s="441"/>
      <c r="E2" s="442"/>
      <c r="F2" s="411"/>
    </row>
    <row r="3" spans="1:7" ht="14.25" customHeight="1" x14ac:dyDescent="0.15">
      <c r="A3" s="446" t="s">
        <v>446</v>
      </c>
      <c r="B3" s="447"/>
      <c r="C3" s="447"/>
      <c r="D3" s="444"/>
      <c r="E3" s="445"/>
      <c r="F3" s="92"/>
    </row>
    <row r="4" spans="1:7" ht="14.25" customHeight="1" x14ac:dyDescent="0.15">
      <c r="A4" s="446" t="s">
        <v>447</v>
      </c>
      <c r="B4" s="447"/>
      <c r="C4" s="447"/>
      <c r="D4" s="444"/>
      <c r="E4" s="445"/>
      <c r="F4" s="92"/>
    </row>
    <row r="5" spans="1:7" ht="41.25" customHeight="1" x14ac:dyDescent="0.15">
      <c r="A5" s="754" t="s">
        <v>890</v>
      </c>
      <c r="B5" s="494"/>
      <c r="C5" s="494"/>
      <c r="D5" s="444"/>
      <c r="E5" s="445"/>
      <c r="F5" s="196"/>
    </row>
    <row r="6" spans="1:7" ht="19.5" customHeight="1" x14ac:dyDescent="0.15">
      <c r="A6" s="744" t="s">
        <v>520</v>
      </c>
      <c r="B6" s="745"/>
      <c r="C6" s="745"/>
      <c r="D6" s="745"/>
      <c r="E6" s="746"/>
    </row>
    <row r="7" spans="1:7" ht="19.5" customHeight="1" x14ac:dyDescent="0.15">
      <c r="A7" s="750" t="s">
        <v>224</v>
      </c>
      <c r="B7" s="751"/>
      <c r="C7" s="751"/>
      <c r="D7" s="301">
        <v>2022</v>
      </c>
      <c r="E7" s="302">
        <v>2023</v>
      </c>
    </row>
    <row r="8" spans="1:7" ht="15" customHeight="1" x14ac:dyDescent="0.15">
      <c r="A8" s="740" t="s">
        <v>82</v>
      </c>
      <c r="B8" s="741"/>
      <c r="C8" s="741"/>
      <c r="D8" s="209">
        <v>1000000</v>
      </c>
      <c r="E8" s="209">
        <v>1160000</v>
      </c>
    </row>
    <row r="9" spans="1:7" ht="15" customHeight="1" x14ac:dyDescent="0.15">
      <c r="A9" s="740" t="s">
        <v>83</v>
      </c>
      <c r="B9" s="741"/>
      <c r="C9" s="741"/>
      <c r="D9" s="209">
        <v>117172</v>
      </c>
      <c r="E9" s="209">
        <v>140000</v>
      </c>
    </row>
    <row r="10" spans="1:7" ht="15" customHeight="1" x14ac:dyDescent="0.15">
      <c r="A10" s="740" t="s">
        <v>84</v>
      </c>
      <c r="B10" s="741"/>
      <c r="C10" s="741"/>
      <c r="D10" s="209">
        <f>SUM(D8:D9)</f>
        <v>1117172</v>
      </c>
      <c r="E10" s="209">
        <f>SUM(E8:E9)</f>
        <v>1300000</v>
      </c>
    </row>
    <row r="11" spans="1:7" ht="15" customHeight="1" x14ac:dyDescent="0.15">
      <c r="A11" s="740" t="s">
        <v>85</v>
      </c>
      <c r="B11" s="741"/>
      <c r="C11" s="741"/>
      <c r="D11" s="210">
        <v>30</v>
      </c>
      <c r="E11" s="236">
        <v>30</v>
      </c>
      <c r="G11" s="105"/>
    </row>
    <row r="12" spans="1:7" ht="10.5" customHeight="1" x14ac:dyDescent="0.15">
      <c r="A12" s="747"/>
      <c r="B12" s="492"/>
      <c r="C12" s="492"/>
      <c r="D12" s="492"/>
      <c r="E12" s="748"/>
    </row>
    <row r="13" spans="1:7" x14ac:dyDescent="0.15">
      <c r="A13" s="749" t="s">
        <v>144</v>
      </c>
      <c r="B13" s="491"/>
      <c r="C13" s="491"/>
      <c r="D13" s="239" t="s">
        <v>145</v>
      </c>
      <c r="E13" s="300" t="s">
        <v>88</v>
      </c>
    </row>
    <row r="14" spans="1:7" x14ac:dyDescent="0.15">
      <c r="A14" s="735" t="s">
        <v>86</v>
      </c>
      <c r="B14" s="736"/>
      <c r="C14" s="736"/>
      <c r="D14" s="186">
        <f>E10/E11*1.2</f>
        <v>52000</v>
      </c>
      <c r="E14" s="299">
        <f>ROUND((D14),0)</f>
        <v>52000</v>
      </c>
      <c r="F14" s="105"/>
    </row>
    <row r="15" spans="1:7" x14ac:dyDescent="0.15">
      <c r="A15" s="735" t="s">
        <v>42</v>
      </c>
      <c r="B15" s="736"/>
      <c r="C15" s="736"/>
      <c r="D15" s="186">
        <f>E10/E11*2.2</f>
        <v>95333.333333333343</v>
      </c>
      <c r="E15" s="299">
        <f t="shared" ref="E15:E20" si="0">ROUND((D15),0)</f>
        <v>95333</v>
      </c>
      <c r="G15" s="105"/>
    </row>
    <row r="16" spans="1:7" x14ac:dyDescent="0.15">
      <c r="A16" s="735" t="s">
        <v>106</v>
      </c>
      <c r="B16" s="736"/>
      <c r="C16" s="736"/>
      <c r="D16" s="186">
        <f>E10/E11*2.2</f>
        <v>95333.333333333343</v>
      </c>
      <c r="E16" s="299">
        <f t="shared" si="0"/>
        <v>95333</v>
      </c>
    </row>
    <row r="17" spans="1:7" x14ac:dyDescent="0.15">
      <c r="A17" s="735" t="s">
        <v>172</v>
      </c>
      <c r="B17" s="736"/>
      <c r="C17" s="736"/>
      <c r="D17" s="186">
        <f>E10/E11*2.2</f>
        <v>95333.333333333343</v>
      </c>
      <c r="E17" s="299">
        <f t="shared" si="0"/>
        <v>95333</v>
      </c>
    </row>
    <row r="18" spans="1:7" x14ac:dyDescent="0.15">
      <c r="A18" s="735" t="s">
        <v>87</v>
      </c>
      <c r="B18" s="736"/>
      <c r="C18" s="736"/>
      <c r="D18" s="186">
        <f>E10/E11*2.5</f>
        <v>108333.33333333334</v>
      </c>
      <c r="E18" s="299">
        <f t="shared" si="0"/>
        <v>108333</v>
      </c>
      <c r="G18" s="105"/>
    </row>
    <row r="19" spans="1:7" x14ac:dyDescent="0.15">
      <c r="A19" s="735" t="s">
        <v>54</v>
      </c>
      <c r="B19" s="736"/>
      <c r="C19" s="736"/>
      <c r="D19" s="186">
        <f>E10/30*2.5</f>
        <v>108333.33333333334</v>
      </c>
      <c r="E19" s="299">
        <f t="shared" si="0"/>
        <v>108333</v>
      </c>
    </row>
    <row r="20" spans="1:7" x14ac:dyDescent="0.15">
      <c r="A20" s="735" t="s">
        <v>90</v>
      </c>
      <c r="B20" s="736"/>
      <c r="C20" s="736"/>
      <c r="D20" s="186">
        <f>E10/E11*1.2</f>
        <v>52000</v>
      </c>
      <c r="E20" s="299">
        <f t="shared" si="0"/>
        <v>52000</v>
      </c>
    </row>
    <row r="21" spans="1:7" ht="10.5" customHeight="1" thickBot="1" x14ac:dyDescent="0.2">
      <c r="A21" s="737"/>
      <c r="B21" s="738"/>
      <c r="C21" s="738"/>
      <c r="D21" s="738"/>
      <c r="E21" s="739"/>
      <c r="F21" s="105"/>
    </row>
    <row r="27" spans="1:7" ht="14" x14ac:dyDescent="0.15">
      <c r="A27" s="101" t="s">
        <v>534</v>
      </c>
    </row>
    <row r="28" spans="1:7" ht="14" x14ac:dyDescent="0.15">
      <c r="A28" s="83" t="s">
        <v>448</v>
      </c>
      <c r="B28" s="11"/>
      <c r="C28" s="11"/>
      <c r="D28" s="101"/>
    </row>
    <row r="29" spans="1:7" x14ac:dyDescent="0.15">
      <c r="A29" s="118"/>
      <c r="B29" s="11"/>
      <c r="C29" s="11"/>
      <c r="D29" s="118"/>
    </row>
    <row r="30" spans="1:7" ht="14" x14ac:dyDescent="0.15">
      <c r="A30" s="83"/>
      <c r="B30" s="11"/>
      <c r="C30" s="11"/>
    </row>
  </sheetData>
  <mergeCells count="22">
    <mergeCell ref="A11:C11"/>
    <mergeCell ref="A14:C14"/>
    <mergeCell ref="A1:E1"/>
    <mergeCell ref="A6:E6"/>
    <mergeCell ref="A12:E12"/>
    <mergeCell ref="A13:C13"/>
    <mergeCell ref="A7:C7"/>
    <mergeCell ref="A8:C8"/>
    <mergeCell ref="A9:C9"/>
    <mergeCell ref="A10:C10"/>
    <mergeCell ref="A2:C2"/>
    <mergeCell ref="D2:E5"/>
    <mergeCell ref="A3:C3"/>
    <mergeCell ref="A4:C4"/>
    <mergeCell ref="A5:C5"/>
    <mergeCell ref="A15:C15"/>
    <mergeCell ref="A18:C18"/>
    <mergeCell ref="A19:C19"/>
    <mergeCell ref="A20:C20"/>
    <mergeCell ref="A21:E21"/>
    <mergeCell ref="A16:C16"/>
    <mergeCell ref="A17:C17"/>
  </mergeCells>
  <pageMargins left="0.70866141732283472" right="0.70866141732283472" top="0.74803149606299213" bottom="0.74803149606299213" header="0.31496062992125984" footer="0.31496062992125984"/>
  <pageSetup scale="110" orientation="portrait" r:id="rId1"/>
  <ignoredErrors>
    <ignoredError sqref="D10:E10" formulaRange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6">
    <tabColor rgb="FF66FF33"/>
  </sheetPr>
  <dimension ref="A1:N194"/>
  <sheetViews>
    <sheetView view="pageBreakPreview" zoomScaleNormal="100" zoomScaleSheetLayoutView="100" workbookViewId="0">
      <selection activeCell="F33" sqref="F33"/>
    </sheetView>
  </sheetViews>
  <sheetFormatPr baseColWidth="10" defaultRowHeight="13" x14ac:dyDescent="0.15"/>
  <cols>
    <col min="1" max="1" width="48.1640625" customWidth="1"/>
    <col min="2" max="2" width="12.6640625" customWidth="1"/>
    <col min="3" max="6" width="15.5" customWidth="1"/>
    <col min="9" max="9" width="14.5" bestFit="1" customWidth="1"/>
    <col min="10" max="10" width="14.5" customWidth="1"/>
    <col min="12" max="12" width="12.83203125" bestFit="1" customWidth="1"/>
    <col min="13" max="13" width="16.5" bestFit="1" customWidth="1"/>
    <col min="14" max="14" width="14.33203125" customWidth="1"/>
    <col min="15" max="15" width="15" customWidth="1"/>
  </cols>
  <sheetData>
    <row r="1" spans="1:12" ht="35.25" customHeight="1" x14ac:dyDescent="0.15">
      <c r="A1" s="444" t="s">
        <v>1065</v>
      </c>
      <c r="B1" s="444"/>
      <c r="C1" s="444"/>
      <c r="D1" s="444"/>
      <c r="E1" s="444"/>
      <c r="F1" s="444"/>
      <c r="G1" s="411"/>
    </row>
    <row r="2" spans="1:12" ht="14.25" customHeight="1" x14ac:dyDescent="0.15">
      <c r="A2" s="447" t="s">
        <v>446</v>
      </c>
      <c r="B2" s="447"/>
      <c r="C2" s="447"/>
      <c r="D2" s="447"/>
      <c r="E2" s="444"/>
      <c r="F2" s="444"/>
      <c r="G2" s="92"/>
    </row>
    <row r="3" spans="1:12" ht="14.25" customHeight="1" x14ac:dyDescent="0.15">
      <c r="A3" s="447" t="s">
        <v>447</v>
      </c>
      <c r="B3" s="447"/>
      <c r="C3" s="447"/>
      <c r="D3" s="447"/>
      <c r="E3" s="444"/>
      <c r="F3" s="444"/>
      <c r="G3" s="92"/>
    </row>
    <row r="4" spans="1:12" ht="38.25" customHeight="1" x14ac:dyDescent="0.15">
      <c r="A4" s="450" t="s">
        <v>890</v>
      </c>
      <c r="B4" s="450"/>
      <c r="C4" s="450"/>
      <c r="D4" s="450"/>
      <c r="E4" s="444"/>
      <c r="F4" s="444"/>
      <c r="G4" s="196"/>
    </row>
    <row r="5" spans="1:12" ht="17.25" customHeight="1" x14ac:dyDescent="0.15">
      <c r="A5" s="755" t="s">
        <v>502</v>
      </c>
      <c r="B5" s="756"/>
      <c r="C5" s="756"/>
      <c r="D5" s="756"/>
      <c r="E5" s="756"/>
      <c r="F5" s="757"/>
    </row>
    <row r="6" spans="1:12" s="195" customFormat="1" ht="33" customHeight="1" x14ac:dyDescent="0.15">
      <c r="A6" s="192" t="s">
        <v>121</v>
      </c>
      <c r="B6" s="193" t="s">
        <v>122</v>
      </c>
      <c r="C6" s="194" t="s">
        <v>123</v>
      </c>
      <c r="D6" s="194" t="s">
        <v>453</v>
      </c>
      <c r="E6" s="194" t="s">
        <v>454</v>
      </c>
      <c r="F6" s="235" t="s">
        <v>81</v>
      </c>
    </row>
    <row r="7" spans="1:12" s="115" customFormat="1" ht="15" customHeight="1" x14ac:dyDescent="0.15">
      <c r="A7" s="114" t="s">
        <v>452</v>
      </c>
      <c r="B7" s="295" t="s">
        <v>73</v>
      </c>
      <c r="C7" s="296">
        <v>1500</v>
      </c>
      <c r="D7" s="296">
        <f>C7*0.94</f>
        <v>1410</v>
      </c>
      <c r="E7" s="296">
        <f>+D7*1.06</f>
        <v>1494.6000000000001</v>
      </c>
      <c r="F7" s="296">
        <f t="shared" ref="F7" si="0">C7</f>
        <v>1500</v>
      </c>
    </row>
    <row r="8" spans="1:12" s="115" customFormat="1" ht="18" customHeight="1" x14ac:dyDescent="0.15">
      <c r="A8" s="114" t="s">
        <v>124</v>
      </c>
      <c r="B8" s="295" t="s">
        <v>125</v>
      </c>
      <c r="C8" s="296">
        <v>7500</v>
      </c>
      <c r="D8" s="296">
        <f>C8*0.94</f>
        <v>7050</v>
      </c>
      <c r="E8" s="296">
        <f>+D8*1.06</f>
        <v>7473</v>
      </c>
      <c r="F8" s="297">
        <f>C8</f>
        <v>7500</v>
      </c>
    </row>
    <row r="9" spans="1:12" s="115" customFormat="1" ht="18" customHeight="1" x14ac:dyDescent="0.15">
      <c r="A9" s="114" t="s">
        <v>187</v>
      </c>
      <c r="B9" s="295" t="s">
        <v>127</v>
      </c>
      <c r="C9" s="296">
        <v>2800</v>
      </c>
      <c r="D9" s="296">
        <f t="shared" ref="D9:D54" si="1">C9*0.94</f>
        <v>2632</v>
      </c>
      <c r="E9" s="296">
        <f t="shared" ref="E9:E54" si="2">+D9*1.06</f>
        <v>2789.92</v>
      </c>
      <c r="F9" s="297">
        <f t="shared" ref="F9:F37" si="3">C9</f>
        <v>2800</v>
      </c>
      <c r="L9" s="309"/>
    </row>
    <row r="10" spans="1:12" s="115" customFormat="1" ht="18" customHeight="1" x14ac:dyDescent="0.15">
      <c r="A10" s="114" t="s">
        <v>183</v>
      </c>
      <c r="B10" s="295" t="s">
        <v>127</v>
      </c>
      <c r="C10" s="296">
        <v>850</v>
      </c>
      <c r="D10" s="296">
        <f t="shared" si="1"/>
        <v>799</v>
      </c>
      <c r="E10" s="296">
        <f t="shared" si="2"/>
        <v>846.94</v>
      </c>
      <c r="F10" s="297">
        <f t="shared" si="3"/>
        <v>850</v>
      </c>
    </row>
    <row r="11" spans="1:12" s="115" customFormat="1" ht="18" customHeight="1" x14ac:dyDescent="0.15">
      <c r="A11" s="114" t="s">
        <v>188</v>
      </c>
      <c r="B11" s="295" t="s">
        <v>6</v>
      </c>
      <c r="C11" s="296">
        <f>32000*1.35</f>
        <v>43200</v>
      </c>
      <c r="D11" s="296">
        <f t="shared" si="1"/>
        <v>40608</v>
      </c>
      <c r="E11" s="296">
        <f t="shared" si="2"/>
        <v>43044.480000000003</v>
      </c>
      <c r="F11" s="297">
        <f t="shared" si="3"/>
        <v>43200</v>
      </c>
      <c r="J11" s="309"/>
      <c r="L11" s="309"/>
    </row>
    <row r="12" spans="1:12" s="115" customFormat="1" ht="18" customHeight="1" x14ac:dyDescent="0.15">
      <c r="A12" s="114" t="s">
        <v>450</v>
      </c>
      <c r="B12" s="295" t="s">
        <v>6</v>
      </c>
      <c r="C12" s="296">
        <f>2000*60*1.35</f>
        <v>162000</v>
      </c>
      <c r="D12" s="296">
        <f t="shared" si="1"/>
        <v>152280</v>
      </c>
      <c r="E12" s="296">
        <f t="shared" si="2"/>
        <v>161416.80000000002</v>
      </c>
      <c r="F12" s="297">
        <f t="shared" si="3"/>
        <v>162000</v>
      </c>
    </row>
    <row r="13" spans="1:12" s="115" customFormat="1" ht="18" customHeight="1" x14ac:dyDescent="0.15">
      <c r="A13" s="114" t="s">
        <v>449</v>
      </c>
      <c r="B13" s="295" t="s">
        <v>6</v>
      </c>
      <c r="C13" s="296">
        <f>2000*60*1.35</f>
        <v>162000</v>
      </c>
      <c r="D13" s="296">
        <f t="shared" ref="D13" si="4">C13*0.94</f>
        <v>152280</v>
      </c>
      <c r="E13" s="296">
        <f t="shared" ref="E13" si="5">+D13*1.06</f>
        <v>161416.80000000002</v>
      </c>
      <c r="F13" s="297">
        <f t="shared" ref="F13" si="6">C13</f>
        <v>162000</v>
      </c>
      <c r="I13" s="309"/>
      <c r="L13" s="309"/>
    </row>
    <row r="14" spans="1:12" s="115" customFormat="1" ht="18" customHeight="1" x14ac:dyDescent="0.15">
      <c r="A14" s="114" t="s">
        <v>132</v>
      </c>
      <c r="B14" s="295" t="s">
        <v>6</v>
      </c>
      <c r="C14" s="296">
        <f>1000*60*1.35</f>
        <v>81000</v>
      </c>
      <c r="D14" s="296">
        <f t="shared" si="1"/>
        <v>76140</v>
      </c>
      <c r="E14" s="296">
        <f t="shared" si="2"/>
        <v>80708.400000000009</v>
      </c>
      <c r="F14" s="297">
        <f t="shared" si="3"/>
        <v>81000</v>
      </c>
      <c r="I14" s="309"/>
    </row>
    <row r="15" spans="1:12" s="115" customFormat="1" ht="18" customHeight="1" x14ac:dyDescent="0.15">
      <c r="A15" s="114" t="s">
        <v>133</v>
      </c>
      <c r="B15" s="295" t="s">
        <v>6</v>
      </c>
      <c r="C15" s="296">
        <f>1000*60*1.35</f>
        <v>81000</v>
      </c>
      <c r="D15" s="296">
        <f t="shared" si="1"/>
        <v>76140</v>
      </c>
      <c r="E15" s="296">
        <f t="shared" si="2"/>
        <v>80708.400000000009</v>
      </c>
      <c r="F15" s="297">
        <f t="shared" si="3"/>
        <v>81000</v>
      </c>
    </row>
    <row r="16" spans="1:12" s="115" customFormat="1" ht="18" customHeight="1" x14ac:dyDescent="0.15">
      <c r="A16" s="114" t="s">
        <v>60</v>
      </c>
      <c r="B16" s="295" t="s">
        <v>134</v>
      </c>
      <c r="C16" s="296">
        <v>50</v>
      </c>
      <c r="D16" s="296">
        <f t="shared" si="1"/>
        <v>47</v>
      </c>
      <c r="E16" s="296">
        <f t="shared" si="2"/>
        <v>49.82</v>
      </c>
      <c r="F16" s="297">
        <f t="shared" si="3"/>
        <v>50</v>
      </c>
    </row>
    <row r="17" spans="1:6" s="115" customFormat="1" ht="18" customHeight="1" x14ac:dyDescent="0.15">
      <c r="A17" s="114" t="s">
        <v>473</v>
      </c>
      <c r="B17" s="295" t="s">
        <v>127</v>
      </c>
      <c r="C17" s="296">
        <v>7159</v>
      </c>
      <c r="D17" s="296">
        <f t="shared" si="1"/>
        <v>6729.46</v>
      </c>
      <c r="E17" s="296">
        <f t="shared" si="2"/>
        <v>7133.2276000000002</v>
      </c>
      <c r="F17" s="297">
        <f t="shared" si="3"/>
        <v>7159</v>
      </c>
    </row>
    <row r="18" spans="1:6" s="115" customFormat="1" ht="18" customHeight="1" x14ac:dyDescent="0.15">
      <c r="A18" s="114" t="s">
        <v>474</v>
      </c>
      <c r="B18" s="295" t="s">
        <v>127</v>
      </c>
      <c r="C18" s="296">
        <v>7159</v>
      </c>
      <c r="D18" s="296">
        <f t="shared" si="1"/>
        <v>6729.46</v>
      </c>
      <c r="E18" s="296">
        <f t="shared" si="2"/>
        <v>7133.2276000000002</v>
      </c>
      <c r="F18" s="297">
        <f t="shared" si="3"/>
        <v>7159</v>
      </c>
    </row>
    <row r="19" spans="1:6" s="115" customFormat="1" ht="18" customHeight="1" x14ac:dyDescent="0.15">
      <c r="A19" s="114" t="s">
        <v>97</v>
      </c>
      <c r="B19" s="295" t="s">
        <v>127</v>
      </c>
      <c r="C19" s="296">
        <v>9146</v>
      </c>
      <c r="D19" s="296">
        <f t="shared" si="1"/>
        <v>8597.24</v>
      </c>
      <c r="E19" s="296">
        <f t="shared" si="2"/>
        <v>9113.0743999999995</v>
      </c>
      <c r="F19" s="297">
        <f t="shared" si="3"/>
        <v>9146</v>
      </c>
    </row>
    <row r="20" spans="1:6" s="115" customFormat="1" ht="18" customHeight="1" x14ac:dyDescent="0.15">
      <c r="A20" s="114" t="s">
        <v>126</v>
      </c>
      <c r="B20" s="295" t="s">
        <v>127</v>
      </c>
      <c r="C20" s="296">
        <v>2100</v>
      </c>
      <c r="D20" s="296">
        <f t="shared" si="1"/>
        <v>1974</v>
      </c>
      <c r="E20" s="296">
        <f t="shared" si="2"/>
        <v>2092.44</v>
      </c>
      <c r="F20" s="297">
        <f t="shared" si="3"/>
        <v>2100</v>
      </c>
    </row>
    <row r="21" spans="1:6" s="115" customFormat="1" ht="18" customHeight="1" x14ac:dyDescent="0.15">
      <c r="A21" s="114" t="s">
        <v>755</v>
      </c>
      <c r="B21" s="295" t="s">
        <v>127</v>
      </c>
      <c r="C21" s="296">
        <f>21600*1.35</f>
        <v>29160.000000000004</v>
      </c>
      <c r="D21" s="296">
        <f t="shared" ref="D21" si="7">C21*0.94</f>
        <v>27410.400000000001</v>
      </c>
      <c r="E21" s="296">
        <f t="shared" ref="E21" si="8">+D21*1.06</f>
        <v>29055.024000000001</v>
      </c>
      <c r="F21" s="297">
        <f t="shared" ref="F21" si="9">C21</f>
        <v>29160.000000000004</v>
      </c>
    </row>
    <row r="22" spans="1:6" s="115" customFormat="1" ht="18" customHeight="1" x14ac:dyDescent="0.15">
      <c r="A22" s="114" t="s">
        <v>128</v>
      </c>
      <c r="B22" s="295" t="s">
        <v>73</v>
      </c>
      <c r="C22" s="296">
        <v>75000</v>
      </c>
      <c r="D22" s="296">
        <f t="shared" si="1"/>
        <v>70500</v>
      </c>
      <c r="E22" s="296">
        <f t="shared" si="2"/>
        <v>74730</v>
      </c>
      <c r="F22" s="297">
        <f t="shared" si="3"/>
        <v>75000</v>
      </c>
    </row>
    <row r="23" spans="1:6" s="115" customFormat="1" ht="18" customHeight="1" x14ac:dyDescent="0.15">
      <c r="A23" s="114" t="s">
        <v>129</v>
      </c>
      <c r="B23" s="295" t="s">
        <v>73</v>
      </c>
      <c r="C23" s="296">
        <v>40000</v>
      </c>
      <c r="D23" s="296">
        <f t="shared" si="1"/>
        <v>37600</v>
      </c>
      <c r="E23" s="296">
        <f t="shared" si="2"/>
        <v>39856</v>
      </c>
      <c r="F23" s="297">
        <f t="shared" si="3"/>
        <v>40000</v>
      </c>
    </row>
    <row r="24" spans="1:6" s="115" customFormat="1" ht="18" customHeight="1" x14ac:dyDescent="0.15">
      <c r="A24" s="114" t="s">
        <v>130</v>
      </c>
      <c r="B24" s="295" t="s">
        <v>73</v>
      </c>
      <c r="C24" s="296">
        <v>17500</v>
      </c>
      <c r="D24" s="296">
        <f t="shared" si="1"/>
        <v>16450</v>
      </c>
      <c r="E24" s="296">
        <f t="shared" si="2"/>
        <v>17437</v>
      </c>
      <c r="F24" s="297">
        <f t="shared" si="3"/>
        <v>17500</v>
      </c>
    </row>
    <row r="25" spans="1:6" s="115" customFormat="1" ht="18" customHeight="1" x14ac:dyDescent="0.15">
      <c r="A25" s="114" t="s">
        <v>131</v>
      </c>
      <c r="B25" s="295" t="s">
        <v>73</v>
      </c>
      <c r="C25" s="296">
        <v>6000</v>
      </c>
      <c r="D25" s="296">
        <f t="shared" si="1"/>
        <v>5640</v>
      </c>
      <c r="E25" s="296">
        <f t="shared" si="2"/>
        <v>5978.4000000000005</v>
      </c>
      <c r="F25" s="297">
        <f t="shared" si="3"/>
        <v>6000</v>
      </c>
    </row>
    <row r="26" spans="1:6" s="115" customFormat="1" ht="18" customHeight="1" x14ac:dyDescent="0.15">
      <c r="A26" s="114" t="s">
        <v>189</v>
      </c>
      <c r="B26" s="295" t="s">
        <v>73</v>
      </c>
      <c r="C26" s="296">
        <v>27000</v>
      </c>
      <c r="D26" s="296">
        <f t="shared" si="1"/>
        <v>25380</v>
      </c>
      <c r="E26" s="296">
        <f t="shared" si="2"/>
        <v>26902.800000000003</v>
      </c>
      <c r="F26" s="297">
        <f t="shared" si="3"/>
        <v>27000</v>
      </c>
    </row>
    <row r="27" spans="1:6" s="115" customFormat="1" ht="18" customHeight="1" x14ac:dyDescent="0.15">
      <c r="A27" s="114" t="s">
        <v>135</v>
      </c>
      <c r="B27" s="295" t="s">
        <v>103</v>
      </c>
      <c r="C27" s="296">
        <f>53000*4*1.35</f>
        <v>286200</v>
      </c>
      <c r="D27" s="296">
        <f t="shared" si="1"/>
        <v>269028</v>
      </c>
      <c r="E27" s="296">
        <f t="shared" si="2"/>
        <v>285169.68</v>
      </c>
      <c r="F27" s="297">
        <f t="shared" si="3"/>
        <v>286200</v>
      </c>
    </row>
    <row r="28" spans="1:6" s="115" customFormat="1" ht="18" customHeight="1" x14ac:dyDescent="0.15">
      <c r="A28" s="114" t="s">
        <v>136</v>
      </c>
      <c r="B28" s="295" t="s">
        <v>5</v>
      </c>
      <c r="C28" s="296">
        <v>24300</v>
      </c>
      <c r="D28" s="296">
        <f t="shared" si="1"/>
        <v>22842</v>
      </c>
      <c r="E28" s="296">
        <f t="shared" si="2"/>
        <v>24212.52</v>
      </c>
      <c r="F28" s="297">
        <f t="shared" si="3"/>
        <v>24300</v>
      </c>
    </row>
    <row r="29" spans="1:6" s="115" customFormat="1" ht="18" customHeight="1" x14ac:dyDescent="0.15">
      <c r="A29" s="114" t="s">
        <v>190</v>
      </c>
      <c r="B29" s="295" t="s">
        <v>127</v>
      </c>
      <c r="C29" s="296">
        <f>13000*1.4</f>
        <v>18200</v>
      </c>
      <c r="D29" s="296">
        <f t="shared" si="1"/>
        <v>17108</v>
      </c>
      <c r="E29" s="296">
        <f t="shared" si="2"/>
        <v>18134.48</v>
      </c>
      <c r="F29" s="297">
        <f t="shared" si="3"/>
        <v>18200</v>
      </c>
    </row>
    <row r="30" spans="1:6" s="115" customFormat="1" ht="18" customHeight="1" x14ac:dyDescent="0.15">
      <c r="A30" s="114" t="s">
        <v>191</v>
      </c>
      <c r="B30" s="295" t="s">
        <v>127</v>
      </c>
      <c r="C30" s="296">
        <f>7000*1.4</f>
        <v>9800</v>
      </c>
      <c r="D30" s="296">
        <f t="shared" si="1"/>
        <v>9212</v>
      </c>
      <c r="E30" s="296">
        <f t="shared" si="2"/>
        <v>9764.7200000000012</v>
      </c>
      <c r="F30" s="297">
        <f t="shared" si="3"/>
        <v>9800</v>
      </c>
    </row>
    <row r="31" spans="1:6" s="115" customFormat="1" ht="18" customHeight="1" x14ac:dyDescent="0.15">
      <c r="A31" s="114" t="s">
        <v>192</v>
      </c>
      <c r="B31" s="295" t="s">
        <v>44</v>
      </c>
      <c r="C31" s="296">
        <v>1303000</v>
      </c>
      <c r="D31" s="296">
        <f t="shared" si="1"/>
        <v>1224820</v>
      </c>
      <c r="E31" s="296">
        <f t="shared" si="2"/>
        <v>1298309.2</v>
      </c>
      <c r="F31" s="297">
        <f t="shared" si="3"/>
        <v>1303000</v>
      </c>
    </row>
    <row r="32" spans="1:6" s="115" customFormat="1" ht="18" customHeight="1" x14ac:dyDescent="0.15">
      <c r="A32" s="114" t="s">
        <v>451</v>
      </c>
      <c r="B32" s="295" t="s">
        <v>103</v>
      </c>
      <c r="C32" s="296">
        <v>362400</v>
      </c>
      <c r="D32" s="296">
        <f t="shared" si="1"/>
        <v>340656</v>
      </c>
      <c r="E32" s="296">
        <f t="shared" si="2"/>
        <v>361095.36000000004</v>
      </c>
      <c r="F32" s="297">
        <f t="shared" si="3"/>
        <v>362400</v>
      </c>
    </row>
    <row r="33" spans="1:6" s="115" customFormat="1" ht="18" customHeight="1" x14ac:dyDescent="0.15">
      <c r="A33" s="114" t="s">
        <v>315</v>
      </c>
      <c r="B33" s="295" t="s">
        <v>193</v>
      </c>
      <c r="C33" s="296">
        <v>1800</v>
      </c>
      <c r="D33" s="296">
        <f t="shared" si="1"/>
        <v>1692</v>
      </c>
      <c r="E33" s="296">
        <f t="shared" si="2"/>
        <v>1793.52</v>
      </c>
      <c r="F33" s="297">
        <f t="shared" si="3"/>
        <v>1800</v>
      </c>
    </row>
    <row r="34" spans="1:6" s="115" customFormat="1" ht="18" customHeight="1" x14ac:dyDescent="0.15">
      <c r="A34" s="114" t="s">
        <v>194</v>
      </c>
      <c r="B34" s="295" t="s">
        <v>127</v>
      </c>
      <c r="C34" s="296">
        <v>7500</v>
      </c>
      <c r="D34" s="296">
        <f t="shared" si="1"/>
        <v>7050</v>
      </c>
      <c r="E34" s="296">
        <f t="shared" si="2"/>
        <v>7473</v>
      </c>
      <c r="F34" s="297">
        <f t="shared" si="3"/>
        <v>7500</v>
      </c>
    </row>
    <row r="35" spans="1:6" s="115" customFormat="1" ht="18" customHeight="1" x14ac:dyDescent="0.15">
      <c r="A35" s="114" t="s">
        <v>147</v>
      </c>
      <c r="B35" s="295" t="s">
        <v>73</v>
      </c>
      <c r="C35" s="296">
        <v>775800</v>
      </c>
      <c r="D35" s="296">
        <f t="shared" si="1"/>
        <v>729252</v>
      </c>
      <c r="E35" s="296">
        <f t="shared" si="2"/>
        <v>773007.12</v>
      </c>
      <c r="F35" s="297">
        <f t="shared" si="3"/>
        <v>775800</v>
      </c>
    </row>
    <row r="36" spans="1:6" s="115" customFormat="1" ht="18" customHeight="1" x14ac:dyDescent="0.15">
      <c r="A36" s="114" t="s">
        <v>162</v>
      </c>
      <c r="B36" s="295" t="s">
        <v>5</v>
      </c>
      <c r="C36" s="296">
        <v>4500</v>
      </c>
      <c r="D36" s="296">
        <f t="shared" si="1"/>
        <v>4230</v>
      </c>
      <c r="E36" s="296">
        <f t="shared" si="2"/>
        <v>4483.8</v>
      </c>
      <c r="F36" s="297">
        <f t="shared" si="3"/>
        <v>4500</v>
      </c>
    </row>
    <row r="37" spans="1:6" s="115" customFormat="1" ht="18" customHeight="1" x14ac:dyDescent="0.15">
      <c r="A37" s="114" t="s">
        <v>163</v>
      </c>
      <c r="B37" s="295" t="s">
        <v>103</v>
      </c>
      <c r="C37" s="296">
        <v>85000</v>
      </c>
      <c r="D37" s="296">
        <f t="shared" si="1"/>
        <v>79900</v>
      </c>
      <c r="E37" s="296">
        <f t="shared" si="2"/>
        <v>84694</v>
      </c>
      <c r="F37" s="297">
        <f t="shared" si="3"/>
        <v>85000</v>
      </c>
    </row>
    <row r="38" spans="1:6" s="115" customFormat="1" ht="18" customHeight="1" x14ac:dyDescent="0.15">
      <c r="A38" s="114" t="s">
        <v>195</v>
      </c>
      <c r="B38" s="295" t="s">
        <v>5</v>
      </c>
      <c r="C38" s="296">
        <f>(57000*1.35)*1</f>
        <v>76950</v>
      </c>
      <c r="D38" s="296">
        <f t="shared" si="1"/>
        <v>72333</v>
      </c>
      <c r="E38" s="296">
        <f t="shared" si="2"/>
        <v>76672.98000000001</v>
      </c>
      <c r="F38" s="297">
        <f t="shared" ref="F38:F42" si="10">C38</f>
        <v>76950</v>
      </c>
    </row>
    <row r="39" spans="1:6" s="115" customFormat="1" ht="18" customHeight="1" x14ac:dyDescent="0.15">
      <c r="A39" s="114" t="s">
        <v>205</v>
      </c>
      <c r="B39" s="295" t="s">
        <v>73</v>
      </c>
      <c r="C39" s="296">
        <f>2300*1.35</f>
        <v>3105</v>
      </c>
      <c r="D39" s="296">
        <f t="shared" si="1"/>
        <v>2918.7</v>
      </c>
      <c r="E39" s="296">
        <f t="shared" si="2"/>
        <v>3093.8220000000001</v>
      </c>
      <c r="F39" s="297">
        <f t="shared" si="10"/>
        <v>3105</v>
      </c>
    </row>
    <row r="40" spans="1:6" s="115" customFormat="1" ht="18" customHeight="1" x14ac:dyDescent="0.15">
      <c r="A40" s="114" t="s">
        <v>317</v>
      </c>
      <c r="B40" s="295" t="s">
        <v>73</v>
      </c>
      <c r="C40" s="296">
        <f>1300*1.35</f>
        <v>1755.0000000000002</v>
      </c>
      <c r="D40" s="296">
        <f t="shared" si="1"/>
        <v>1649.7</v>
      </c>
      <c r="E40" s="296">
        <f t="shared" si="2"/>
        <v>1748.6820000000002</v>
      </c>
      <c r="F40" s="297">
        <f t="shared" ref="F40" si="11">C40</f>
        <v>1755.0000000000002</v>
      </c>
    </row>
    <row r="41" spans="1:6" s="115" customFormat="1" ht="18" customHeight="1" x14ac:dyDescent="0.15">
      <c r="A41" s="114" t="s">
        <v>222</v>
      </c>
      <c r="B41" s="295" t="s">
        <v>127</v>
      </c>
      <c r="C41" s="296">
        <v>40700</v>
      </c>
      <c r="D41" s="296">
        <f t="shared" si="1"/>
        <v>38258</v>
      </c>
      <c r="E41" s="296">
        <f t="shared" si="2"/>
        <v>40553.480000000003</v>
      </c>
      <c r="F41" s="297">
        <f t="shared" si="10"/>
        <v>40700</v>
      </c>
    </row>
    <row r="42" spans="1:6" s="115" customFormat="1" ht="18" customHeight="1" x14ac:dyDescent="0.15">
      <c r="A42" s="114" t="s">
        <v>223</v>
      </c>
      <c r="B42" s="295" t="s">
        <v>127</v>
      </c>
      <c r="C42" s="296">
        <v>32900</v>
      </c>
      <c r="D42" s="296">
        <f t="shared" si="1"/>
        <v>30926</v>
      </c>
      <c r="E42" s="296">
        <f t="shared" si="2"/>
        <v>32781.560000000005</v>
      </c>
      <c r="F42" s="297">
        <f t="shared" si="10"/>
        <v>32900</v>
      </c>
    </row>
    <row r="43" spans="1:6" s="115" customFormat="1" ht="18" customHeight="1" x14ac:dyDescent="0.15">
      <c r="A43" s="114" t="s">
        <v>318</v>
      </c>
      <c r="B43" s="295" t="s">
        <v>103</v>
      </c>
      <c r="C43" s="296">
        <v>40000</v>
      </c>
      <c r="D43" s="296">
        <f t="shared" si="1"/>
        <v>37600</v>
      </c>
      <c r="E43" s="296">
        <f t="shared" si="2"/>
        <v>39856</v>
      </c>
      <c r="F43" s="297">
        <f t="shared" ref="F43" si="12">C43</f>
        <v>40000</v>
      </c>
    </row>
    <row r="44" spans="1:6" s="115" customFormat="1" ht="18" customHeight="1" x14ac:dyDescent="0.15">
      <c r="A44" s="114" t="s">
        <v>271</v>
      </c>
      <c r="B44" s="295" t="s">
        <v>103</v>
      </c>
      <c r="C44" s="296">
        <v>103000</v>
      </c>
      <c r="D44" s="296">
        <f t="shared" si="1"/>
        <v>96820</v>
      </c>
      <c r="E44" s="296">
        <f t="shared" si="2"/>
        <v>102629.20000000001</v>
      </c>
      <c r="F44" s="297">
        <f t="shared" ref="F44:F45" si="13">C44</f>
        <v>103000</v>
      </c>
    </row>
    <row r="45" spans="1:6" s="115" customFormat="1" ht="18" customHeight="1" x14ac:dyDescent="0.15">
      <c r="A45" s="114" t="s">
        <v>679</v>
      </c>
      <c r="B45" s="295" t="s">
        <v>5</v>
      </c>
      <c r="C45" s="296">
        <v>48000</v>
      </c>
      <c r="D45" s="296">
        <f t="shared" ref="D45" si="14">C45*0.94</f>
        <v>45120</v>
      </c>
      <c r="E45" s="296">
        <f t="shared" ref="E45" si="15">+D45*1.06</f>
        <v>47827.200000000004</v>
      </c>
      <c r="F45" s="297">
        <f t="shared" si="13"/>
        <v>48000</v>
      </c>
    </row>
    <row r="46" spans="1:6" s="115" customFormat="1" ht="18" customHeight="1" x14ac:dyDescent="0.15">
      <c r="A46" s="114" t="s">
        <v>563</v>
      </c>
      <c r="B46" s="295" t="s">
        <v>5</v>
      </c>
      <c r="C46" s="296">
        <v>60000</v>
      </c>
      <c r="D46" s="296">
        <f t="shared" si="1"/>
        <v>56400</v>
      </c>
      <c r="E46" s="296">
        <f t="shared" si="2"/>
        <v>59784</v>
      </c>
      <c r="F46" s="297">
        <f t="shared" ref="F46" si="16">C46</f>
        <v>60000</v>
      </c>
    </row>
    <row r="47" spans="1:6" s="115" customFormat="1" ht="18" customHeight="1" x14ac:dyDescent="0.15">
      <c r="A47" s="114" t="s">
        <v>684</v>
      </c>
      <c r="B47" s="295" t="s">
        <v>193</v>
      </c>
      <c r="C47" s="296">
        <v>17500</v>
      </c>
      <c r="D47" s="296">
        <f t="shared" ref="D47:D48" si="17">C47*0.94</f>
        <v>16450</v>
      </c>
      <c r="E47" s="296">
        <f t="shared" ref="E47:E48" si="18">+D47*1.06</f>
        <v>17437</v>
      </c>
      <c r="F47" s="297">
        <f t="shared" ref="F47:F48" si="19">C47</f>
        <v>17500</v>
      </c>
    </row>
    <row r="48" spans="1:6" s="115" customFormat="1" ht="18" customHeight="1" x14ac:dyDescent="0.15">
      <c r="A48" s="114" t="s">
        <v>788</v>
      </c>
      <c r="B48" s="295" t="s">
        <v>5</v>
      </c>
      <c r="C48" s="296">
        <v>35000</v>
      </c>
      <c r="D48" s="296">
        <f t="shared" si="17"/>
        <v>32900</v>
      </c>
      <c r="E48" s="296">
        <f t="shared" si="18"/>
        <v>34874</v>
      </c>
      <c r="F48" s="297">
        <f t="shared" si="19"/>
        <v>35000</v>
      </c>
    </row>
    <row r="49" spans="1:6" s="115" customFormat="1" ht="18" customHeight="1" x14ac:dyDescent="0.15">
      <c r="A49" s="114" t="s">
        <v>789</v>
      </c>
      <c r="B49" s="295" t="s">
        <v>5</v>
      </c>
      <c r="C49" s="296">
        <v>35000</v>
      </c>
      <c r="D49" s="296">
        <f t="shared" ref="D49" si="20">C49*0.94</f>
        <v>32900</v>
      </c>
      <c r="E49" s="296">
        <f t="shared" ref="E49" si="21">+D49*1.06</f>
        <v>34874</v>
      </c>
      <c r="F49" s="297">
        <f t="shared" ref="F49" si="22">C49</f>
        <v>35000</v>
      </c>
    </row>
    <row r="50" spans="1:6" s="115" customFormat="1" ht="18" customHeight="1" x14ac:dyDescent="0.15">
      <c r="A50" s="114" t="s">
        <v>319</v>
      </c>
      <c r="B50" s="295" t="s">
        <v>127</v>
      </c>
      <c r="C50" s="296">
        <v>4500</v>
      </c>
      <c r="D50" s="296">
        <f t="shared" si="1"/>
        <v>4230</v>
      </c>
      <c r="E50" s="296">
        <f t="shared" si="2"/>
        <v>4483.8</v>
      </c>
      <c r="F50" s="297">
        <f t="shared" ref="F50" si="23">C50</f>
        <v>4500</v>
      </c>
    </row>
    <row r="51" spans="1:6" s="115" customFormat="1" ht="18" customHeight="1" x14ac:dyDescent="0.15">
      <c r="A51" s="114" t="s">
        <v>561</v>
      </c>
      <c r="B51" s="295" t="s">
        <v>127</v>
      </c>
      <c r="C51" s="296">
        <v>2800</v>
      </c>
      <c r="D51" s="296">
        <f t="shared" ref="D51" si="24">C51*0.94</f>
        <v>2632</v>
      </c>
      <c r="E51" s="296">
        <f t="shared" ref="E51" si="25">+D51*1.06</f>
        <v>2789.92</v>
      </c>
      <c r="F51" s="297">
        <f t="shared" ref="F51" si="26">C51</f>
        <v>2800</v>
      </c>
    </row>
    <row r="52" spans="1:6" s="115" customFormat="1" ht="18" customHeight="1" x14ac:dyDescent="0.15">
      <c r="A52" s="114" t="s">
        <v>320</v>
      </c>
      <c r="B52" s="295" t="s">
        <v>5</v>
      </c>
      <c r="C52" s="296">
        <v>4500</v>
      </c>
      <c r="D52" s="296">
        <f t="shared" si="1"/>
        <v>4230</v>
      </c>
      <c r="E52" s="296">
        <f t="shared" si="2"/>
        <v>4483.8</v>
      </c>
      <c r="F52" s="297">
        <f t="shared" ref="F52" si="27">C52</f>
        <v>4500</v>
      </c>
    </row>
    <row r="53" spans="1:6" s="115" customFormat="1" ht="18" customHeight="1" x14ac:dyDescent="0.15">
      <c r="A53" s="114" t="s">
        <v>321</v>
      </c>
      <c r="B53" s="295" t="s">
        <v>103</v>
      </c>
      <c r="C53" s="296">
        <v>135600</v>
      </c>
      <c r="D53" s="296">
        <f t="shared" si="1"/>
        <v>127464</v>
      </c>
      <c r="E53" s="296">
        <f t="shared" si="2"/>
        <v>135111.84</v>
      </c>
      <c r="F53" s="297">
        <f t="shared" ref="F53" si="28">C53</f>
        <v>135600</v>
      </c>
    </row>
    <row r="54" spans="1:6" s="115" customFormat="1" ht="18" customHeight="1" x14ac:dyDescent="0.15">
      <c r="A54" s="114" t="s">
        <v>326</v>
      </c>
      <c r="B54" s="295" t="s">
        <v>103</v>
      </c>
      <c r="C54" s="296">
        <v>274400</v>
      </c>
      <c r="D54" s="296">
        <f t="shared" si="1"/>
        <v>257935.99999999997</v>
      </c>
      <c r="E54" s="296">
        <f t="shared" si="2"/>
        <v>273412.15999999997</v>
      </c>
      <c r="F54" s="297">
        <f t="shared" ref="F54" si="29">C54</f>
        <v>274400</v>
      </c>
    </row>
    <row r="55" spans="1:6" s="115" customFormat="1" ht="18" customHeight="1" x14ac:dyDescent="0.15">
      <c r="A55" s="114" t="s">
        <v>427</v>
      </c>
      <c r="B55" s="295" t="s">
        <v>73</v>
      </c>
      <c r="C55" s="296">
        <v>78000</v>
      </c>
      <c r="D55" s="296">
        <f t="shared" ref="D55" si="30">C55*0.94</f>
        <v>73320</v>
      </c>
      <c r="E55" s="296">
        <f t="shared" ref="E55" si="31">+D55*1.06</f>
        <v>77719.199999999997</v>
      </c>
      <c r="F55" s="297">
        <f t="shared" ref="F55" si="32">C55</f>
        <v>78000</v>
      </c>
    </row>
    <row r="56" spans="1:6" s="115" customFormat="1" ht="18" customHeight="1" x14ac:dyDescent="0.15">
      <c r="A56" s="114" t="s">
        <v>428</v>
      </c>
      <c r="B56" s="295" t="s">
        <v>73</v>
      </c>
      <c r="C56" s="296">
        <f>(57000*1.35)*1</f>
        <v>76950</v>
      </c>
      <c r="D56" s="296">
        <f t="shared" ref="D56" si="33">C56*0.94</f>
        <v>72333</v>
      </c>
      <c r="E56" s="296">
        <f t="shared" ref="E56" si="34">+D56*1.06</f>
        <v>76672.98000000001</v>
      </c>
      <c r="F56" s="297">
        <f t="shared" ref="F56" si="35">C56</f>
        <v>76950</v>
      </c>
    </row>
    <row r="57" spans="1:6" s="115" customFormat="1" ht="18" customHeight="1" x14ac:dyDescent="0.15">
      <c r="A57" s="114" t="s">
        <v>432</v>
      </c>
      <c r="B57" s="295" t="s">
        <v>5</v>
      </c>
      <c r="C57" s="296">
        <v>91000</v>
      </c>
      <c r="D57" s="296">
        <f t="shared" ref="D57" si="36">C57*0.94</f>
        <v>85540</v>
      </c>
      <c r="E57" s="296">
        <f t="shared" ref="E57" si="37">+D57*1.06</f>
        <v>90672.400000000009</v>
      </c>
      <c r="F57" s="297">
        <f t="shared" ref="F57" si="38">C57</f>
        <v>91000</v>
      </c>
    </row>
    <row r="58" spans="1:6" s="115" customFormat="1" ht="18" customHeight="1" x14ac:dyDescent="0.15">
      <c r="A58" s="114" t="s">
        <v>431</v>
      </c>
      <c r="B58" s="295" t="s">
        <v>5</v>
      </c>
      <c r="C58" s="296">
        <f>292200*1.15</f>
        <v>336030</v>
      </c>
      <c r="D58" s="296">
        <f t="shared" ref="D58" si="39">C58*0.94</f>
        <v>315868.19999999995</v>
      </c>
      <c r="E58" s="296">
        <f t="shared" ref="E58" si="40">+D58*1.06</f>
        <v>334820.29199999996</v>
      </c>
      <c r="F58" s="297">
        <f t="shared" ref="F58" si="41">C58</f>
        <v>336030</v>
      </c>
    </row>
    <row r="59" spans="1:6" s="115" customFormat="1" ht="18" customHeight="1" x14ac:dyDescent="0.15">
      <c r="A59" s="114" t="s">
        <v>429</v>
      </c>
      <c r="B59" s="295" t="s">
        <v>103</v>
      </c>
      <c r="C59" s="296">
        <f>68000*1.35</f>
        <v>91800</v>
      </c>
      <c r="D59" s="296">
        <f t="shared" ref="D59" si="42">C59*0.94</f>
        <v>86292</v>
      </c>
      <c r="E59" s="296">
        <f t="shared" ref="E59" si="43">+D59*1.06</f>
        <v>91469.52</v>
      </c>
      <c r="F59" s="297">
        <f t="shared" ref="F59" si="44">C59</f>
        <v>91800</v>
      </c>
    </row>
    <row r="60" spans="1:6" s="115" customFormat="1" ht="18" customHeight="1" x14ac:dyDescent="0.15">
      <c r="A60" s="114" t="s">
        <v>327</v>
      </c>
      <c r="B60" s="295" t="s">
        <v>73</v>
      </c>
      <c r="C60" s="296">
        <v>25000</v>
      </c>
      <c r="D60" s="296">
        <f t="shared" ref="D60:D62" si="45">C60*0.94</f>
        <v>23500</v>
      </c>
      <c r="E60" s="296">
        <f t="shared" ref="E60:E62" si="46">+D60*1.06</f>
        <v>24910</v>
      </c>
      <c r="F60" s="297">
        <f t="shared" ref="F60:F62" si="47">C60</f>
        <v>25000</v>
      </c>
    </row>
    <row r="61" spans="1:6" s="115" customFormat="1" ht="18" customHeight="1" x14ac:dyDescent="0.15">
      <c r="A61" s="114" t="s">
        <v>328</v>
      </c>
      <c r="B61" s="295" t="s">
        <v>193</v>
      </c>
      <c r="C61" s="296">
        <v>13500</v>
      </c>
      <c r="D61" s="296">
        <f t="shared" si="45"/>
        <v>12690</v>
      </c>
      <c r="E61" s="296">
        <f t="shared" si="46"/>
        <v>13451.400000000001</v>
      </c>
      <c r="F61" s="297">
        <f t="shared" si="47"/>
        <v>13500</v>
      </c>
    </row>
    <row r="62" spans="1:6" s="115" customFormat="1" ht="18" customHeight="1" x14ac:dyDescent="0.15">
      <c r="A62" s="114" t="s">
        <v>430</v>
      </c>
      <c r="B62" s="295" t="s">
        <v>73</v>
      </c>
      <c r="C62" s="296">
        <v>3500</v>
      </c>
      <c r="D62" s="296">
        <f t="shared" si="45"/>
        <v>3290</v>
      </c>
      <c r="E62" s="296">
        <f t="shared" si="46"/>
        <v>3487.4</v>
      </c>
      <c r="F62" s="297">
        <f t="shared" si="47"/>
        <v>3500</v>
      </c>
    </row>
    <row r="63" spans="1:6" s="115" customFormat="1" ht="18" customHeight="1" x14ac:dyDescent="0.15">
      <c r="A63" s="114" t="s">
        <v>272</v>
      </c>
      <c r="B63" s="295" t="s">
        <v>193</v>
      </c>
      <c r="C63" s="296">
        <v>4176</v>
      </c>
      <c r="D63" s="296">
        <f t="shared" ref="D63:D65" si="48">C63*0.94</f>
        <v>3925.4399999999996</v>
      </c>
      <c r="E63" s="296">
        <f t="shared" ref="E63:E65" si="49">+D63*1.06</f>
        <v>4160.9663999999993</v>
      </c>
      <c r="F63" s="297">
        <f t="shared" ref="F63:F65" si="50">C63</f>
        <v>4176</v>
      </c>
    </row>
    <row r="64" spans="1:6" s="115" customFormat="1" ht="18" customHeight="1" x14ac:dyDescent="0.15">
      <c r="A64" s="114" t="s">
        <v>273</v>
      </c>
      <c r="B64" s="295" t="s">
        <v>73</v>
      </c>
      <c r="C64" s="296">
        <v>1330</v>
      </c>
      <c r="D64" s="296">
        <f t="shared" si="48"/>
        <v>1250.1999999999998</v>
      </c>
      <c r="E64" s="296">
        <f t="shared" si="49"/>
        <v>1325.2119999999998</v>
      </c>
      <c r="F64" s="297">
        <f t="shared" si="50"/>
        <v>1330</v>
      </c>
    </row>
    <row r="65" spans="1:6" s="115" customFormat="1" ht="18" customHeight="1" x14ac:dyDescent="0.15">
      <c r="A65" s="114" t="s">
        <v>274</v>
      </c>
      <c r="B65" s="295" t="s">
        <v>73</v>
      </c>
      <c r="C65" s="296">
        <v>2520</v>
      </c>
      <c r="D65" s="296">
        <f t="shared" si="48"/>
        <v>2368.7999999999997</v>
      </c>
      <c r="E65" s="296">
        <f t="shared" si="49"/>
        <v>2510.9279999999999</v>
      </c>
      <c r="F65" s="297">
        <f t="shared" si="50"/>
        <v>2520</v>
      </c>
    </row>
    <row r="66" spans="1:6" s="115" customFormat="1" ht="18" customHeight="1" x14ac:dyDescent="0.15">
      <c r="A66" s="114" t="s">
        <v>164</v>
      </c>
      <c r="B66" s="295" t="s">
        <v>73</v>
      </c>
      <c r="C66" s="296">
        <v>3700</v>
      </c>
      <c r="D66" s="296">
        <f>C66*0.94</f>
        <v>3478</v>
      </c>
      <c r="E66" s="296">
        <f>+D66*1.06</f>
        <v>3686.6800000000003</v>
      </c>
      <c r="F66" s="297">
        <f>C66</f>
        <v>3700</v>
      </c>
    </row>
    <row r="67" spans="1:6" s="115" customFormat="1" ht="18" customHeight="1" x14ac:dyDescent="0.15">
      <c r="A67" s="114" t="s">
        <v>275</v>
      </c>
      <c r="B67" s="295" t="s">
        <v>73</v>
      </c>
      <c r="C67" s="296">
        <v>16300</v>
      </c>
      <c r="D67" s="296">
        <f t="shared" ref="D67" si="51">C67*0.94</f>
        <v>15322</v>
      </c>
      <c r="E67" s="296">
        <f t="shared" ref="E67" si="52">+D67*1.06</f>
        <v>16241.320000000002</v>
      </c>
      <c r="F67" s="297">
        <f t="shared" ref="F67" si="53">C67</f>
        <v>16300</v>
      </c>
    </row>
    <row r="68" spans="1:6" s="115" customFormat="1" ht="18" customHeight="1" x14ac:dyDescent="0.15">
      <c r="A68" s="114" t="s">
        <v>279</v>
      </c>
      <c r="B68" s="295" t="s">
        <v>193</v>
      </c>
      <c r="C68" s="296">
        <v>13200</v>
      </c>
      <c r="D68" s="296">
        <f t="shared" ref="D68:D70" si="54">C68*0.94</f>
        <v>12408</v>
      </c>
      <c r="E68" s="296">
        <f t="shared" ref="E68:E70" si="55">+D68*1.06</f>
        <v>13152.480000000001</v>
      </c>
      <c r="F68" s="297">
        <f t="shared" ref="F68:F70" si="56">C68</f>
        <v>13200</v>
      </c>
    </row>
    <row r="69" spans="1:6" s="115" customFormat="1" ht="18" customHeight="1" x14ac:dyDescent="0.15">
      <c r="A69" s="114" t="s">
        <v>280</v>
      </c>
      <c r="B69" s="295" t="s">
        <v>73</v>
      </c>
      <c r="C69" s="296">
        <v>5460</v>
      </c>
      <c r="D69" s="296">
        <f t="shared" si="54"/>
        <v>5132.3999999999996</v>
      </c>
      <c r="E69" s="296">
        <f t="shared" si="55"/>
        <v>5440.3440000000001</v>
      </c>
      <c r="F69" s="297">
        <f t="shared" si="56"/>
        <v>5460</v>
      </c>
    </row>
    <row r="70" spans="1:6" s="115" customFormat="1" ht="18" customHeight="1" x14ac:dyDescent="0.15">
      <c r="A70" s="114" t="s">
        <v>281</v>
      </c>
      <c r="B70" s="295" t="s">
        <v>73</v>
      </c>
      <c r="C70" s="296">
        <v>5250</v>
      </c>
      <c r="D70" s="296">
        <f t="shared" si="54"/>
        <v>4935</v>
      </c>
      <c r="E70" s="296">
        <f t="shared" si="55"/>
        <v>5231.1000000000004</v>
      </c>
      <c r="F70" s="297">
        <f t="shared" si="56"/>
        <v>5250</v>
      </c>
    </row>
    <row r="71" spans="1:6" s="115" customFormat="1" ht="18" customHeight="1" x14ac:dyDescent="0.15">
      <c r="A71" s="114" t="s">
        <v>276</v>
      </c>
      <c r="B71" s="295" t="s">
        <v>193</v>
      </c>
      <c r="C71" s="296">
        <v>5350</v>
      </c>
      <c r="D71" s="296">
        <f t="shared" ref="D71:D73" si="57">C71*0.94</f>
        <v>5029</v>
      </c>
      <c r="E71" s="296">
        <f t="shared" ref="E71:E73" si="58">+D71*1.06</f>
        <v>5330.7400000000007</v>
      </c>
      <c r="F71" s="297">
        <f t="shared" ref="F71:F73" si="59">C71</f>
        <v>5350</v>
      </c>
    </row>
    <row r="72" spans="1:6" s="115" customFormat="1" ht="18" customHeight="1" x14ac:dyDescent="0.15">
      <c r="A72" s="114" t="s">
        <v>277</v>
      </c>
      <c r="B72" s="295" t="s">
        <v>73</v>
      </c>
      <c r="C72" s="296">
        <f>1330*1.5</f>
        <v>1995</v>
      </c>
      <c r="D72" s="296">
        <f t="shared" si="57"/>
        <v>1875.3</v>
      </c>
      <c r="E72" s="296">
        <f t="shared" si="58"/>
        <v>1987.818</v>
      </c>
      <c r="F72" s="297">
        <f t="shared" si="59"/>
        <v>1995</v>
      </c>
    </row>
    <row r="73" spans="1:6" s="115" customFormat="1" ht="18" customHeight="1" x14ac:dyDescent="0.15">
      <c r="A73" s="114" t="s">
        <v>278</v>
      </c>
      <c r="B73" s="295" t="s">
        <v>73</v>
      </c>
      <c r="C73" s="296">
        <f>2520*1.5</f>
        <v>3780</v>
      </c>
      <c r="D73" s="296">
        <f t="shared" si="57"/>
        <v>3553.2</v>
      </c>
      <c r="E73" s="296">
        <f t="shared" si="58"/>
        <v>3766.3919999999998</v>
      </c>
      <c r="F73" s="297">
        <f t="shared" si="59"/>
        <v>3780</v>
      </c>
    </row>
    <row r="74" spans="1:6" s="115" customFormat="1" ht="18" customHeight="1" x14ac:dyDescent="0.15">
      <c r="A74" s="114" t="s">
        <v>284</v>
      </c>
      <c r="B74" s="295" t="s">
        <v>193</v>
      </c>
      <c r="C74" s="296">
        <v>7210</v>
      </c>
      <c r="D74" s="296">
        <f t="shared" ref="D74:D76" si="60">C74*0.94</f>
        <v>6777.4</v>
      </c>
      <c r="E74" s="296">
        <f t="shared" ref="E74:E76" si="61">+D74*1.06</f>
        <v>7184.0439999999999</v>
      </c>
      <c r="F74" s="297">
        <f t="shared" ref="F74:F76" si="62">C74</f>
        <v>7210</v>
      </c>
    </row>
    <row r="75" spans="1:6" s="115" customFormat="1" ht="18" customHeight="1" x14ac:dyDescent="0.15">
      <c r="A75" s="114" t="s">
        <v>329</v>
      </c>
      <c r="B75" s="295" t="s">
        <v>73</v>
      </c>
      <c r="C75" s="296">
        <v>2700</v>
      </c>
      <c r="D75" s="296">
        <f t="shared" si="60"/>
        <v>2538</v>
      </c>
      <c r="E75" s="296">
        <f t="shared" si="61"/>
        <v>2690.28</v>
      </c>
      <c r="F75" s="297">
        <f t="shared" si="62"/>
        <v>2700</v>
      </c>
    </row>
    <row r="76" spans="1:6" s="115" customFormat="1" ht="18" customHeight="1" x14ac:dyDescent="0.15">
      <c r="A76" s="114" t="s">
        <v>330</v>
      </c>
      <c r="B76" s="295" t="s">
        <v>73</v>
      </c>
      <c r="C76" s="296">
        <v>5400</v>
      </c>
      <c r="D76" s="296">
        <f t="shared" si="60"/>
        <v>5076</v>
      </c>
      <c r="E76" s="296">
        <f t="shared" si="61"/>
        <v>5380.56</v>
      </c>
      <c r="F76" s="297">
        <f t="shared" si="62"/>
        <v>5400</v>
      </c>
    </row>
    <row r="77" spans="1:6" s="115" customFormat="1" ht="18" customHeight="1" x14ac:dyDescent="0.15">
      <c r="A77" s="114" t="s">
        <v>686</v>
      </c>
      <c r="B77" s="295" t="s">
        <v>193</v>
      </c>
      <c r="C77" s="296">
        <v>650000</v>
      </c>
      <c r="D77" s="296">
        <f t="shared" ref="D77:D81" si="63">C77*0.94</f>
        <v>611000</v>
      </c>
      <c r="E77" s="296">
        <f t="shared" ref="E77:E81" si="64">+D77*1.06</f>
        <v>647660</v>
      </c>
      <c r="F77" s="297">
        <f t="shared" ref="F77:F81" si="65">C77</f>
        <v>650000</v>
      </c>
    </row>
    <row r="78" spans="1:6" s="115" customFormat="1" ht="18" customHeight="1" x14ac:dyDescent="0.15">
      <c r="A78" s="114" t="s">
        <v>282</v>
      </c>
      <c r="B78" s="295" t="s">
        <v>193</v>
      </c>
      <c r="C78" s="296">
        <v>420000</v>
      </c>
      <c r="D78" s="296">
        <f t="shared" ref="D78" si="66">C78*0.94</f>
        <v>394800</v>
      </c>
      <c r="E78" s="296">
        <f t="shared" ref="E78" si="67">+D78*1.06</f>
        <v>418488</v>
      </c>
      <c r="F78" s="297">
        <f t="shared" ref="F78" si="68">C78</f>
        <v>420000</v>
      </c>
    </row>
    <row r="79" spans="1:6" s="115" customFormat="1" ht="18" customHeight="1" x14ac:dyDescent="0.15">
      <c r="A79" s="114" t="s">
        <v>283</v>
      </c>
      <c r="B79" s="295" t="s">
        <v>73</v>
      </c>
      <c r="C79" s="296">
        <f>78900*1.35</f>
        <v>106515</v>
      </c>
      <c r="D79" s="296">
        <f t="shared" si="63"/>
        <v>100124.09999999999</v>
      </c>
      <c r="E79" s="296">
        <f t="shared" si="64"/>
        <v>106131.546</v>
      </c>
      <c r="F79" s="297">
        <f t="shared" si="65"/>
        <v>106515</v>
      </c>
    </row>
    <row r="80" spans="1:6" s="115" customFormat="1" ht="18" customHeight="1" x14ac:dyDescent="0.15">
      <c r="A80" s="114" t="s">
        <v>285</v>
      </c>
      <c r="B80" s="295" t="s">
        <v>73</v>
      </c>
      <c r="C80" s="296">
        <v>13800</v>
      </c>
      <c r="D80" s="296">
        <f t="shared" si="63"/>
        <v>12972</v>
      </c>
      <c r="E80" s="296">
        <f t="shared" si="64"/>
        <v>13750.320000000002</v>
      </c>
      <c r="F80" s="297">
        <f t="shared" si="65"/>
        <v>13800</v>
      </c>
    </row>
    <row r="81" spans="1:6" s="115" customFormat="1" ht="18" customHeight="1" x14ac:dyDescent="0.15">
      <c r="A81" s="114" t="s">
        <v>286</v>
      </c>
      <c r="B81" s="295" t="s">
        <v>73</v>
      </c>
      <c r="C81" s="296">
        <v>19600</v>
      </c>
      <c r="D81" s="296">
        <f t="shared" si="63"/>
        <v>18424</v>
      </c>
      <c r="E81" s="296">
        <f t="shared" si="64"/>
        <v>19529.440000000002</v>
      </c>
      <c r="F81" s="297">
        <f t="shared" si="65"/>
        <v>19600</v>
      </c>
    </row>
    <row r="82" spans="1:6" s="115" customFormat="1" ht="47.25" customHeight="1" x14ac:dyDescent="0.15">
      <c r="A82" s="298" t="s">
        <v>287</v>
      </c>
      <c r="B82" s="295" t="s">
        <v>73</v>
      </c>
      <c r="C82" s="296">
        <f>94400*1.5</f>
        <v>141600</v>
      </c>
      <c r="D82" s="296">
        <f t="shared" ref="D82:D83" si="69">C82*0.94</f>
        <v>133104</v>
      </c>
      <c r="E82" s="296">
        <f t="shared" ref="E82:E83" si="70">+D82*1.06</f>
        <v>141090.24000000002</v>
      </c>
      <c r="F82" s="297">
        <f t="shared" ref="F82:F83" si="71">C82</f>
        <v>141600</v>
      </c>
    </row>
    <row r="83" spans="1:6" s="115" customFormat="1" ht="18" customHeight="1" x14ac:dyDescent="0.15">
      <c r="A83" s="114" t="s">
        <v>288</v>
      </c>
      <c r="B83" s="295" t="s">
        <v>73</v>
      </c>
      <c r="C83" s="296">
        <f>56300*1.5</f>
        <v>84450</v>
      </c>
      <c r="D83" s="296">
        <f t="shared" si="69"/>
        <v>79383</v>
      </c>
      <c r="E83" s="296">
        <f t="shared" si="70"/>
        <v>84145.98000000001</v>
      </c>
      <c r="F83" s="297">
        <f t="shared" si="71"/>
        <v>84450</v>
      </c>
    </row>
    <row r="84" spans="1:6" s="115" customFormat="1" ht="18" customHeight="1" x14ac:dyDescent="0.15">
      <c r="A84" s="114" t="s">
        <v>687</v>
      </c>
      <c r="B84" s="295" t="s">
        <v>73</v>
      </c>
      <c r="C84" s="296">
        <f>450000*1.5</f>
        <v>675000</v>
      </c>
      <c r="D84" s="296">
        <f t="shared" ref="D84" si="72">C84*0.94</f>
        <v>634500</v>
      </c>
      <c r="E84" s="296">
        <f t="shared" ref="E84" si="73">+D84*1.06</f>
        <v>672570</v>
      </c>
      <c r="F84" s="297">
        <f t="shared" ref="F84" si="74">C84</f>
        <v>675000</v>
      </c>
    </row>
    <row r="85" spans="1:6" s="115" customFormat="1" ht="18" customHeight="1" x14ac:dyDescent="0.15">
      <c r="A85" s="114" t="s">
        <v>289</v>
      </c>
      <c r="B85" s="295" t="s">
        <v>193</v>
      </c>
      <c r="C85" s="296">
        <v>11650</v>
      </c>
      <c r="D85" s="296">
        <f t="shared" ref="D85:D89" si="75">C85*0.94</f>
        <v>10951</v>
      </c>
      <c r="E85" s="296">
        <f t="shared" ref="E85:E89" si="76">+D85*1.06</f>
        <v>11608.060000000001</v>
      </c>
      <c r="F85" s="297">
        <f t="shared" ref="F85:F89" si="77">C85</f>
        <v>11650</v>
      </c>
    </row>
    <row r="86" spans="1:6" s="115" customFormat="1" ht="18" customHeight="1" x14ac:dyDescent="0.15">
      <c r="A86" s="114" t="s">
        <v>290</v>
      </c>
      <c r="B86" s="295" t="s">
        <v>73</v>
      </c>
      <c r="C86" s="296">
        <v>4050</v>
      </c>
      <c r="D86" s="296">
        <f t="shared" si="75"/>
        <v>3807</v>
      </c>
      <c r="E86" s="296">
        <f t="shared" si="76"/>
        <v>4035.42</v>
      </c>
      <c r="F86" s="297">
        <f t="shared" si="77"/>
        <v>4050</v>
      </c>
    </row>
    <row r="87" spans="1:6" s="115" customFormat="1" ht="18" customHeight="1" x14ac:dyDescent="0.15">
      <c r="A87" s="114" t="s">
        <v>291</v>
      </c>
      <c r="B87" s="295" t="s">
        <v>73</v>
      </c>
      <c r="C87" s="296">
        <v>3990</v>
      </c>
      <c r="D87" s="296">
        <f t="shared" si="75"/>
        <v>3750.6</v>
      </c>
      <c r="E87" s="296">
        <f t="shared" si="76"/>
        <v>3975.636</v>
      </c>
      <c r="F87" s="297">
        <f t="shared" si="77"/>
        <v>3990</v>
      </c>
    </row>
    <row r="88" spans="1:6" s="115" customFormat="1" ht="18" customHeight="1" x14ac:dyDescent="0.15">
      <c r="A88" s="114" t="s">
        <v>292</v>
      </c>
      <c r="B88" s="295" t="s">
        <v>73</v>
      </c>
      <c r="C88" s="296">
        <v>2086</v>
      </c>
      <c r="D88" s="296">
        <f t="shared" si="75"/>
        <v>1960.84</v>
      </c>
      <c r="E88" s="296">
        <f t="shared" si="76"/>
        <v>2078.4904000000001</v>
      </c>
      <c r="F88" s="297">
        <f t="shared" si="77"/>
        <v>2086</v>
      </c>
    </row>
    <row r="89" spans="1:6" s="115" customFormat="1" ht="18" customHeight="1" x14ac:dyDescent="0.15">
      <c r="A89" s="114" t="s">
        <v>293</v>
      </c>
      <c r="B89" s="295" t="s">
        <v>73</v>
      </c>
      <c r="C89" s="296">
        <v>12460</v>
      </c>
      <c r="D89" s="296">
        <f t="shared" si="75"/>
        <v>11712.4</v>
      </c>
      <c r="E89" s="296">
        <f t="shared" si="76"/>
        <v>12415.144</v>
      </c>
      <c r="F89" s="297">
        <f t="shared" si="77"/>
        <v>12460</v>
      </c>
    </row>
    <row r="90" spans="1:6" s="115" customFormat="1" ht="18" customHeight="1" x14ac:dyDescent="0.15">
      <c r="A90" s="114" t="s">
        <v>294</v>
      </c>
      <c r="B90" s="295" t="s">
        <v>193</v>
      </c>
      <c r="C90" s="296">
        <v>17500</v>
      </c>
      <c r="D90" s="296">
        <f t="shared" ref="D90:D96" si="78">C90*0.94</f>
        <v>16450</v>
      </c>
      <c r="E90" s="296">
        <f t="shared" ref="E90:E96" si="79">+D90*1.06</f>
        <v>17437</v>
      </c>
      <c r="F90" s="297">
        <f t="shared" ref="F90:F96" si="80">C90</f>
        <v>17500</v>
      </c>
    </row>
    <row r="91" spans="1:6" s="115" customFormat="1" ht="18" customHeight="1" x14ac:dyDescent="0.15">
      <c r="A91" s="114" t="s">
        <v>295</v>
      </c>
      <c r="B91" s="295" t="s">
        <v>73</v>
      </c>
      <c r="C91" s="296">
        <v>8120</v>
      </c>
      <c r="D91" s="296">
        <f t="shared" si="78"/>
        <v>7632.7999999999993</v>
      </c>
      <c r="E91" s="296">
        <f t="shared" si="79"/>
        <v>8090.768</v>
      </c>
      <c r="F91" s="297">
        <f t="shared" si="80"/>
        <v>8120</v>
      </c>
    </row>
    <row r="92" spans="1:6" s="115" customFormat="1" ht="18" customHeight="1" x14ac:dyDescent="0.15">
      <c r="A92" s="114" t="s">
        <v>296</v>
      </c>
      <c r="B92" s="295" t="s">
        <v>73</v>
      </c>
      <c r="C92" s="296">
        <v>13860</v>
      </c>
      <c r="D92" s="296">
        <f t="shared" si="78"/>
        <v>13028.4</v>
      </c>
      <c r="E92" s="296">
        <f t="shared" si="79"/>
        <v>13810.104000000001</v>
      </c>
      <c r="F92" s="297">
        <f t="shared" si="80"/>
        <v>13860</v>
      </c>
    </row>
    <row r="93" spans="1:6" s="115" customFormat="1" ht="18" customHeight="1" x14ac:dyDescent="0.15">
      <c r="A93" s="114" t="s">
        <v>297</v>
      </c>
      <c r="B93" s="295" t="s">
        <v>73</v>
      </c>
      <c r="C93" s="296">
        <v>12880</v>
      </c>
      <c r="D93" s="296">
        <f t="shared" si="78"/>
        <v>12107.199999999999</v>
      </c>
      <c r="E93" s="296">
        <f t="shared" si="79"/>
        <v>12833.632</v>
      </c>
      <c r="F93" s="297">
        <f t="shared" si="80"/>
        <v>12880</v>
      </c>
    </row>
    <row r="94" spans="1:6" s="115" customFormat="1" ht="18" customHeight="1" x14ac:dyDescent="0.15">
      <c r="A94" s="114" t="s">
        <v>298</v>
      </c>
      <c r="B94" s="295" t="s">
        <v>73</v>
      </c>
      <c r="C94" s="296">
        <v>2660</v>
      </c>
      <c r="D94" s="296">
        <f t="shared" si="78"/>
        <v>2500.3999999999996</v>
      </c>
      <c r="E94" s="296">
        <f t="shared" si="79"/>
        <v>2650.4239999999995</v>
      </c>
      <c r="F94" s="297">
        <f t="shared" si="80"/>
        <v>2660</v>
      </c>
    </row>
    <row r="95" spans="1:6" s="115" customFormat="1" ht="18" customHeight="1" x14ac:dyDescent="0.15">
      <c r="A95" s="114" t="s">
        <v>299</v>
      </c>
      <c r="B95" s="295" t="s">
        <v>73</v>
      </c>
      <c r="C95" s="296">
        <v>19460</v>
      </c>
      <c r="D95" s="296">
        <f t="shared" si="78"/>
        <v>18292.399999999998</v>
      </c>
      <c r="E95" s="296">
        <f t="shared" si="79"/>
        <v>19389.944</v>
      </c>
      <c r="F95" s="297">
        <f t="shared" si="80"/>
        <v>19460</v>
      </c>
    </row>
    <row r="96" spans="1:6" s="115" customFormat="1" ht="18" customHeight="1" x14ac:dyDescent="0.15">
      <c r="A96" s="114" t="s">
        <v>300</v>
      </c>
      <c r="B96" s="295" t="s">
        <v>73</v>
      </c>
      <c r="C96" s="296">
        <v>22260</v>
      </c>
      <c r="D96" s="296">
        <f t="shared" si="78"/>
        <v>20924.399999999998</v>
      </c>
      <c r="E96" s="296">
        <f t="shared" si="79"/>
        <v>22179.863999999998</v>
      </c>
      <c r="F96" s="297">
        <f t="shared" si="80"/>
        <v>22260</v>
      </c>
    </row>
    <row r="97" spans="1:6" s="115" customFormat="1" ht="18" customHeight="1" x14ac:dyDescent="0.15">
      <c r="A97" s="114" t="s">
        <v>78</v>
      </c>
      <c r="B97" s="295" t="s">
        <v>193</v>
      </c>
      <c r="C97" s="296">
        <v>27510</v>
      </c>
      <c r="D97" s="296">
        <f t="shared" ref="D97:D101" si="81">C97*0.94</f>
        <v>25859.399999999998</v>
      </c>
      <c r="E97" s="296">
        <f t="shared" ref="E97:E101" si="82">+D97*1.06</f>
        <v>27410.964</v>
      </c>
      <c r="F97" s="297">
        <f t="shared" ref="F97:F101" si="83">C97</f>
        <v>27510</v>
      </c>
    </row>
    <row r="98" spans="1:6" s="115" customFormat="1" ht="18" customHeight="1" x14ac:dyDescent="0.15">
      <c r="A98" s="114" t="s">
        <v>173</v>
      </c>
      <c r="B98" s="295" t="s">
        <v>73</v>
      </c>
      <c r="C98" s="296">
        <v>14280</v>
      </c>
      <c r="D98" s="296">
        <f t="shared" si="81"/>
        <v>13423.199999999999</v>
      </c>
      <c r="E98" s="296">
        <f t="shared" si="82"/>
        <v>14228.591999999999</v>
      </c>
      <c r="F98" s="297">
        <f t="shared" si="83"/>
        <v>14280</v>
      </c>
    </row>
    <row r="99" spans="1:6" s="115" customFormat="1" ht="18" customHeight="1" x14ac:dyDescent="0.15">
      <c r="A99" s="114" t="s">
        <v>174</v>
      </c>
      <c r="B99" s="295" t="s">
        <v>73</v>
      </c>
      <c r="C99" s="296">
        <v>22260</v>
      </c>
      <c r="D99" s="296">
        <f t="shared" si="81"/>
        <v>20924.399999999998</v>
      </c>
      <c r="E99" s="296">
        <f t="shared" si="82"/>
        <v>22179.863999999998</v>
      </c>
      <c r="F99" s="297">
        <f t="shared" si="83"/>
        <v>22260</v>
      </c>
    </row>
    <row r="100" spans="1:6" s="115" customFormat="1" ht="18" customHeight="1" x14ac:dyDescent="0.15">
      <c r="A100" s="114" t="s">
        <v>175</v>
      </c>
      <c r="B100" s="295" t="s">
        <v>73</v>
      </c>
      <c r="C100" s="296">
        <v>39060</v>
      </c>
      <c r="D100" s="296">
        <f t="shared" si="81"/>
        <v>36716.400000000001</v>
      </c>
      <c r="E100" s="296">
        <f t="shared" si="82"/>
        <v>38919.384000000005</v>
      </c>
      <c r="F100" s="297">
        <f t="shared" si="83"/>
        <v>39060</v>
      </c>
    </row>
    <row r="101" spans="1:6" s="115" customFormat="1" ht="18" customHeight="1" x14ac:dyDescent="0.15">
      <c r="A101" s="114" t="s">
        <v>301</v>
      </c>
      <c r="B101" s="295" t="s">
        <v>73</v>
      </c>
      <c r="C101" s="296">
        <v>4480</v>
      </c>
      <c r="D101" s="296">
        <f t="shared" si="81"/>
        <v>4211.2</v>
      </c>
      <c r="E101" s="296">
        <f t="shared" si="82"/>
        <v>4463.8720000000003</v>
      </c>
      <c r="F101" s="297">
        <f t="shared" si="83"/>
        <v>4480</v>
      </c>
    </row>
    <row r="102" spans="1:6" s="115" customFormat="1" ht="18" customHeight="1" x14ac:dyDescent="0.15">
      <c r="A102" s="114" t="s">
        <v>252</v>
      </c>
      <c r="B102" s="295" t="s">
        <v>73</v>
      </c>
      <c r="C102" s="296">
        <v>135000</v>
      </c>
      <c r="D102" s="296">
        <f t="shared" ref="D102:D105" si="84">C102*0.94</f>
        <v>126900</v>
      </c>
      <c r="E102" s="296">
        <f t="shared" ref="E102:E105" si="85">+D102*1.06</f>
        <v>134514</v>
      </c>
      <c r="F102" s="297">
        <f t="shared" ref="F102:F105" si="86">C102</f>
        <v>135000</v>
      </c>
    </row>
    <row r="103" spans="1:6" s="115" customFormat="1" ht="18" customHeight="1" x14ac:dyDescent="0.15">
      <c r="A103" s="114" t="s">
        <v>254</v>
      </c>
      <c r="B103" s="295" t="s">
        <v>73</v>
      </c>
      <c r="C103" s="296">
        <v>406000</v>
      </c>
      <c r="D103" s="296">
        <f t="shared" si="84"/>
        <v>381640</v>
      </c>
      <c r="E103" s="296">
        <f t="shared" si="85"/>
        <v>404538.4</v>
      </c>
      <c r="F103" s="297">
        <f t="shared" si="86"/>
        <v>406000</v>
      </c>
    </row>
    <row r="104" spans="1:6" s="115" customFormat="1" ht="18" customHeight="1" x14ac:dyDescent="0.15">
      <c r="A104" s="114" t="s">
        <v>168</v>
      </c>
      <c r="B104" s="295" t="s">
        <v>73</v>
      </c>
      <c r="C104" s="296">
        <v>320000</v>
      </c>
      <c r="D104" s="296">
        <f t="shared" si="84"/>
        <v>300800</v>
      </c>
      <c r="E104" s="296">
        <f t="shared" si="85"/>
        <v>318848</v>
      </c>
      <c r="F104" s="297">
        <f t="shared" si="86"/>
        <v>320000</v>
      </c>
    </row>
    <row r="105" spans="1:6" s="115" customFormat="1" ht="18" customHeight="1" x14ac:dyDescent="0.15">
      <c r="A105" s="114" t="s">
        <v>253</v>
      </c>
      <c r="B105" s="295" t="s">
        <v>73</v>
      </c>
      <c r="C105" s="296">
        <v>99260</v>
      </c>
      <c r="D105" s="296">
        <f t="shared" si="84"/>
        <v>93304.4</v>
      </c>
      <c r="E105" s="296">
        <f t="shared" si="85"/>
        <v>98902.664000000004</v>
      </c>
      <c r="F105" s="297">
        <f t="shared" si="86"/>
        <v>99260</v>
      </c>
    </row>
    <row r="106" spans="1:6" s="115" customFormat="1" ht="18" customHeight="1" x14ac:dyDescent="0.15">
      <c r="A106" s="114" t="s">
        <v>74</v>
      </c>
      <c r="B106" s="295" t="s">
        <v>127</v>
      </c>
      <c r="C106" s="296">
        <v>24500</v>
      </c>
      <c r="D106" s="296">
        <f t="shared" ref="D106:D115" si="87">C106*0.94</f>
        <v>23030</v>
      </c>
      <c r="E106" s="296">
        <f t="shared" ref="E106:E115" si="88">+D106*1.06</f>
        <v>24411.800000000003</v>
      </c>
      <c r="F106" s="297">
        <f t="shared" ref="F106:F118" si="89">C106</f>
        <v>24500</v>
      </c>
    </row>
    <row r="107" spans="1:6" s="115" customFormat="1" ht="18" customHeight="1" x14ac:dyDescent="0.15">
      <c r="A107" s="114" t="s">
        <v>504</v>
      </c>
      <c r="B107" s="295" t="s">
        <v>103</v>
      </c>
      <c r="C107" s="296">
        <v>110500</v>
      </c>
      <c r="D107" s="296">
        <f t="shared" si="87"/>
        <v>103870</v>
      </c>
      <c r="E107" s="296">
        <f t="shared" si="88"/>
        <v>110102.20000000001</v>
      </c>
      <c r="F107" s="297">
        <f t="shared" si="89"/>
        <v>110500</v>
      </c>
    </row>
    <row r="108" spans="1:6" s="115" customFormat="1" ht="18" customHeight="1" x14ac:dyDescent="0.15">
      <c r="A108" s="114" t="s">
        <v>503</v>
      </c>
      <c r="B108" s="295" t="s">
        <v>103</v>
      </c>
      <c r="C108" s="296">
        <v>37700</v>
      </c>
      <c r="D108" s="296">
        <f t="shared" ref="D108" si="90">C108*0.94</f>
        <v>35438</v>
      </c>
      <c r="E108" s="296">
        <f t="shared" ref="E108" si="91">+D108*1.06</f>
        <v>37564.28</v>
      </c>
      <c r="F108" s="297">
        <f t="shared" ref="F108" si="92">C108</f>
        <v>37700</v>
      </c>
    </row>
    <row r="109" spans="1:6" s="115" customFormat="1" ht="18" customHeight="1" x14ac:dyDescent="0.15">
      <c r="A109" s="114" t="s">
        <v>75</v>
      </c>
      <c r="B109" s="295" t="s">
        <v>103</v>
      </c>
      <c r="C109" s="296">
        <v>82420</v>
      </c>
      <c r="D109" s="296">
        <f t="shared" si="87"/>
        <v>77474.799999999988</v>
      </c>
      <c r="E109" s="296">
        <f t="shared" si="88"/>
        <v>82123.287999999986</v>
      </c>
      <c r="F109" s="297">
        <f t="shared" si="89"/>
        <v>82420</v>
      </c>
    </row>
    <row r="110" spans="1:6" s="115" customFormat="1" ht="18" customHeight="1" x14ac:dyDescent="0.15">
      <c r="A110" s="114" t="s">
        <v>440</v>
      </c>
      <c r="B110" s="295" t="s">
        <v>103</v>
      </c>
      <c r="C110" s="296">
        <v>366520</v>
      </c>
      <c r="D110" s="296">
        <f t="shared" si="87"/>
        <v>344528.8</v>
      </c>
      <c r="E110" s="296">
        <f t="shared" si="88"/>
        <v>365200.52799999999</v>
      </c>
      <c r="F110" s="297">
        <f t="shared" ref="F110" si="93">C110</f>
        <v>366520</v>
      </c>
    </row>
    <row r="111" spans="1:6" s="115" customFormat="1" ht="18" customHeight="1" x14ac:dyDescent="0.15">
      <c r="A111" s="114" t="s">
        <v>305</v>
      </c>
      <c r="B111" s="295" t="s">
        <v>103</v>
      </c>
      <c r="C111" s="296">
        <v>60000</v>
      </c>
      <c r="D111" s="296">
        <f t="shared" si="87"/>
        <v>56400</v>
      </c>
      <c r="E111" s="296">
        <f t="shared" si="88"/>
        <v>59784</v>
      </c>
      <c r="F111" s="297">
        <f t="shared" si="89"/>
        <v>60000</v>
      </c>
    </row>
    <row r="112" spans="1:6" s="115" customFormat="1" ht="18" customHeight="1" x14ac:dyDescent="0.15">
      <c r="A112" s="114" t="s">
        <v>306</v>
      </c>
      <c r="B112" s="295" t="s">
        <v>73</v>
      </c>
      <c r="C112" s="296">
        <v>4500</v>
      </c>
      <c r="D112" s="296">
        <f t="shared" si="87"/>
        <v>4230</v>
      </c>
      <c r="E112" s="296">
        <f t="shared" si="88"/>
        <v>4483.8</v>
      </c>
      <c r="F112" s="297">
        <f t="shared" si="89"/>
        <v>4500</v>
      </c>
    </row>
    <row r="113" spans="1:13" s="115" customFormat="1" ht="18" customHeight="1" x14ac:dyDescent="0.15">
      <c r="A113" s="114" t="s">
        <v>772</v>
      </c>
      <c r="B113" s="295" t="s">
        <v>73</v>
      </c>
      <c r="C113" s="296">
        <f>200000*1.35</f>
        <v>270000</v>
      </c>
      <c r="D113" s="296">
        <f t="shared" si="87"/>
        <v>253800</v>
      </c>
      <c r="E113" s="296">
        <f t="shared" si="88"/>
        <v>269028</v>
      </c>
      <c r="F113" s="297">
        <f t="shared" ref="F113" si="94">C113</f>
        <v>270000</v>
      </c>
    </row>
    <row r="114" spans="1:13" s="115" customFormat="1" ht="18" customHeight="1" x14ac:dyDescent="0.15">
      <c r="A114" s="114" t="s">
        <v>713</v>
      </c>
      <c r="B114" s="295" t="s">
        <v>73</v>
      </c>
      <c r="C114" s="296">
        <f>220000*1.35</f>
        <v>297000</v>
      </c>
      <c r="D114" s="296">
        <f t="shared" ref="D114" si="95">C114*0.94</f>
        <v>279180</v>
      </c>
      <c r="E114" s="296">
        <f t="shared" ref="E114" si="96">+D114*1.06</f>
        <v>295930.8</v>
      </c>
      <c r="F114" s="297">
        <f t="shared" si="89"/>
        <v>297000</v>
      </c>
    </row>
    <row r="115" spans="1:13" s="115" customFormat="1" ht="18" customHeight="1" x14ac:dyDescent="0.15">
      <c r="A115" s="114" t="s">
        <v>770</v>
      </c>
      <c r="B115" s="295" t="s">
        <v>73</v>
      </c>
      <c r="C115" s="296">
        <f>280000*1.35</f>
        <v>378000</v>
      </c>
      <c r="D115" s="296">
        <f t="shared" si="87"/>
        <v>355320</v>
      </c>
      <c r="E115" s="296">
        <f t="shared" si="88"/>
        <v>376639.2</v>
      </c>
      <c r="F115" s="297">
        <f t="shared" ref="F115" si="97">C115</f>
        <v>378000</v>
      </c>
    </row>
    <row r="116" spans="1:13" s="115" customFormat="1" ht="18" customHeight="1" x14ac:dyDescent="0.15">
      <c r="A116" s="114" t="s">
        <v>307</v>
      </c>
      <c r="B116" s="295" t="s">
        <v>73</v>
      </c>
      <c r="C116" s="296">
        <v>78500</v>
      </c>
      <c r="D116" s="296">
        <f t="shared" ref="D116:D118" si="98">C116*0.94</f>
        <v>73790</v>
      </c>
      <c r="E116" s="296">
        <f t="shared" ref="E116:E118" si="99">+D116*1.06</f>
        <v>78217.400000000009</v>
      </c>
      <c r="F116" s="297">
        <f t="shared" si="89"/>
        <v>78500</v>
      </c>
    </row>
    <row r="117" spans="1:13" s="115" customFormat="1" ht="18" customHeight="1" x14ac:dyDescent="0.15">
      <c r="A117" s="114" t="s">
        <v>308</v>
      </c>
      <c r="B117" s="295" t="s">
        <v>193</v>
      </c>
      <c r="C117" s="296">
        <v>5800</v>
      </c>
      <c r="D117" s="296">
        <f t="shared" si="98"/>
        <v>5452</v>
      </c>
      <c r="E117" s="296">
        <f t="shared" si="99"/>
        <v>5779.12</v>
      </c>
      <c r="F117" s="297">
        <f t="shared" si="89"/>
        <v>5800</v>
      </c>
      <c r="M117" s="308"/>
    </row>
    <row r="118" spans="1:13" s="115" customFormat="1" ht="18" customHeight="1" x14ac:dyDescent="0.15">
      <c r="A118" s="114" t="s">
        <v>505</v>
      </c>
      <c r="B118" s="295" t="s">
        <v>73</v>
      </c>
      <c r="C118" s="296">
        <v>227000</v>
      </c>
      <c r="D118" s="296">
        <f t="shared" si="98"/>
        <v>213380</v>
      </c>
      <c r="E118" s="296">
        <f t="shared" si="99"/>
        <v>226182.80000000002</v>
      </c>
      <c r="F118" s="297">
        <f t="shared" si="89"/>
        <v>227000</v>
      </c>
      <c r="M118" s="308"/>
    </row>
    <row r="119" spans="1:13" s="115" customFormat="1" ht="18" customHeight="1" x14ac:dyDescent="0.15">
      <c r="A119" s="114" t="s">
        <v>302</v>
      </c>
      <c r="B119" s="295" t="s">
        <v>193</v>
      </c>
      <c r="C119" s="296">
        <v>8750</v>
      </c>
      <c r="D119" s="296">
        <f>C119*0.94</f>
        <v>8225</v>
      </c>
      <c r="E119" s="296">
        <f>+D119*1.06</f>
        <v>8718.5</v>
      </c>
      <c r="F119" s="297">
        <f>C119</f>
        <v>8750</v>
      </c>
    </row>
    <row r="120" spans="1:13" s="115" customFormat="1" ht="18" customHeight="1" x14ac:dyDescent="0.15">
      <c r="A120" s="114" t="s">
        <v>303</v>
      </c>
      <c r="B120" s="295" t="s">
        <v>193</v>
      </c>
      <c r="C120" s="296">
        <v>17650</v>
      </c>
      <c r="D120" s="296">
        <f>C120*0.94</f>
        <v>16591</v>
      </c>
      <c r="E120" s="296">
        <f>+D120*1.06</f>
        <v>17586.46</v>
      </c>
      <c r="F120" s="297">
        <f>C120</f>
        <v>17650</v>
      </c>
    </row>
    <row r="121" spans="1:13" s="115" customFormat="1" ht="18" customHeight="1" x14ac:dyDescent="0.15">
      <c r="A121" s="114" t="s">
        <v>304</v>
      </c>
      <c r="B121" s="295" t="s">
        <v>193</v>
      </c>
      <c r="C121" s="296">
        <v>27880</v>
      </c>
      <c r="D121" s="296">
        <f>C121*0.94</f>
        <v>26207.199999999997</v>
      </c>
      <c r="E121" s="296">
        <f>+D121*1.06</f>
        <v>27779.631999999998</v>
      </c>
      <c r="F121" s="297">
        <f>C121</f>
        <v>27880</v>
      </c>
    </row>
    <row r="122" spans="1:13" s="115" customFormat="1" ht="18" customHeight="1" x14ac:dyDescent="0.15">
      <c r="A122" s="114" t="s">
        <v>435</v>
      </c>
      <c r="B122" s="295" t="s">
        <v>193</v>
      </c>
      <c r="C122" s="296">
        <v>472579</v>
      </c>
      <c r="D122" s="296">
        <f t="shared" ref="D122:D124" si="100">C122*0.94</f>
        <v>444224.25999999995</v>
      </c>
      <c r="E122" s="296">
        <f t="shared" ref="E122:E124" si="101">+D122*1.06</f>
        <v>470877.7156</v>
      </c>
      <c r="F122" s="297">
        <f t="shared" ref="F122:F124" si="102">C122</f>
        <v>472579</v>
      </c>
      <c r="H122" s="177"/>
      <c r="I122" s="177"/>
    </row>
    <row r="123" spans="1:13" s="115" customFormat="1" ht="18" customHeight="1" x14ac:dyDescent="0.15">
      <c r="A123" s="114" t="s">
        <v>506</v>
      </c>
      <c r="B123" s="295" t="s">
        <v>193</v>
      </c>
      <c r="C123" s="296">
        <v>248707</v>
      </c>
      <c r="D123" s="296">
        <f t="shared" ref="D123" si="103">C123*0.94</f>
        <v>233784.58</v>
      </c>
      <c r="E123" s="296">
        <f t="shared" ref="E123" si="104">+D123*1.06</f>
        <v>247811.65479999999</v>
      </c>
      <c r="F123" s="297">
        <f t="shared" ref="F123" si="105">C123</f>
        <v>248707</v>
      </c>
    </row>
    <row r="124" spans="1:13" s="115" customFormat="1" ht="18" customHeight="1" x14ac:dyDescent="0.15">
      <c r="A124" s="114" t="s">
        <v>507</v>
      </c>
      <c r="B124" s="295" t="s">
        <v>7</v>
      </c>
      <c r="C124" s="296">
        <v>432400</v>
      </c>
      <c r="D124" s="296">
        <f t="shared" si="100"/>
        <v>406456</v>
      </c>
      <c r="E124" s="296">
        <f t="shared" si="101"/>
        <v>430843.36000000004</v>
      </c>
      <c r="F124" s="297">
        <f t="shared" si="102"/>
        <v>432400</v>
      </c>
      <c r="I124" s="309"/>
      <c r="L124" s="309"/>
    </row>
    <row r="125" spans="1:13" s="115" customFormat="1" ht="18" customHeight="1" x14ac:dyDescent="0.15">
      <c r="A125" s="114" t="s">
        <v>870</v>
      </c>
      <c r="B125" s="295" t="s">
        <v>7</v>
      </c>
      <c r="C125" s="296">
        <v>262500</v>
      </c>
      <c r="D125" s="296">
        <f t="shared" ref="D125" si="106">C125*0.94</f>
        <v>246750</v>
      </c>
      <c r="E125" s="296">
        <f t="shared" ref="E125" si="107">+D125*1.06</f>
        <v>261555</v>
      </c>
      <c r="F125" s="297">
        <f t="shared" ref="F125" si="108">C125</f>
        <v>262500</v>
      </c>
      <c r="I125" s="309"/>
      <c r="L125" s="309"/>
    </row>
    <row r="126" spans="1:13" s="115" customFormat="1" ht="18" customHeight="1" x14ac:dyDescent="0.15">
      <c r="A126" s="114" t="s">
        <v>508</v>
      </c>
      <c r="B126" s="295" t="s">
        <v>426</v>
      </c>
      <c r="C126" s="296">
        <v>156600</v>
      </c>
      <c r="D126" s="296">
        <f t="shared" ref="D126" si="109">C126*0.94</f>
        <v>147204</v>
      </c>
      <c r="E126" s="296">
        <f t="shared" ref="E126" si="110">+D126*1.06</f>
        <v>156036.24000000002</v>
      </c>
      <c r="F126" s="297">
        <f t="shared" ref="F126" si="111">C126</f>
        <v>156600</v>
      </c>
    </row>
    <row r="127" spans="1:13" s="115" customFormat="1" ht="18" customHeight="1" x14ac:dyDescent="0.15">
      <c r="A127" s="114" t="s">
        <v>509</v>
      </c>
      <c r="B127" s="295" t="s">
        <v>426</v>
      </c>
      <c r="C127" s="296">
        <v>125280</v>
      </c>
      <c r="D127" s="296">
        <f t="shared" ref="D127:D128" si="112">C127*0.94</f>
        <v>117763.2</v>
      </c>
      <c r="E127" s="296">
        <f t="shared" ref="E127:E128" si="113">+D127*1.06</f>
        <v>124828.992</v>
      </c>
      <c r="F127" s="297">
        <f t="shared" ref="F127:F128" si="114">C127</f>
        <v>125280</v>
      </c>
    </row>
    <row r="128" spans="1:13" s="115" customFormat="1" ht="18" customHeight="1" x14ac:dyDescent="0.15">
      <c r="A128" s="114" t="s">
        <v>510</v>
      </c>
      <c r="B128" s="295" t="s">
        <v>426</v>
      </c>
      <c r="C128" s="296">
        <v>73900</v>
      </c>
      <c r="D128" s="296">
        <f t="shared" si="112"/>
        <v>69466</v>
      </c>
      <c r="E128" s="296">
        <f t="shared" si="113"/>
        <v>73633.960000000006</v>
      </c>
      <c r="F128" s="297">
        <f t="shared" si="114"/>
        <v>73900</v>
      </c>
    </row>
    <row r="129" spans="1:14" s="115" customFormat="1" ht="18" customHeight="1" x14ac:dyDescent="0.15">
      <c r="A129" s="114" t="s">
        <v>433</v>
      </c>
      <c r="B129" s="295" t="s">
        <v>7</v>
      </c>
      <c r="C129" s="296">
        <v>50259</v>
      </c>
      <c r="D129" s="296">
        <f t="shared" ref="D129:D131" si="115">C129*0.94</f>
        <v>47243.46</v>
      </c>
      <c r="E129" s="296">
        <f t="shared" ref="E129:E131" si="116">+D129*1.06</f>
        <v>50078.067600000002</v>
      </c>
      <c r="F129" s="297">
        <f t="shared" ref="F129:F131" si="117">C129</f>
        <v>50259</v>
      </c>
    </row>
    <row r="130" spans="1:14" s="115" customFormat="1" ht="18" customHeight="1" x14ac:dyDescent="0.15">
      <c r="A130" s="114" t="s">
        <v>530</v>
      </c>
      <c r="B130" s="295" t="s">
        <v>7</v>
      </c>
      <c r="C130" s="296">
        <v>26380</v>
      </c>
      <c r="D130" s="296">
        <f t="shared" ref="D130" si="118">C130*0.94</f>
        <v>24797.199999999997</v>
      </c>
      <c r="E130" s="296">
        <f t="shared" ref="E130" si="119">+D130*1.06</f>
        <v>26285.031999999999</v>
      </c>
      <c r="F130" s="297">
        <f t="shared" ref="F130" si="120">C130</f>
        <v>26380</v>
      </c>
    </row>
    <row r="131" spans="1:14" s="115" customFormat="1" ht="18" customHeight="1" x14ac:dyDescent="0.15">
      <c r="A131" s="114" t="s">
        <v>437</v>
      </c>
      <c r="B131" s="295" t="s">
        <v>193</v>
      </c>
      <c r="C131" s="296">
        <v>114360</v>
      </c>
      <c r="D131" s="296">
        <f t="shared" si="115"/>
        <v>107498.4</v>
      </c>
      <c r="E131" s="296">
        <f t="shared" si="116"/>
        <v>113948.304</v>
      </c>
      <c r="F131" s="297">
        <f t="shared" si="117"/>
        <v>114360</v>
      </c>
    </row>
    <row r="132" spans="1:14" s="115" customFormat="1" ht="18" customHeight="1" x14ac:dyDescent="0.15">
      <c r="A132" s="114" t="s">
        <v>455</v>
      </c>
      <c r="B132" s="295" t="s">
        <v>193</v>
      </c>
      <c r="C132" s="296">
        <v>86494</v>
      </c>
      <c r="D132" s="296">
        <f t="shared" ref="D132" si="121">C132*0.94</f>
        <v>81304.36</v>
      </c>
      <c r="E132" s="296">
        <f t="shared" ref="E132" si="122">+D132*1.06</f>
        <v>86182.621599999999</v>
      </c>
      <c r="F132" s="297">
        <f t="shared" ref="F132" si="123">C132</f>
        <v>86494</v>
      </c>
    </row>
    <row r="133" spans="1:14" s="115" customFormat="1" ht="18" customHeight="1" x14ac:dyDescent="0.15">
      <c r="A133" s="114" t="s">
        <v>438</v>
      </c>
      <c r="B133" s="295" t="s">
        <v>193</v>
      </c>
      <c r="C133" s="296">
        <v>87502</v>
      </c>
      <c r="D133" s="296">
        <f t="shared" ref="D133" si="124">C133*0.94</f>
        <v>82251.87999999999</v>
      </c>
      <c r="E133" s="296">
        <f t="shared" ref="E133" si="125">+D133*1.06</f>
        <v>87186.992799999993</v>
      </c>
      <c r="F133" s="297">
        <f t="shared" ref="F133" si="126">C133</f>
        <v>87502</v>
      </c>
    </row>
    <row r="134" spans="1:14" s="115" customFormat="1" ht="18" customHeight="1" x14ac:dyDescent="0.15">
      <c r="A134" s="114" t="s">
        <v>439</v>
      </c>
      <c r="B134" s="295" t="s">
        <v>193</v>
      </c>
      <c r="C134" s="296">
        <v>66395</v>
      </c>
      <c r="D134" s="296">
        <f t="shared" ref="D134" si="127">C134*0.94</f>
        <v>62411.299999999996</v>
      </c>
      <c r="E134" s="296">
        <f t="shared" ref="E134" si="128">+D134*1.06</f>
        <v>66155.978000000003</v>
      </c>
      <c r="F134" s="297">
        <f t="shared" ref="F134" si="129">C134</f>
        <v>66395</v>
      </c>
    </row>
    <row r="135" spans="1:14" s="115" customFormat="1" ht="18" customHeight="1" x14ac:dyDescent="0.15">
      <c r="A135" s="114" t="s">
        <v>511</v>
      </c>
      <c r="B135" s="295" t="s">
        <v>193</v>
      </c>
      <c r="C135" s="296">
        <v>56979</v>
      </c>
      <c r="D135" s="296">
        <f t="shared" ref="D135" si="130">C135*0.94</f>
        <v>53560.259999999995</v>
      </c>
      <c r="E135" s="296">
        <f t="shared" ref="E135" si="131">+D135*1.06</f>
        <v>56773.875599999999</v>
      </c>
      <c r="F135" s="297">
        <f t="shared" ref="F135" si="132">C135</f>
        <v>56979</v>
      </c>
    </row>
    <row r="136" spans="1:14" s="115" customFormat="1" ht="18" customHeight="1" x14ac:dyDescent="0.15">
      <c r="A136" s="114" t="s">
        <v>434</v>
      </c>
      <c r="B136" s="295" t="s">
        <v>193</v>
      </c>
      <c r="C136" s="296">
        <v>47650</v>
      </c>
      <c r="D136" s="296">
        <f t="shared" ref="D136" si="133">C136*0.94</f>
        <v>44791</v>
      </c>
      <c r="E136" s="296">
        <f t="shared" ref="E136" si="134">+D136*1.06</f>
        <v>47478.46</v>
      </c>
      <c r="F136" s="297">
        <f t="shared" ref="F136:F137" si="135">C136</f>
        <v>47650</v>
      </c>
    </row>
    <row r="137" spans="1:14" s="115" customFormat="1" ht="18" customHeight="1" x14ac:dyDescent="0.15">
      <c r="A137" s="114" t="s">
        <v>512</v>
      </c>
      <c r="B137" s="295" t="s">
        <v>193</v>
      </c>
      <c r="C137" s="296">
        <v>37300</v>
      </c>
      <c r="D137" s="296">
        <f>C137*0.94</f>
        <v>35062</v>
      </c>
      <c r="E137" s="296">
        <f>+D137*1.06</f>
        <v>37165.72</v>
      </c>
      <c r="F137" s="297">
        <f t="shared" si="135"/>
        <v>37300</v>
      </c>
    </row>
    <row r="138" spans="1:14" s="115" customFormat="1" ht="18" customHeight="1" x14ac:dyDescent="0.15">
      <c r="A138" s="114" t="s">
        <v>322</v>
      </c>
      <c r="B138" s="295" t="s">
        <v>193</v>
      </c>
      <c r="C138" s="296">
        <v>30125</v>
      </c>
      <c r="D138" s="296">
        <f>C138*0.94</f>
        <v>28317.5</v>
      </c>
      <c r="E138" s="296">
        <f>+D138*1.06</f>
        <v>30016.550000000003</v>
      </c>
      <c r="F138" s="297">
        <f t="shared" ref="F138" si="136">C138</f>
        <v>30125</v>
      </c>
    </row>
    <row r="139" spans="1:14" s="115" customFormat="1" ht="18" customHeight="1" x14ac:dyDescent="0.15">
      <c r="A139" s="114" t="s">
        <v>513</v>
      </c>
      <c r="B139" s="295" t="s">
        <v>193</v>
      </c>
      <c r="C139" s="296">
        <v>43400</v>
      </c>
      <c r="D139" s="296">
        <f>C139*0.94</f>
        <v>40796</v>
      </c>
      <c r="E139" s="296">
        <f>+D139*1.06</f>
        <v>43243.76</v>
      </c>
      <c r="F139" s="297">
        <f t="shared" ref="F139:F142" si="137">C139</f>
        <v>43400</v>
      </c>
      <c r="M139" s="308"/>
    </row>
    <row r="140" spans="1:14" s="115" customFormat="1" ht="36.75" customHeight="1" x14ac:dyDescent="0.15">
      <c r="A140" s="298" t="s">
        <v>436</v>
      </c>
      <c r="B140" s="295" t="s">
        <v>193</v>
      </c>
      <c r="C140" s="296">
        <v>319870</v>
      </c>
      <c r="D140" s="296">
        <f t="shared" ref="D140:D142" si="138">C140*0.94</f>
        <v>300677.8</v>
      </c>
      <c r="E140" s="296">
        <f t="shared" ref="E140:E142" si="139">+D140*1.06</f>
        <v>318718.46799999999</v>
      </c>
      <c r="F140" s="296">
        <f t="shared" si="137"/>
        <v>319870</v>
      </c>
    </row>
    <row r="141" spans="1:14" s="115" customFormat="1" ht="18" customHeight="1" x14ac:dyDescent="0.15">
      <c r="A141" s="114" t="s">
        <v>516</v>
      </c>
      <c r="B141" s="295" t="s">
        <v>193</v>
      </c>
      <c r="C141" s="296">
        <v>64066</v>
      </c>
      <c r="D141" s="296">
        <f t="shared" si="138"/>
        <v>60222.039999999994</v>
      </c>
      <c r="E141" s="296">
        <f t="shared" si="139"/>
        <v>63835.362399999998</v>
      </c>
      <c r="F141" s="297">
        <f t="shared" si="137"/>
        <v>64066</v>
      </c>
      <c r="M141" s="308"/>
    </row>
    <row r="142" spans="1:14" s="115" customFormat="1" ht="18" customHeight="1" x14ac:dyDescent="0.15">
      <c r="A142" s="114" t="s">
        <v>515</v>
      </c>
      <c r="B142" s="295" t="s">
        <v>193</v>
      </c>
      <c r="C142" s="296">
        <v>41019</v>
      </c>
      <c r="D142" s="296">
        <f t="shared" si="138"/>
        <v>38557.86</v>
      </c>
      <c r="E142" s="296">
        <f t="shared" si="139"/>
        <v>40871.331600000005</v>
      </c>
      <c r="F142" s="297">
        <f t="shared" si="137"/>
        <v>41019</v>
      </c>
      <c r="M142" s="309"/>
    </row>
    <row r="143" spans="1:14" s="115" customFormat="1" ht="18" customHeight="1" x14ac:dyDescent="0.15">
      <c r="A143" s="114" t="s">
        <v>517</v>
      </c>
      <c r="B143" s="295" t="s">
        <v>193</v>
      </c>
      <c r="C143" s="296">
        <v>33917</v>
      </c>
      <c r="D143" s="296">
        <f t="shared" ref="D143" si="140">C143*0.94</f>
        <v>31881.98</v>
      </c>
      <c r="E143" s="296">
        <f t="shared" ref="E143" si="141">+D143*1.06</f>
        <v>33794.898800000003</v>
      </c>
      <c r="F143" s="297">
        <f t="shared" ref="F143" si="142">C143</f>
        <v>33917</v>
      </c>
      <c r="M143" s="309"/>
      <c r="N143" s="309"/>
    </row>
    <row r="144" spans="1:14" s="115" customFormat="1" ht="18" customHeight="1" x14ac:dyDescent="0.15">
      <c r="A144" s="114" t="s">
        <v>518</v>
      </c>
      <c r="B144" s="295" t="s">
        <v>5</v>
      </c>
      <c r="C144" s="296">
        <v>248700</v>
      </c>
      <c r="D144" s="296">
        <f>C144*0.94</f>
        <v>233778</v>
      </c>
      <c r="E144" s="296">
        <f>+D144*1.06</f>
        <v>247804.68000000002</v>
      </c>
      <c r="F144" s="296">
        <f>C144</f>
        <v>248700</v>
      </c>
      <c r="M144" s="309"/>
      <c r="N144" s="309"/>
    </row>
    <row r="145" spans="1:14" s="115" customFormat="1" ht="18" customHeight="1" x14ac:dyDescent="0.15">
      <c r="A145" s="114" t="s">
        <v>519</v>
      </c>
      <c r="B145" s="295" t="s">
        <v>514</v>
      </c>
      <c r="C145" s="296">
        <v>38700</v>
      </c>
      <c r="D145" s="296">
        <f>C145*0.94</f>
        <v>36378</v>
      </c>
      <c r="E145" s="296">
        <f>+D145*1.06</f>
        <v>38560.68</v>
      </c>
      <c r="F145" s="296">
        <f>C145</f>
        <v>38700</v>
      </c>
      <c r="M145" s="309"/>
      <c r="N145" s="309"/>
    </row>
    <row r="146" spans="1:14" s="115" customFormat="1" ht="18" customHeight="1" x14ac:dyDescent="0.15">
      <c r="A146" s="114" t="s">
        <v>709</v>
      </c>
      <c r="B146" s="295" t="s">
        <v>5</v>
      </c>
      <c r="C146" s="296">
        <f>45000*1.35</f>
        <v>60750.000000000007</v>
      </c>
      <c r="D146" s="296">
        <f t="shared" ref="D146:D147" si="143">C146*0.94</f>
        <v>57105</v>
      </c>
      <c r="E146" s="296">
        <f t="shared" ref="E146:E147" si="144">+D146*1.06</f>
        <v>60531.3</v>
      </c>
      <c r="F146" s="297">
        <f t="shared" ref="F146:F147" si="145">C146</f>
        <v>60750.000000000007</v>
      </c>
      <c r="M146" s="309"/>
    </row>
    <row r="147" spans="1:14" s="115" customFormat="1" ht="18" customHeight="1" x14ac:dyDescent="0.15">
      <c r="A147" s="114" t="s">
        <v>498</v>
      </c>
      <c r="B147" s="295" t="s">
        <v>193</v>
      </c>
      <c r="C147" s="296">
        <f>35371*1.1</f>
        <v>38908.100000000006</v>
      </c>
      <c r="D147" s="296">
        <f t="shared" si="143"/>
        <v>36573.614000000001</v>
      </c>
      <c r="E147" s="296">
        <f t="shared" si="144"/>
        <v>38768.030840000007</v>
      </c>
      <c r="F147" s="297">
        <f t="shared" si="145"/>
        <v>38908.100000000006</v>
      </c>
      <c r="M147" s="309"/>
    </row>
    <row r="148" spans="1:14" s="115" customFormat="1" ht="36.75" customHeight="1" x14ac:dyDescent="0.15">
      <c r="A148" s="298" t="s">
        <v>332</v>
      </c>
      <c r="B148" s="295" t="s">
        <v>5</v>
      </c>
      <c r="C148" s="296">
        <v>293696</v>
      </c>
      <c r="D148" s="296">
        <f t="shared" ref="D148" si="146">C148*0.94</f>
        <v>276074.23999999999</v>
      </c>
      <c r="E148" s="296">
        <f t="shared" ref="E148" si="147">+D148*1.06</f>
        <v>292638.69439999998</v>
      </c>
      <c r="F148" s="297">
        <f t="shared" ref="F148" si="148">C148</f>
        <v>293696</v>
      </c>
      <c r="M148" s="309"/>
    </row>
    <row r="149" spans="1:14" s="115" customFormat="1" ht="18" customHeight="1" x14ac:dyDescent="0.15">
      <c r="A149" s="298" t="s">
        <v>485</v>
      </c>
      <c r="B149" s="295" t="s">
        <v>5</v>
      </c>
      <c r="C149" s="296">
        <v>43982</v>
      </c>
      <c r="D149" s="296">
        <f t="shared" ref="D149:D150" si="149">C149*0.94</f>
        <v>41343.079999999994</v>
      </c>
      <c r="E149" s="296">
        <f t="shared" ref="E149:E150" si="150">+D149*1.06</f>
        <v>43823.664799999999</v>
      </c>
      <c r="F149" s="297">
        <f t="shared" ref="F149:F150" si="151">C149</f>
        <v>43982</v>
      </c>
    </row>
    <row r="150" spans="1:14" s="115" customFormat="1" ht="24.75" customHeight="1" x14ac:dyDescent="0.15">
      <c r="A150" s="298" t="s">
        <v>550</v>
      </c>
      <c r="B150" s="295" t="s">
        <v>324</v>
      </c>
      <c r="C150" s="296">
        <f>73700*1.19*1.35</f>
        <v>118399.05</v>
      </c>
      <c r="D150" s="296">
        <f t="shared" si="149"/>
        <v>111295.107</v>
      </c>
      <c r="E150" s="296">
        <f t="shared" si="150"/>
        <v>117972.81342000001</v>
      </c>
      <c r="F150" s="297">
        <f t="shared" si="151"/>
        <v>118399.05</v>
      </c>
      <c r="M150" s="309"/>
    </row>
    <row r="151" spans="1:14" s="115" customFormat="1" ht="24.75" customHeight="1" x14ac:dyDescent="0.15">
      <c r="A151" s="298" t="s">
        <v>551</v>
      </c>
      <c r="B151" s="295" t="s">
        <v>555</v>
      </c>
      <c r="C151" s="296">
        <f>181000*1.19*1.35</f>
        <v>290776.5</v>
      </c>
      <c r="D151" s="296">
        <f t="shared" ref="D151" si="152">C151*0.94</f>
        <v>273329.90999999997</v>
      </c>
      <c r="E151" s="296">
        <f t="shared" ref="E151" si="153">+D151*1.06</f>
        <v>289729.7046</v>
      </c>
      <c r="F151" s="297">
        <f t="shared" ref="F151" si="154">C151</f>
        <v>290776.5</v>
      </c>
      <c r="M151" s="309"/>
    </row>
    <row r="152" spans="1:14" s="115" customFormat="1" ht="32.25" customHeight="1" x14ac:dyDescent="0.15">
      <c r="A152" s="298" t="s">
        <v>557</v>
      </c>
      <c r="B152" s="295" t="s">
        <v>556</v>
      </c>
      <c r="C152" s="296">
        <f>266000*1.19*1.35</f>
        <v>427329</v>
      </c>
      <c r="D152" s="296">
        <f t="shared" ref="D152" si="155">C152*0.94</f>
        <v>401689.25999999995</v>
      </c>
      <c r="E152" s="296">
        <f t="shared" ref="E152" si="156">+D152*1.06</f>
        <v>425790.61559999996</v>
      </c>
      <c r="F152" s="297">
        <f t="shared" ref="F152" si="157">C152</f>
        <v>427329</v>
      </c>
      <c r="M152" s="309"/>
    </row>
    <row r="153" spans="1:14" s="115" customFormat="1" ht="32.25" customHeight="1" x14ac:dyDescent="0.15">
      <c r="A153" s="298" t="s">
        <v>553</v>
      </c>
      <c r="B153" s="295" t="s">
        <v>514</v>
      </c>
      <c r="C153" s="296">
        <f>379200*1.19*1.35</f>
        <v>609184.80000000005</v>
      </c>
      <c r="D153" s="296">
        <f t="shared" ref="D153" si="158">C153*0.94</f>
        <v>572633.71200000006</v>
      </c>
      <c r="E153" s="296">
        <f t="shared" ref="E153" si="159">+D153*1.06</f>
        <v>606991.73472000007</v>
      </c>
      <c r="F153" s="297">
        <f t="shared" ref="F153" si="160">C153</f>
        <v>609184.80000000005</v>
      </c>
      <c r="M153" s="309"/>
    </row>
    <row r="154" spans="1:14" s="115" customFormat="1" ht="32.25" customHeight="1" x14ac:dyDescent="0.15">
      <c r="A154" s="298" t="s">
        <v>558</v>
      </c>
      <c r="B154" s="295" t="s">
        <v>514</v>
      </c>
      <c r="C154" s="296">
        <f>289200*1.19*1.35</f>
        <v>464599.80000000005</v>
      </c>
      <c r="D154" s="296">
        <f t="shared" ref="D154:D158" si="161">C154*0.94</f>
        <v>436723.81200000003</v>
      </c>
      <c r="E154" s="296">
        <f t="shared" ref="E154:E158" si="162">+D154*1.06</f>
        <v>462927.24072000006</v>
      </c>
      <c r="F154" s="297">
        <f t="shared" ref="F154:F158" si="163">C154</f>
        <v>464599.80000000005</v>
      </c>
      <c r="M154" s="309"/>
    </row>
    <row r="155" spans="1:14" s="115" customFormat="1" ht="18" customHeight="1" x14ac:dyDescent="0.15">
      <c r="A155" s="298" t="s">
        <v>539</v>
      </c>
      <c r="B155" s="295" t="s">
        <v>5</v>
      </c>
      <c r="C155" s="296">
        <f>18000*1.35</f>
        <v>24300</v>
      </c>
      <c r="D155" s="296">
        <f t="shared" si="161"/>
        <v>22842</v>
      </c>
      <c r="E155" s="296">
        <f t="shared" si="162"/>
        <v>24212.52</v>
      </c>
      <c r="F155" s="331">
        <f t="shared" si="163"/>
        <v>24300</v>
      </c>
    </row>
    <row r="156" spans="1:14" s="115" customFormat="1" ht="18" customHeight="1" x14ac:dyDescent="0.15">
      <c r="A156" s="298" t="s">
        <v>540</v>
      </c>
      <c r="B156" s="295" t="s">
        <v>324</v>
      </c>
      <c r="C156" s="296">
        <f>15000*1.35</f>
        <v>20250</v>
      </c>
      <c r="D156" s="296">
        <f t="shared" si="161"/>
        <v>19035</v>
      </c>
      <c r="E156" s="296">
        <f t="shared" si="162"/>
        <v>20177.100000000002</v>
      </c>
      <c r="F156" s="331">
        <f t="shared" si="163"/>
        <v>20250</v>
      </c>
    </row>
    <row r="157" spans="1:14" s="115" customFormat="1" ht="18" customHeight="1" x14ac:dyDescent="0.15">
      <c r="A157" s="298" t="s">
        <v>575</v>
      </c>
      <c r="B157" s="295" t="s">
        <v>316</v>
      </c>
      <c r="C157" s="296">
        <f>90000*1.35</f>
        <v>121500.00000000001</v>
      </c>
      <c r="D157" s="296">
        <f t="shared" si="161"/>
        <v>114210</v>
      </c>
      <c r="E157" s="296">
        <f t="shared" si="162"/>
        <v>121062.6</v>
      </c>
      <c r="F157" s="331">
        <f t="shared" si="163"/>
        <v>121500.00000000001</v>
      </c>
    </row>
    <row r="158" spans="1:14" s="115" customFormat="1" ht="18" customHeight="1" x14ac:dyDescent="0.15">
      <c r="A158" s="298" t="s">
        <v>538</v>
      </c>
      <c r="B158" s="295" t="s">
        <v>316</v>
      </c>
      <c r="C158" s="296">
        <f>30000*1.35</f>
        <v>40500</v>
      </c>
      <c r="D158" s="296">
        <f t="shared" si="161"/>
        <v>38070</v>
      </c>
      <c r="E158" s="296">
        <f t="shared" si="162"/>
        <v>40354.200000000004</v>
      </c>
      <c r="F158" s="331">
        <f t="shared" si="163"/>
        <v>40500</v>
      </c>
    </row>
    <row r="159" spans="1:14" s="115" customFormat="1" ht="18" customHeight="1" x14ac:dyDescent="0.15">
      <c r="A159" s="298" t="s">
        <v>673</v>
      </c>
      <c r="B159" s="295" t="s">
        <v>316</v>
      </c>
      <c r="C159" s="296">
        <f>63400*1.35</f>
        <v>85590</v>
      </c>
      <c r="D159" s="296">
        <f t="shared" ref="D159" si="164">C159*0.94</f>
        <v>80454.599999999991</v>
      </c>
      <c r="E159" s="296">
        <f t="shared" ref="E159" si="165">+D159*1.06</f>
        <v>85281.875999999989</v>
      </c>
      <c r="F159" s="331">
        <f t="shared" ref="F159" si="166">C159</f>
        <v>85590</v>
      </c>
    </row>
    <row r="160" spans="1:14" s="115" customFormat="1" ht="18" customHeight="1" x14ac:dyDescent="0.15">
      <c r="A160" s="298" t="s">
        <v>674</v>
      </c>
      <c r="B160" s="295" t="s">
        <v>316</v>
      </c>
      <c r="C160" s="296">
        <f>13000*1.35</f>
        <v>17550</v>
      </c>
      <c r="D160" s="296">
        <f t="shared" ref="D160" si="167">C160*0.94</f>
        <v>16497</v>
      </c>
      <c r="E160" s="296">
        <f t="shared" ref="E160" si="168">+D160*1.06</f>
        <v>17486.82</v>
      </c>
      <c r="F160" s="331">
        <f t="shared" ref="F160" si="169">C160</f>
        <v>17550</v>
      </c>
    </row>
    <row r="161" spans="1:6" s="115" customFormat="1" ht="18" customHeight="1" x14ac:dyDescent="0.15">
      <c r="A161" s="298" t="s">
        <v>675</v>
      </c>
      <c r="B161" s="295" t="s">
        <v>316</v>
      </c>
      <c r="C161" s="296">
        <f>8000*1.35</f>
        <v>10800</v>
      </c>
      <c r="D161" s="296">
        <f t="shared" ref="D161" si="170">C161*0.94</f>
        <v>10152</v>
      </c>
      <c r="E161" s="296">
        <f t="shared" ref="E161" si="171">+D161*1.06</f>
        <v>10761.12</v>
      </c>
      <c r="F161" s="331">
        <f t="shared" ref="F161" si="172">C161</f>
        <v>10800</v>
      </c>
    </row>
    <row r="162" spans="1:6" s="115" customFormat="1" ht="18" customHeight="1" x14ac:dyDescent="0.15">
      <c r="A162" s="298" t="s">
        <v>676</v>
      </c>
      <c r="B162" s="295" t="s">
        <v>316</v>
      </c>
      <c r="C162" s="296">
        <f>250*1.35</f>
        <v>337.5</v>
      </c>
      <c r="D162" s="296">
        <f t="shared" ref="D162" si="173">C162*0.94</f>
        <v>317.25</v>
      </c>
      <c r="E162" s="296">
        <f t="shared" ref="E162" si="174">+D162*1.06</f>
        <v>336.28500000000003</v>
      </c>
      <c r="F162" s="331">
        <f t="shared" ref="F162" si="175">C162</f>
        <v>337.5</v>
      </c>
    </row>
    <row r="163" spans="1:6" s="115" customFormat="1" ht="18" customHeight="1" x14ac:dyDescent="0.15">
      <c r="A163" s="298" t="s">
        <v>690</v>
      </c>
      <c r="B163" s="295" t="s">
        <v>316</v>
      </c>
      <c r="C163" s="296">
        <f>4736900*1.3</f>
        <v>6157970</v>
      </c>
      <c r="D163" s="296">
        <f t="shared" ref="D163" si="176">C163*0.94</f>
        <v>5788491.7999999998</v>
      </c>
      <c r="E163" s="296">
        <f t="shared" ref="E163" si="177">+D163*1.06</f>
        <v>6135801.3080000002</v>
      </c>
      <c r="F163" s="331">
        <f t="shared" ref="F163" si="178">C163</f>
        <v>6157970</v>
      </c>
    </row>
    <row r="164" spans="1:6" s="115" customFormat="1" ht="18" customHeight="1" x14ac:dyDescent="0.15">
      <c r="A164" s="298" t="s">
        <v>692</v>
      </c>
      <c r="B164" s="295" t="s">
        <v>316</v>
      </c>
      <c r="C164" s="296">
        <f>2400*1.35</f>
        <v>3240</v>
      </c>
      <c r="D164" s="296">
        <f t="shared" ref="D164" si="179">C164*0.94</f>
        <v>3045.6</v>
      </c>
      <c r="E164" s="296">
        <f t="shared" ref="E164" si="180">+D164*1.06</f>
        <v>3228.3360000000002</v>
      </c>
      <c r="F164" s="331">
        <f t="shared" ref="F164" si="181">C164</f>
        <v>3240</v>
      </c>
    </row>
    <row r="165" spans="1:6" s="115" customFormat="1" ht="18" customHeight="1" x14ac:dyDescent="0.15">
      <c r="A165" s="298" t="s">
        <v>694</v>
      </c>
      <c r="B165" s="295" t="s">
        <v>316</v>
      </c>
      <c r="C165" s="296">
        <f>20000*1.35</f>
        <v>27000</v>
      </c>
      <c r="D165" s="296">
        <f t="shared" ref="D165" si="182">C165*0.94</f>
        <v>25380</v>
      </c>
      <c r="E165" s="296">
        <f t="shared" ref="E165" si="183">+D165*1.06</f>
        <v>26902.800000000003</v>
      </c>
      <c r="F165" s="331">
        <f t="shared" ref="F165" si="184">C165</f>
        <v>27000</v>
      </c>
    </row>
    <row r="166" spans="1:6" s="115" customFormat="1" ht="18" customHeight="1" x14ac:dyDescent="0.15">
      <c r="A166" s="298" t="s">
        <v>695</v>
      </c>
      <c r="B166" s="295" t="s">
        <v>316</v>
      </c>
      <c r="C166" s="296">
        <f>2500*1.35</f>
        <v>3375</v>
      </c>
      <c r="D166" s="296">
        <f t="shared" ref="D166" si="185">C166*0.94</f>
        <v>3172.5</v>
      </c>
      <c r="E166" s="296">
        <f t="shared" ref="E166" si="186">+D166*1.06</f>
        <v>3362.8500000000004</v>
      </c>
      <c r="F166" s="331">
        <f t="shared" ref="F166" si="187">C166</f>
        <v>3375</v>
      </c>
    </row>
    <row r="167" spans="1:6" s="115" customFormat="1" ht="24.75" customHeight="1" x14ac:dyDescent="0.15">
      <c r="A167" s="298" t="s">
        <v>698</v>
      </c>
      <c r="B167" s="295" t="s">
        <v>316</v>
      </c>
      <c r="C167" s="296">
        <v>650000</v>
      </c>
      <c r="D167" s="296">
        <f t="shared" ref="D167:D168" si="188">C167*0.94</f>
        <v>611000</v>
      </c>
      <c r="E167" s="296">
        <f t="shared" ref="E167:E168" si="189">+D167*1.06</f>
        <v>647660</v>
      </c>
      <c r="F167" s="331">
        <f t="shared" ref="F167:F168" si="190">C167</f>
        <v>650000</v>
      </c>
    </row>
    <row r="168" spans="1:6" s="115" customFormat="1" ht="18" customHeight="1" x14ac:dyDescent="0.15">
      <c r="A168" s="298" t="s">
        <v>176</v>
      </c>
      <c r="B168" s="295" t="s">
        <v>193</v>
      </c>
      <c r="C168" s="296">
        <f>(5000*1.35)/3</f>
        <v>2250</v>
      </c>
      <c r="D168" s="296">
        <f t="shared" si="188"/>
        <v>2115</v>
      </c>
      <c r="E168" s="296">
        <f t="shared" si="189"/>
        <v>2241.9</v>
      </c>
      <c r="F168" s="331">
        <f t="shared" si="190"/>
        <v>2250</v>
      </c>
    </row>
    <row r="169" spans="1:6" s="115" customFormat="1" ht="18" customHeight="1" x14ac:dyDescent="0.15">
      <c r="A169" s="298" t="s">
        <v>118</v>
      </c>
      <c r="B169" s="295" t="s">
        <v>316</v>
      </c>
      <c r="C169" s="296">
        <f>(2500*1.35)</f>
        <v>3375</v>
      </c>
      <c r="D169" s="296">
        <f t="shared" ref="D169" si="191">C169*0.94</f>
        <v>3172.5</v>
      </c>
      <c r="E169" s="296">
        <f t="shared" ref="E169" si="192">+D169*1.06</f>
        <v>3362.8500000000004</v>
      </c>
      <c r="F169" s="331">
        <f t="shared" ref="F169" si="193">C169</f>
        <v>3375</v>
      </c>
    </row>
    <row r="170" spans="1:6" s="115" customFormat="1" ht="18" customHeight="1" x14ac:dyDescent="0.15">
      <c r="A170" s="298" t="s">
        <v>89</v>
      </c>
      <c r="B170" s="295" t="s">
        <v>316</v>
      </c>
      <c r="C170" s="296">
        <f>(1900*1.35)</f>
        <v>2565</v>
      </c>
      <c r="D170" s="296">
        <f t="shared" ref="D170:D171" si="194">C170*0.94</f>
        <v>2411.1</v>
      </c>
      <c r="E170" s="296">
        <f t="shared" ref="E170:E171" si="195">+D170*1.06</f>
        <v>2555.7660000000001</v>
      </c>
      <c r="F170" s="331">
        <f t="shared" ref="F170:F171" si="196">C170</f>
        <v>2565</v>
      </c>
    </row>
    <row r="171" spans="1:6" s="115" customFormat="1" ht="18" customHeight="1" x14ac:dyDescent="0.15">
      <c r="A171" s="298" t="s">
        <v>849</v>
      </c>
      <c r="B171" s="295" t="s">
        <v>316</v>
      </c>
      <c r="C171" s="296">
        <f>(15000*1.35)</f>
        <v>20250</v>
      </c>
      <c r="D171" s="296">
        <f t="shared" si="194"/>
        <v>19035</v>
      </c>
      <c r="E171" s="296">
        <f t="shared" si="195"/>
        <v>20177.100000000002</v>
      </c>
      <c r="F171" s="331">
        <f t="shared" si="196"/>
        <v>20250</v>
      </c>
    </row>
    <row r="172" spans="1:6" s="115" customFormat="1" ht="18" customHeight="1" x14ac:dyDescent="0.15">
      <c r="A172" s="298" t="s">
        <v>700</v>
      </c>
      <c r="B172" s="295" t="s">
        <v>316</v>
      </c>
      <c r="C172" s="296">
        <f>(14000*1.35)</f>
        <v>18900</v>
      </c>
      <c r="D172" s="296">
        <f t="shared" ref="D172" si="197">C172*0.94</f>
        <v>17766</v>
      </c>
      <c r="E172" s="296">
        <f t="shared" ref="E172" si="198">+D172*1.06</f>
        <v>18831.960000000003</v>
      </c>
      <c r="F172" s="331">
        <f t="shared" ref="F172" si="199">C172</f>
        <v>18900</v>
      </c>
    </row>
    <row r="173" spans="1:6" s="115" customFormat="1" ht="18" customHeight="1" x14ac:dyDescent="0.15">
      <c r="A173" s="298" t="s">
        <v>703</v>
      </c>
      <c r="B173" s="295" t="s">
        <v>316</v>
      </c>
      <c r="C173" s="296">
        <f>(8000*1.35)</f>
        <v>10800</v>
      </c>
      <c r="D173" s="296">
        <f t="shared" ref="D173" si="200">C173*0.94</f>
        <v>10152</v>
      </c>
      <c r="E173" s="296">
        <f t="shared" ref="E173" si="201">+D173*1.06</f>
        <v>10761.12</v>
      </c>
      <c r="F173" s="331">
        <f t="shared" ref="F173" si="202">C173</f>
        <v>10800</v>
      </c>
    </row>
    <row r="174" spans="1:6" s="115" customFormat="1" ht="18" customHeight="1" x14ac:dyDescent="0.15">
      <c r="A174" s="298" t="s">
        <v>858</v>
      </c>
      <c r="B174" s="295" t="s">
        <v>316</v>
      </c>
      <c r="C174" s="296">
        <f>(10500*1.35)</f>
        <v>14175.000000000002</v>
      </c>
      <c r="D174" s="296">
        <f t="shared" ref="D174" si="203">C174*0.94</f>
        <v>13324.500000000002</v>
      </c>
      <c r="E174" s="296">
        <f t="shared" ref="E174" si="204">+D174*1.06</f>
        <v>14123.970000000003</v>
      </c>
      <c r="F174" s="331">
        <f t="shared" ref="F174" si="205">C174</f>
        <v>14175.000000000002</v>
      </c>
    </row>
    <row r="175" spans="1:6" s="115" customFormat="1" ht="18" customHeight="1" x14ac:dyDescent="0.15">
      <c r="A175" s="298" t="s">
        <v>704</v>
      </c>
      <c r="B175" s="295" t="s">
        <v>316</v>
      </c>
      <c r="C175" s="296">
        <f>(25000*1.35)</f>
        <v>33750</v>
      </c>
      <c r="D175" s="296">
        <f t="shared" ref="D175" si="206">C175*0.94</f>
        <v>31725</v>
      </c>
      <c r="E175" s="296">
        <f t="shared" ref="E175" si="207">+D175*1.06</f>
        <v>33628.5</v>
      </c>
      <c r="F175" s="331">
        <f t="shared" ref="F175" si="208">C175</f>
        <v>33750</v>
      </c>
    </row>
    <row r="176" spans="1:6" s="115" customFormat="1" ht="18" customHeight="1" x14ac:dyDescent="0.15">
      <c r="A176" s="298" t="s">
        <v>707</v>
      </c>
      <c r="B176" s="295" t="s">
        <v>316</v>
      </c>
      <c r="C176" s="296">
        <f>(290000*1.35)</f>
        <v>391500</v>
      </c>
      <c r="D176" s="296">
        <f t="shared" ref="D176" si="209">C176*0.94</f>
        <v>368010</v>
      </c>
      <c r="E176" s="296">
        <f t="shared" ref="E176" si="210">+D176*1.06</f>
        <v>390090.60000000003</v>
      </c>
      <c r="F176" s="331">
        <f t="shared" ref="F176" si="211">C176</f>
        <v>391500</v>
      </c>
    </row>
    <row r="177" spans="1:6" s="115" customFormat="1" ht="18" customHeight="1" x14ac:dyDescent="0.15">
      <c r="A177" s="298" t="s">
        <v>710</v>
      </c>
      <c r="B177" s="295" t="s">
        <v>316</v>
      </c>
      <c r="C177" s="296">
        <f>(659900*1.35)</f>
        <v>890865.00000000012</v>
      </c>
      <c r="D177" s="296">
        <f t="shared" ref="D177:D178" si="212">C177*0.94</f>
        <v>837413.10000000009</v>
      </c>
      <c r="E177" s="296">
        <f t="shared" ref="E177:E178" si="213">+D177*1.06</f>
        <v>887657.88600000017</v>
      </c>
      <c r="F177" s="331">
        <f t="shared" ref="F177:F178" si="214">C177</f>
        <v>890865.00000000012</v>
      </c>
    </row>
    <row r="178" spans="1:6" s="115" customFormat="1" ht="18" customHeight="1" x14ac:dyDescent="0.15">
      <c r="A178" s="298" t="s">
        <v>848</v>
      </c>
      <c r="B178" s="295" t="s">
        <v>316</v>
      </c>
      <c r="C178" s="296">
        <f>(22000*1.35)</f>
        <v>29700.000000000004</v>
      </c>
      <c r="D178" s="296">
        <f t="shared" si="212"/>
        <v>27918.000000000004</v>
      </c>
      <c r="E178" s="296">
        <f t="shared" si="213"/>
        <v>29593.080000000005</v>
      </c>
      <c r="F178" s="331">
        <f t="shared" si="214"/>
        <v>29700.000000000004</v>
      </c>
    </row>
    <row r="179" spans="1:6" s="115" customFormat="1" ht="18" customHeight="1" x14ac:dyDescent="0.15">
      <c r="A179" s="298" t="s">
        <v>851</v>
      </c>
      <c r="B179" s="295" t="s">
        <v>316</v>
      </c>
      <c r="C179" s="296">
        <f>(1800000*1.35)</f>
        <v>2430000</v>
      </c>
      <c r="D179" s="296">
        <f t="shared" ref="D179" si="215">C179*0.94</f>
        <v>2284200</v>
      </c>
      <c r="E179" s="296">
        <f t="shared" ref="E179" si="216">+D179*1.06</f>
        <v>2421252</v>
      </c>
      <c r="F179" s="331">
        <f t="shared" ref="F179" si="217">C179</f>
        <v>2430000</v>
      </c>
    </row>
    <row r="180" spans="1:6" s="115" customFormat="1" ht="18" customHeight="1" x14ac:dyDescent="0.15">
      <c r="A180" s="298" t="s">
        <v>718</v>
      </c>
      <c r="B180" s="295" t="s">
        <v>58</v>
      </c>
      <c r="C180" s="296">
        <f>(9500*1.35)</f>
        <v>12825</v>
      </c>
      <c r="D180" s="296">
        <f t="shared" ref="D180:D182" si="218">C180*0.94</f>
        <v>12055.5</v>
      </c>
      <c r="E180" s="296">
        <f t="shared" ref="E180:E182" si="219">+D180*1.06</f>
        <v>12778.83</v>
      </c>
      <c r="F180" s="331">
        <f t="shared" ref="F180:F182" si="220">C180</f>
        <v>12825</v>
      </c>
    </row>
    <row r="181" spans="1:6" s="115" customFormat="1" ht="18" customHeight="1" x14ac:dyDescent="0.15">
      <c r="A181" s="298" t="s">
        <v>719</v>
      </c>
      <c r="B181" s="295" t="s">
        <v>134</v>
      </c>
      <c r="C181" s="296">
        <f>(2500.35)</f>
        <v>2500.35</v>
      </c>
      <c r="D181" s="296">
        <f t="shared" si="218"/>
        <v>2350.3289999999997</v>
      </c>
      <c r="E181" s="296">
        <f t="shared" si="219"/>
        <v>2491.3487399999999</v>
      </c>
      <c r="F181" s="331">
        <f t="shared" si="220"/>
        <v>2500.35</v>
      </c>
    </row>
    <row r="182" spans="1:6" s="115" customFormat="1" ht="18" customHeight="1" x14ac:dyDescent="0.15">
      <c r="A182" s="298" t="s">
        <v>720</v>
      </c>
      <c r="B182" s="295" t="s">
        <v>103</v>
      </c>
      <c r="C182" s="296">
        <f>(59900*1.35)</f>
        <v>80865</v>
      </c>
      <c r="D182" s="296">
        <f t="shared" si="218"/>
        <v>76013.099999999991</v>
      </c>
      <c r="E182" s="296">
        <f t="shared" si="219"/>
        <v>80573.885999999999</v>
      </c>
      <c r="F182" s="331">
        <f t="shared" si="220"/>
        <v>80865</v>
      </c>
    </row>
    <row r="183" spans="1:6" s="115" customFormat="1" ht="18" customHeight="1" x14ac:dyDescent="0.15">
      <c r="A183" s="298" t="s">
        <v>756</v>
      </c>
      <c r="B183" s="295" t="s">
        <v>103</v>
      </c>
      <c r="C183" s="296">
        <f>(69900*1.35)</f>
        <v>94365</v>
      </c>
      <c r="D183" s="296">
        <f t="shared" ref="D183:D184" si="221">C183*0.94</f>
        <v>88703.099999999991</v>
      </c>
      <c r="E183" s="296">
        <f t="shared" ref="E183:E184" si="222">+D183*1.06</f>
        <v>94025.285999999993</v>
      </c>
      <c r="F183" s="331">
        <f t="shared" ref="F183:F184" si="223">C183</f>
        <v>94365</v>
      </c>
    </row>
    <row r="184" spans="1:6" s="115" customFormat="1" ht="18" customHeight="1" x14ac:dyDescent="0.15">
      <c r="A184" s="298" t="s">
        <v>759</v>
      </c>
      <c r="B184" s="295" t="s">
        <v>44</v>
      </c>
      <c r="C184" s="296">
        <f>35900*1.35</f>
        <v>48465</v>
      </c>
      <c r="D184" s="296">
        <f t="shared" si="221"/>
        <v>45557.1</v>
      </c>
      <c r="E184" s="296">
        <f t="shared" si="222"/>
        <v>48290.525999999998</v>
      </c>
      <c r="F184" s="331">
        <f t="shared" si="223"/>
        <v>48465</v>
      </c>
    </row>
    <row r="185" spans="1:6" s="115" customFormat="1" ht="18" customHeight="1" x14ac:dyDescent="0.15">
      <c r="A185" s="298" t="s">
        <v>763</v>
      </c>
      <c r="B185" s="295" t="s">
        <v>5</v>
      </c>
      <c r="C185" s="296">
        <f>85000*1.35</f>
        <v>114750.00000000001</v>
      </c>
      <c r="D185" s="296">
        <f t="shared" ref="D185" si="224">C185*0.94</f>
        <v>107865.00000000001</v>
      </c>
      <c r="E185" s="296">
        <f t="shared" ref="E185" si="225">+D185*1.06</f>
        <v>114336.90000000002</v>
      </c>
      <c r="F185" s="331">
        <f t="shared" ref="F185" si="226">C185</f>
        <v>114750.00000000001</v>
      </c>
    </row>
    <row r="186" spans="1:6" s="115" customFormat="1" ht="18" customHeight="1" x14ac:dyDescent="0.15">
      <c r="A186" s="298" t="s">
        <v>1004</v>
      </c>
      <c r="B186" s="295" t="s">
        <v>316</v>
      </c>
      <c r="C186" s="296">
        <f>250000*1.35</f>
        <v>337500</v>
      </c>
      <c r="D186" s="296">
        <f t="shared" ref="D186:D188" si="227">C186*0.94</f>
        <v>317250</v>
      </c>
      <c r="E186" s="296">
        <f t="shared" ref="E186:E188" si="228">+D186*1.06</f>
        <v>336285</v>
      </c>
      <c r="F186" s="331">
        <f t="shared" ref="F186:F188" si="229">C186</f>
        <v>337500</v>
      </c>
    </row>
    <row r="187" spans="1:6" s="115" customFormat="1" ht="18" customHeight="1" x14ac:dyDescent="0.15">
      <c r="A187" s="298" t="s">
        <v>872</v>
      </c>
      <c r="B187" s="295" t="s">
        <v>316</v>
      </c>
      <c r="C187" s="296">
        <f>180000*1.35</f>
        <v>243000.00000000003</v>
      </c>
      <c r="D187" s="296">
        <f t="shared" ref="D187" si="230">C187*0.94</f>
        <v>228420</v>
      </c>
      <c r="E187" s="296">
        <f t="shared" ref="E187" si="231">+D187*1.06</f>
        <v>242125.2</v>
      </c>
      <c r="F187" s="331">
        <f t="shared" ref="F187" si="232">C187</f>
        <v>243000.00000000003</v>
      </c>
    </row>
    <row r="188" spans="1:6" s="115" customFormat="1" ht="18" customHeight="1" x14ac:dyDescent="0.15">
      <c r="A188" s="114" t="s">
        <v>869</v>
      </c>
      <c r="B188" s="295" t="s">
        <v>5</v>
      </c>
      <c r="C188" s="296">
        <f>360000*1.35</f>
        <v>486000.00000000006</v>
      </c>
      <c r="D188" s="296">
        <f t="shared" si="227"/>
        <v>456840</v>
      </c>
      <c r="E188" s="296">
        <f t="shared" si="228"/>
        <v>484250.4</v>
      </c>
      <c r="F188" s="297">
        <f t="shared" si="229"/>
        <v>486000.00000000006</v>
      </c>
    </row>
    <row r="193" spans="1:1" ht="14" x14ac:dyDescent="0.15">
      <c r="A193" s="101" t="s">
        <v>534</v>
      </c>
    </row>
    <row r="194" spans="1:1" ht="14" x14ac:dyDescent="0.15">
      <c r="A194" s="83" t="s">
        <v>448</v>
      </c>
    </row>
  </sheetData>
  <mergeCells count="6">
    <mergeCell ref="A5:F5"/>
    <mergeCell ref="A1:D1"/>
    <mergeCell ref="E1:F4"/>
    <mergeCell ref="A2:D2"/>
    <mergeCell ref="A3:D3"/>
    <mergeCell ref="A4:D4"/>
  </mergeCells>
  <pageMargins left="0.51181102362204722" right="0.51181102362204722" top="0.74803149606299213" bottom="0.74803149606299213" header="0.31496062992125984" footer="0.31496062992125984"/>
  <pageSetup scale="69" orientation="portrait" r:id="rId1"/>
  <rowBreaks count="1" manualBreakCount="1">
    <brk id="144" max="5" man="1"/>
  </rowBreaks>
  <colBreaks count="1" manualBreakCount="1">
    <brk id="6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7">
    <tabColor rgb="FF66FF33"/>
  </sheetPr>
  <dimension ref="A1:D52"/>
  <sheetViews>
    <sheetView view="pageBreakPreview" topLeftCell="A3" zoomScale="145" zoomScaleNormal="100" zoomScaleSheetLayoutView="145" workbookViewId="0">
      <selection activeCell="G18" sqref="G18"/>
    </sheetView>
  </sheetViews>
  <sheetFormatPr baseColWidth="10" defaultRowHeight="13" x14ac:dyDescent="0.15"/>
  <cols>
    <col min="1" max="1" width="53.6640625" style="11" customWidth="1"/>
    <col min="2" max="2" width="16.6640625" style="76" customWidth="1"/>
    <col min="3" max="3" width="16.6640625" style="11" customWidth="1"/>
    <col min="4" max="243" width="11.5" style="11"/>
    <col min="244" max="244" width="48.6640625" style="11" customWidth="1"/>
    <col min="245" max="245" width="13.5" style="11" customWidth="1"/>
    <col min="246" max="246" width="13" style="11" bestFit="1" customWidth="1"/>
    <col min="247" max="247" width="11.6640625" style="11" bestFit="1" customWidth="1"/>
    <col min="248" max="499" width="11.5" style="11"/>
    <col min="500" max="500" width="48.6640625" style="11" customWidth="1"/>
    <col min="501" max="501" width="13.5" style="11" customWidth="1"/>
    <col min="502" max="502" width="13" style="11" bestFit="1" customWidth="1"/>
    <col min="503" max="503" width="11.6640625" style="11" bestFit="1" customWidth="1"/>
    <col min="504" max="755" width="11.5" style="11"/>
    <col min="756" max="756" width="48.6640625" style="11" customWidth="1"/>
    <col min="757" max="757" width="13.5" style="11" customWidth="1"/>
    <col min="758" max="758" width="13" style="11" bestFit="1" customWidth="1"/>
    <col min="759" max="759" width="11.6640625" style="11" bestFit="1" customWidth="1"/>
    <col min="760" max="1011" width="11.5" style="11"/>
    <col min="1012" max="1012" width="48.6640625" style="11" customWidth="1"/>
    <col min="1013" max="1013" width="13.5" style="11" customWidth="1"/>
    <col min="1014" max="1014" width="13" style="11" bestFit="1" customWidth="1"/>
    <col min="1015" max="1015" width="11.6640625" style="11" bestFit="1" customWidth="1"/>
    <col min="1016" max="1267" width="11.5" style="11"/>
    <col min="1268" max="1268" width="48.6640625" style="11" customWidth="1"/>
    <col min="1269" max="1269" width="13.5" style="11" customWidth="1"/>
    <col min="1270" max="1270" width="13" style="11" bestFit="1" customWidth="1"/>
    <col min="1271" max="1271" width="11.6640625" style="11" bestFit="1" customWidth="1"/>
    <col min="1272" max="1523" width="11.5" style="11"/>
    <col min="1524" max="1524" width="48.6640625" style="11" customWidth="1"/>
    <col min="1525" max="1525" width="13.5" style="11" customWidth="1"/>
    <col min="1526" max="1526" width="13" style="11" bestFit="1" customWidth="1"/>
    <col min="1527" max="1527" width="11.6640625" style="11" bestFit="1" customWidth="1"/>
    <col min="1528" max="1779" width="11.5" style="11"/>
    <col min="1780" max="1780" width="48.6640625" style="11" customWidth="1"/>
    <col min="1781" max="1781" width="13.5" style="11" customWidth="1"/>
    <col min="1782" max="1782" width="13" style="11" bestFit="1" customWidth="1"/>
    <col min="1783" max="1783" width="11.6640625" style="11" bestFit="1" customWidth="1"/>
    <col min="1784" max="2035" width="11.5" style="11"/>
    <col min="2036" max="2036" width="48.6640625" style="11" customWidth="1"/>
    <col min="2037" max="2037" width="13.5" style="11" customWidth="1"/>
    <col min="2038" max="2038" width="13" style="11" bestFit="1" customWidth="1"/>
    <col min="2039" max="2039" width="11.6640625" style="11" bestFit="1" customWidth="1"/>
    <col min="2040" max="2291" width="11.5" style="11"/>
    <col min="2292" max="2292" width="48.6640625" style="11" customWidth="1"/>
    <col min="2293" max="2293" width="13.5" style="11" customWidth="1"/>
    <col min="2294" max="2294" width="13" style="11" bestFit="1" customWidth="1"/>
    <col min="2295" max="2295" width="11.6640625" style="11" bestFit="1" customWidth="1"/>
    <col min="2296" max="2547" width="11.5" style="11"/>
    <col min="2548" max="2548" width="48.6640625" style="11" customWidth="1"/>
    <col min="2549" max="2549" width="13.5" style="11" customWidth="1"/>
    <col min="2550" max="2550" width="13" style="11" bestFit="1" customWidth="1"/>
    <col min="2551" max="2551" width="11.6640625" style="11" bestFit="1" customWidth="1"/>
    <col min="2552" max="2803" width="11.5" style="11"/>
    <col min="2804" max="2804" width="48.6640625" style="11" customWidth="1"/>
    <col min="2805" max="2805" width="13.5" style="11" customWidth="1"/>
    <col min="2806" max="2806" width="13" style="11" bestFit="1" customWidth="1"/>
    <col min="2807" max="2807" width="11.6640625" style="11" bestFit="1" customWidth="1"/>
    <col min="2808" max="3059" width="11.5" style="11"/>
    <col min="3060" max="3060" width="48.6640625" style="11" customWidth="1"/>
    <col min="3061" max="3061" width="13.5" style="11" customWidth="1"/>
    <col min="3062" max="3062" width="13" style="11" bestFit="1" customWidth="1"/>
    <col min="3063" max="3063" width="11.6640625" style="11" bestFit="1" customWidth="1"/>
    <col min="3064" max="3315" width="11.5" style="11"/>
    <col min="3316" max="3316" width="48.6640625" style="11" customWidth="1"/>
    <col min="3317" max="3317" width="13.5" style="11" customWidth="1"/>
    <col min="3318" max="3318" width="13" style="11" bestFit="1" customWidth="1"/>
    <col min="3319" max="3319" width="11.6640625" style="11" bestFit="1" customWidth="1"/>
    <col min="3320" max="3571" width="11.5" style="11"/>
    <col min="3572" max="3572" width="48.6640625" style="11" customWidth="1"/>
    <col min="3573" max="3573" width="13.5" style="11" customWidth="1"/>
    <col min="3574" max="3574" width="13" style="11" bestFit="1" customWidth="1"/>
    <col min="3575" max="3575" width="11.6640625" style="11" bestFit="1" customWidth="1"/>
    <col min="3576" max="3827" width="11.5" style="11"/>
    <col min="3828" max="3828" width="48.6640625" style="11" customWidth="1"/>
    <col min="3829" max="3829" width="13.5" style="11" customWidth="1"/>
    <col min="3830" max="3830" width="13" style="11" bestFit="1" customWidth="1"/>
    <col min="3831" max="3831" width="11.6640625" style="11" bestFit="1" customWidth="1"/>
    <col min="3832" max="4083" width="11.5" style="11"/>
    <col min="4084" max="4084" width="48.6640625" style="11" customWidth="1"/>
    <col min="4085" max="4085" width="13.5" style="11" customWidth="1"/>
    <col min="4086" max="4086" width="13" style="11" bestFit="1" customWidth="1"/>
    <col min="4087" max="4087" width="11.6640625" style="11" bestFit="1" customWidth="1"/>
    <col min="4088" max="4339" width="11.5" style="11"/>
    <col min="4340" max="4340" width="48.6640625" style="11" customWidth="1"/>
    <col min="4341" max="4341" width="13.5" style="11" customWidth="1"/>
    <col min="4342" max="4342" width="13" style="11" bestFit="1" customWidth="1"/>
    <col min="4343" max="4343" width="11.6640625" style="11" bestFit="1" customWidth="1"/>
    <col min="4344" max="4595" width="11.5" style="11"/>
    <col min="4596" max="4596" width="48.6640625" style="11" customWidth="1"/>
    <col min="4597" max="4597" width="13.5" style="11" customWidth="1"/>
    <col min="4598" max="4598" width="13" style="11" bestFit="1" customWidth="1"/>
    <col min="4599" max="4599" width="11.6640625" style="11" bestFit="1" customWidth="1"/>
    <col min="4600" max="4851" width="11.5" style="11"/>
    <col min="4852" max="4852" width="48.6640625" style="11" customWidth="1"/>
    <col min="4853" max="4853" width="13.5" style="11" customWidth="1"/>
    <col min="4854" max="4854" width="13" style="11" bestFit="1" customWidth="1"/>
    <col min="4855" max="4855" width="11.6640625" style="11" bestFit="1" customWidth="1"/>
    <col min="4856" max="5107" width="11.5" style="11"/>
    <col min="5108" max="5108" width="48.6640625" style="11" customWidth="1"/>
    <col min="5109" max="5109" width="13.5" style="11" customWidth="1"/>
    <col min="5110" max="5110" width="13" style="11" bestFit="1" customWidth="1"/>
    <col min="5111" max="5111" width="11.6640625" style="11" bestFit="1" customWidth="1"/>
    <col min="5112" max="5363" width="11.5" style="11"/>
    <col min="5364" max="5364" width="48.6640625" style="11" customWidth="1"/>
    <col min="5365" max="5365" width="13.5" style="11" customWidth="1"/>
    <col min="5366" max="5366" width="13" style="11" bestFit="1" customWidth="1"/>
    <col min="5367" max="5367" width="11.6640625" style="11" bestFit="1" customWidth="1"/>
    <col min="5368" max="5619" width="11.5" style="11"/>
    <col min="5620" max="5620" width="48.6640625" style="11" customWidth="1"/>
    <col min="5621" max="5621" width="13.5" style="11" customWidth="1"/>
    <col min="5622" max="5622" width="13" style="11" bestFit="1" customWidth="1"/>
    <col min="5623" max="5623" width="11.6640625" style="11" bestFit="1" customWidth="1"/>
    <col min="5624" max="5875" width="11.5" style="11"/>
    <col min="5876" max="5876" width="48.6640625" style="11" customWidth="1"/>
    <col min="5877" max="5877" width="13.5" style="11" customWidth="1"/>
    <col min="5878" max="5878" width="13" style="11" bestFit="1" customWidth="1"/>
    <col min="5879" max="5879" width="11.6640625" style="11" bestFit="1" customWidth="1"/>
    <col min="5880" max="6131" width="11.5" style="11"/>
    <col min="6132" max="6132" width="48.6640625" style="11" customWidth="1"/>
    <col min="6133" max="6133" width="13.5" style="11" customWidth="1"/>
    <col min="6134" max="6134" width="13" style="11" bestFit="1" customWidth="1"/>
    <col min="6135" max="6135" width="11.6640625" style="11" bestFit="1" customWidth="1"/>
    <col min="6136" max="6387" width="11.5" style="11"/>
    <col min="6388" max="6388" width="48.6640625" style="11" customWidth="1"/>
    <col min="6389" max="6389" width="13.5" style="11" customWidth="1"/>
    <col min="6390" max="6390" width="13" style="11" bestFit="1" customWidth="1"/>
    <col min="6391" max="6391" width="11.6640625" style="11" bestFit="1" customWidth="1"/>
    <col min="6392" max="6643" width="11.5" style="11"/>
    <col min="6644" max="6644" width="48.6640625" style="11" customWidth="1"/>
    <col min="6645" max="6645" width="13.5" style="11" customWidth="1"/>
    <col min="6646" max="6646" width="13" style="11" bestFit="1" customWidth="1"/>
    <col min="6647" max="6647" width="11.6640625" style="11" bestFit="1" customWidth="1"/>
    <col min="6648" max="6899" width="11.5" style="11"/>
    <col min="6900" max="6900" width="48.6640625" style="11" customWidth="1"/>
    <col min="6901" max="6901" width="13.5" style="11" customWidth="1"/>
    <col min="6902" max="6902" width="13" style="11" bestFit="1" customWidth="1"/>
    <col min="6903" max="6903" width="11.6640625" style="11" bestFit="1" customWidth="1"/>
    <col min="6904" max="7155" width="11.5" style="11"/>
    <col min="7156" max="7156" width="48.6640625" style="11" customWidth="1"/>
    <col min="7157" max="7157" width="13.5" style="11" customWidth="1"/>
    <col min="7158" max="7158" width="13" style="11" bestFit="1" customWidth="1"/>
    <col min="7159" max="7159" width="11.6640625" style="11" bestFit="1" customWidth="1"/>
    <col min="7160" max="7411" width="11.5" style="11"/>
    <col min="7412" max="7412" width="48.6640625" style="11" customWidth="1"/>
    <col min="7413" max="7413" width="13.5" style="11" customWidth="1"/>
    <col min="7414" max="7414" width="13" style="11" bestFit="1" customWidth="1"/>
    <col min="7415" max="7415" width="11.6640625" style="11" bestFit="1" customWidth="1"/>
    <col min="7416" max="7667" width="11.5" style="11"/>
    <col min="7668" max="7668" width="48.6640625" style="11" customWidth="1"/>
    <col min="7669" max="7669" width="13.5" style="11" customWidth="1"/>
    <col min="7670" max="7670" width="13" style="11" bestFit="1" customWidth="1"/>
    <col min="7671" max="7671" width="11.6640625" style="11" bestFit="1" customWidth="1"/>
    <col min="7672" max="7923" width="11.5" style="11"/>
    <col min="7924" max="7924" width="48.6640625" style="11" customWidth="1"/>
    <col min="7925" max="7925" width="13.5" style="11" customWidth="1"/>
    <col min="7926" max="7926" width="13" style="11" bestFit="1" customWidth="1"/>
    <col min="7927" max="7927" width="11.6640625" style="11" bestFit="1" customWidth="1"/>
    <col min="7928" max="8179" width="11.5" style="11"/>
    <col min="8180" max="8180" width="48.6640625" style="11" customWidth="1"/>
    <col min="8181" max="8181" width="13.5" style="11" customWidth="1"/>
    <col min="8182" max="8182" width="13" style="11" bestFit="1" customWidth="1"/>
    <col min="8183" max="8183" width="11.6640625" style="11" bestFit="1" customWidth="1"/>
    <col min="8184" max="8435" width="11.5" style="11"/>
    <col min="8436" max="8436" width="48.6640625" style="11" customWidth="1"/>
    <col min="8437" max="8437" width="13.5" style="11" customWidth="1"/>
    <col min="8438" max="8438" width="13" style="11" bestFit="1" customWidth="1"/>
    <col min="8439" max="8439" width="11.6640625" style="11" bestFit="1" customWidth="1"/>
    <col min="8440" max="8691" width="11.5" style="11"/>
    <col min="8692" max="8692" width="48.6640625" style="11" customWidth="1"/>
    <col min="8693" max="8693" width="13.5" style="11" customWidth="1"/>
    <col min="8694" max="8694" width="13" style="11" bestFit="1" customWidth="1"/>
    <col min="8695" max="8695" width="11.6640625" style="11" bestFit="1" customWidth="1"/>
    <col min="8696" max="8947" width="11.5" style="11"/>
    <col min="8948" max="8948" width="48.6640625" style="11" customWidth="1"/>
    <col min="8949" max="8949" width="13.5" style="11" customWidth="1"/>
    <col min="8950" max="8950" width="13" style="11" bestFit="1" customWidth="1"/>
    <col min="8951" max="8951" width="11.6640625" style="11" bestFit="1" customWidth="1"/>
    <col min="8952" max="9203" width="11.5" style="11"/>
    <col min="9204" max="9204" width="48.6640625" style="11" customWidth="1"/>
    <col min="9205" max="9205" width="13.5" style="11" customWidth="1"/>
    <col min="9206" max="9206" width="13" style="11" bestFit="1" customWidth="1"/>
    <col min="9207" max="9207" width="11.6640625" style="11" bestFit="1" customWidth="1"/>
    <col min="9208" max="9459" width="11.5" style="11"/>
    <col min="9460" max="9460" width="48.6640625" style="11" customWidth="1"/>
    <col min="9461" max="9461" width="13.5" style="11" customWidth="1"/>
    <col min="9462" max="9462" width="13" style="11" bestFit="1" customWidth="1"/>
    <col min="9463" max="9463" width="11.6640625" style="11" bestFit="1" customWidth="1"/>
    <col min="9464" max="9715" width="11.5" style="11"/>
    <col min="9716" max="9716" width="48.6640625" style="11" customWidth="1"/>
    <col min="9717" max="9717" width="13.5" style="11" customWidth="1"/>
    <col min="9718" max="9718" width="13" style="11" bestFit="1" customWidth="1"/>
    <col min="9719" max="9719" width="11.6640625" style="11" bestFit="1" customWidth="1"/>
    <col min="9720" max="9971" width="11.5" style="11"/>
    <col min="9972" max="9972" width="48.6640625" style="11" customWidth="1"/>
    <col min="9973" max="9973" width="13.5" style="11" customWidth="1"/>
    <col min="9974" max="9974" width="13" style="11" bestFit="1" customWidth="1"/>
    <col min="9975" max="9975" width="11.6640625" style="11" bestFit="1" customWidth="1"/>
    <col min="9976" max="10227" width="11.5" style="11"/>
    <col min="10228" max="10228" width="48.6640625" style="11" customWidth="1"/>
    <col min="10229" max="10229" width="13.5" style="11" customWidth="1"/>
    <col min="10230" max="10230" width="13" style="11" bestFit="1" customWidth="1"/>
    <col min="10231" max="10231" width="11.6640625" style="11" bestFit="1" customWidth="1"/>
    <col min="10232" max="10483" width="11.5" style="11"/>
    <col min="10484" max="10484" width="48.6640625" style="11" customWidth="1"/>
    <col min="10485" max="10485" width="13.5" style="11" customWidth="1"/>
    <col min="10486" max="10486" width="13" style="11" bestFit="1" customWidth="1"/>
    <col min="10487" max="10487" width="11.6640625" style="11" bestFit="1" customWidth="1"/>
    <col min="10488" max="10739" width="11.5" style="11"/>
    <col min="10740" max="10740" width="48.6640625" style="11" customWidth="1"/>
    <col min="10741" max="10741" width="13.5" style="11" customWidth="1"/>
    <col min="10742" max="10742" width="13" style="11" bestFit="1" customWidth="1"/>
    <col min="10743" max="10743" width="11.6640625" style="11" bestFit="1" customWidth="1"/>
    <col min="10744" max="10995" width="11.5" style="11"/>
    <col min="10996" max="10996" width="48.6640625" style="11" customWidth="1"/>
    <col min="10997" max="10997" width="13.5" style="11" customWidth="1"/>
    <col min="10998" max="10998" width="13" style="11" bestFit="1" customWidth="1"/>
    <col min="10999" max="10999" width="11.6640625" style="11" bestFit="1" customWidth="1"/>
    <col min="11000" max="11251" width="11.5" style="11"/>
    <col min="11252" max="11252" width="48.6640625" style="11" customWidth="1"/>
    <col min="11253" max="11253" width="13.5" style="11" customWidth="1"/>
    <col min="11254" max="11254" width="13" style="11" bestFit="1" customWidth="1"/>
    <col min="11255" max="11255" width="11.6640625" style="11" bestFit="1" customWidth="1"/>
    <col min="11256" max="11507" width="11.5" style="11"/>
    <col min="11508" max="11508" width="48.6640625" style="11" customWidth="1"/>
    <col min="11509" max="11509" width="13.5" style="11" customWidth="1"/>
    <col min="11510" max="11510" width="13" style="11" bestFit="1" customWidth="1"/>
    <col min="11511" max="11511" width="11.6640625" style="11" bestFit="1" customWidth="1"/>
    <col min="11512" max="11763" width="11.5" style="11"/>
    <col min="11764" max="11764" width="48.6640625" style="11" customWidth="1"/>
    <col min="11765" max="11765" width="13.5" style="11" customWidth="1"/>
    <col min="11766" max="11766" width="13" style="11" bestFit="1" customWidth="1"/>
    <col min="11767" max="11767" width="11.6640625" style="11" bestFit="1" customWidth="1"/>
    <col min="11768" max="12019" width="11.5" style="11"/>
    <col min="12020" max="12020" width="48.6640625" style="11" customWidth="1"/>
    <col min="12021" max="12021" width="13.5" style="11" customWidth="1"/>
    <col min="12022" max="12022" width="13" style="11" bestFit="1" customWidth="1"/>
    <col min="12023" max="12023" width="11.6640625" style="11" bestFit="1" customWidth="1"/>
    <col min="12024" max="12275" width="11.5" style="11"/>
    <col min="12276" max="12276" width="48.6640625" style="11" customWidth="1"/>
    <col min="12277" max="12277" width="13.5" style="11" customWidth="1"/>
    <col min="12278" max="12278" width="13" style="11" bestFit="1" customWidth="1"/>
    <col min="12279" max="12279" width="11.6640625" style="11" bestFit="1" customWidth="1"/>
    <col min="12280" max="12531" width="11.5" style="11"/>
    <col min="12532" max="12532" width="48.6640625" style="11" customWidth="1"/>
    <col min="12533" max="12533" width="13.5" style="11" customWidth="1"/>
    <col min="12534" max="12534" width="13" style="11" bestFit="1" customWidth="1"/>
    <col min="12535" max="12535" width="11.6640625" style="11" bestFit="1" customWidth="1"/>
    <col min="12536" max="12787" width="11.5" style="11"/>
    <col min="12788" max="12788" width="48.6640625" style="11" customWidth="1"/>
    <col min="12789" max="12789" width="13.5" style="11" customWidth="1"/>
    <col min="12790" max="12790" width="13" style="11" bestFit="1" customWidth="1"/>
    <col min="12791" max="12791" width="11.6640625" style="11" bestFit="1" customWidth="1"/>
    <col min="12792" max="13043" width="11.5" style="11"/>
    <col min="13044" max="13044" width="48.6640625" style="11" customWidth="1"/>
    <col min="13045" max="13045" width="13.5" style="11" customWidth="1"/>
    <col min="13046" max="13046" width="13" style="11" bestFit="1" customWidth="1"/>
    <col min="13047" max="13047" width="11.6640625" style="11" bestFit="1" customWidth="1"/>
    <col min="13048" max="13299" width="11.5" style="11"/>
    <col min="13300" max="13300" width="48.6640625" style="11" customWidth="1"/>
    <col min="13301" max="13301" width="13.5" style="11" customWidth="1"/>
    <col min="13302" max="13302" width="13" style="11" bestFit="1" customWidth="1"/>
    <col min="13303" max="13303" width="11.6640625" style="11" bestFit="1" customWidth="1"/>
    <col min="13304" max="13555" width="11.5" style="11"/>
    <col min="13556" max="13556" width="48.6640625" style="11" customWidth="1"/>
    <col min="13557" max="13557" width="13.5" style="11" customWidth="1"/>
    <col min="13558" max="13558" width="13" style="11" bestFit="1" customWidth="1"/>
    <col min="13559" max="13559" width="11.6640625" style="11" bestFit="1" customWidth="1"/>
    <col min="13560" max="13811" width="11.5" style="11"/>
    <col min="13812" max="13812" width="48.6640625" style="11" customWidth="1"/>
    <col min="13813" max="13813" width="13.5" style="11" customWidth="1"/>
    <col min="13814" max="13814" width="13" style="11" bestFit="1" customWidth="1"/>
    <col min="13815" max="13815" width="11.6640625" style="11" bestFit="1" customWidth="1"/>
    <col min="13816" max="14067" width="11.5" style="11"/>
    <col min="14068" max="14068" width="48.6640625" style="11" customWidth="1"/>
    <col min="14069" max="14069" width="13.5" style="11" customWidth="1"/>
    <col min="14070" max="14070" width="13" style="11" bestFit="1" customWidth="1"/>
    <col min="14071" max="14071" width="11.6640625" style="11" bestFit="1" customWidth="1"/>
    <col min="14072" max="14323" width="11.5" style="11"/>
    <col min="14324" max="14324" width="48.6640625" style="11" customWidth="1"/>
    <col min="14325" max="14325" width="13.5" style="11" customWidth="1"/>
    <col min="14326" max="14326" width="13" style="11" bestFit="1" customWidth="1"/>
    <col min="14327" max="14327" width="11.6640625" style="11" bestFit="1" customWidth="1"/>
    <col min="14328" max="14579" width="11.5" style="11"/>
    <col min="14580" max="14580" width="48.6640625" style="11" customWidth="1"/>
    <col min="14581" max="14581" width="13.5" style="11" customWidth="1"/>
    <col min="14582" max="14582" width="13" style="11" bestFit="1" customWidth="1"/>
    <col min="14583" max="14583" width="11.6640625" style="11" bestFit="1" customWidth="1"/>
    <col min="14584" max="14835" width="11.5" style="11"/>
    <col min="14836" max="14836" width="48.6640625" style="11" customWidth="1"/>
    <col min="14837" max="14837" width="13.5" style="11" customWidth="1"/>
    <col min="14838" max="14838" width="13" style="11" bestFit="1" customWidth="1"/>
    <col min="14839" max="14839" width="11.6640625" style="11" bestFit="1" customWidth="1"/>
    <col min="14840" max="15091" width="11.5" style="11"/>
    <col min="15092" max="15092" width="48.6640625" style="11" customWidth="1"/>
    <col min="15093" max="15093" width="13.5" style="11" customWidth="1"/>
    <col min="15094" max="15094" width="13" style="11" bestFit="1" customWidth="1"/>
    <col min="15095" max="15095" width="11.6640625" style="11" bestFit="1" customWidth="1"/>
    <col min="15096" max="15347" width="11.5" style="11"/>
    <col min="15348" max="15348" width="48.6640625" style="11" customWidth="1"/>
    <col min="15349" max="15349" width="13.5" style="11" customWidth="1"/>
    <col min="15350" max="15350" width="13" style="11" bestFit="1" customWidth="1"/>
    <col min="15351" max="15351" width="11.6640625" style="11" bestFit="1" customWidth="1"/>
    <col min="15352" max="15603" width="11.5" style="11"/>
    <col min="15604" max="15604" width="48.6640625" style="11" customWidth="1"/>
    <col min="15605" max="15605" width="13.5" style="11" customWidth="1"/>
    <col min="15606" max="15606" width="13" style="11" bestFit="1" customWidth="1"/>
    <col min="15607" max="15607" width="11.6640625" style="11" bestFit="1" customWidth="1"/>
    <col min="15608" max="15859" width="11.5" style="11"/>
    <col min="15860" max="15860" width="48.6640625" style="11" customWidth="1"/>
    <col min="15861" max="15861" width="13.5" style="11" customWidth="1"/>
    <col min="15862" max="15862" width="13" style="11" bestFit="1" customWidth="1"/>
    <col min="15863" max="15863" width="11.6640625" style="11" bestFit="1" customWidth="1"/>
    <col min="15864" max="16115" width="11.5" style="11"/>
    <col min="16116" max="16116" width="48.6640625" style="11" customWidth="1"/>
    <col min="16117" max="16117" width="13.5" style="11" customWidth="1"/>
    <col min="16118" max="16118" width="13" style="11" bestFit="1" customWidth="1"/>
    <col min="16119" max="16119" width="11.6640625" style="11" bestFit="1" customWidth="1"/>
    <col min="16120" max="16384" width="11.5" style="11"/>
  </cols>
  <sheetData>
    <row r="1" spans="1:4" customFormat="1" ht="15" hidden="1" customHeight="1" x14ac:dyDescent="0.15">
      <c r="A1" s="452"/>
      <c r="B1" s="452"/>
      <c r="C1" s="452"/>
    </row>
    <row r="2" spans="1:4" customFormat="1" ht="3" hidden="1" customHeight="1" x14ac:dyDescent="0.15">
      <c r="A2" s="452"/>
      <c r="B2" s="452"/>
      <c r="C2" s="452"/>
    </row>
    <row r="3" spans="1:4" customFormat="1" ht="21" customHeight="1" x14ac:dyDescent="0.15">
      <c r="A3" s="414" t="s">
        <v>1065</v>
      </c>
      <c r="B3" s="444"/>
      <c r="C3" s="444"/>
      <c r="D3" s="411"/>
    </row>
    <row r="4" spans="1:4" customFormat="1" ht="14.25" customHeight="1" x14ac:dyDescent="0.15">
      <c r="A4" s="301" t="s">
        <v>446</v>
      </c>
      <c r="B4" s="444"/>
      <c r="C4" s="444"/>
      <c r="D4" s="92"/>
    </row>
    <row r="5" spans="1:4" customFormat="1" ht="14.25" customHeight="1" x14ac:dyDescent="0.15">
      <c r="A5" s="301" t="s">
        <v>447</v>
      </c>
      <c r="B5" s="444"/>
      <c r="C5" s="444"/>
      <c r="D5" s="92"/>
    </row>
    <row r="6" spans="1:4" customFormat="1" ht="45" customHeight="1" x14ac:dyDescent="0.15">
      <c r="A6" s="412" t="s">
        <v>890</v>
      </c>
      <c r="B6" s="444"/>
      <c r="C6" s="444"/>
      <c r="D6" s="196"/>
    </row>
    <row r="7" spans="1:4" customFormat="1" ht="19.5" customHeight="1" x14ac:dyDescent="0.15">
      <c r="A7" s="759" t="s">
        <v>1068</v>
      </c>
      <c r="B7" s="759"/>
      <c r="C7" s="759"/>
    </row>
    <row r="8" spans="1:4" s="76" customFormat="1" x14ac:dyDescent="0.15">
      <c r="A8" s="75" t="s">
        <v>349</v>
      </c>
      <c r="B8" s="75" t="s">
        <v>73</v>
      </c>
      <c r="C8" s="75" t="s">
        <v>91</v>
      </c>
    </row>
    <row r="9" spans="1:4" s="117" customFormat="1" ht="13.5" customHeight="1" x14ac:dyDescent="0.15">
      <c r="A9" s="114" t="s">
        <v>137</v>
      </c>
      <c r="B9" s="239"/>
      <c r="C9" s="304" t="s">
        <v>138</v>
      </c>
    </row>
    <row r="10" spans="1:4" s="117" customFormat="1" ht="13.5" customHeight="1" x14ac:dyDescent="0.15">
      <c r="A10" s="114" t="s">
        <v>139</v>
      </c>
      <c r="B10" s="239" t="s">
        <v>140</v>
      </c>
      <c r="C10" s="304">
        <v>75000</v>
      </c>
    </row>
    <row r="11" spans="1:4" s="117" customFormat="1" ht="13.5" customHeight="1" x14ac:dyDescent="0.15">
      <c r="A11" s="114" t="s">
        <v>141</v>
      </c>
      <c r="B11" s="239" t="s">
        <v>92</v>
      </c>
      <c r="C11" s="304">
        <v>150000</v>
      </c>
    </row>
    <row r="12" spans="1:4" s="117" customFormat="1" ht="13.5" customHeight="1" x14ac:dyDescent="0.15">
      <c r="A12" s="114" t="s">
        <v>112</v>
      </c>
      <c r="B12" s="239" t="s">
        <v>92</v>
      </c>
      <c r="C12" s="304">
        <v>130000</v>
      </c>
    </row>
    <row r="13" spans="1:4" s="117" customFormat="1" ht="13.5" customHeight="1" x14ac:dyDescent="0.15">
      <c r="A13" s="114" t="s">
        <v>310</v>
      </c>
      <c r="B13" s="239" t="s">
        <v>92</v>
      </c>
      <c r="C13" s="304">
        <v>240000</v>
      </c>
    </row>
    <row r="14" spans="1:4" s="117" customFormat="1" ht="13.5" customHeight="1" x14ac:dyDescent="0.15">
      <c r="A14" s="114" t="s">
        <v>311</v>
      </c>
      <c r="B14" s="239" t="s">
        <v>92</v>
      </c>
      <c r="C14" s="304">
        <v>180000</v>
      </c>
    </row>
    <row r="15" spans="1:4" s="117" customFormat="1" ht="13.5" customHeight="1" x14ac:dyDescent="0.15">
      <c r="A15" s="114" t="s">
        <v>142</v>
      </c>
      <c r="B15" s="239" t="s">
        <v>92</v>
      </c>
      <c r="C15" s="304">
        <v>240000</v>
      </c>
    </row>
    <row r="16" spans="1:4" s="117" customFormat="1" ht="13.5" customHeight="1" x14ac:dyDescent="0.15">
      <c r="A16" s="114" t="s">
        <v>143</v>
      </c>
      <c r="B16" s="239" t="s">
        <v>92</v>
      </c>
      <c r="C16" s="304">
        <v>240000</v>
      </c>
    </row>
    <row r="17" spans="1:3" s="117" customFormat="1" ht="13.5" customHeight="1" x14ac:dyDescent="0.15">
      <c r="A17" s="114" t="s">
        <v>456</v>
      </c>
      <c r="B17" s="239" t="s">
        <v>92</v>
      </c>
      <c r="C17" s="304">
        <v>120000</v>
      </c>
    </row>
    <row r="18" spans="1:3" s="117" customFormat="1" ht="13.5" customHeight="1" x14ac:dyDescent="0.15">
      <c r="A18" s="114" t="s">
        <v>457</v>
      </c>
      <c r="B18" s="239" t="s">
        <v>92</v>
      </c>
      <c r="C18" s="304">
        <v>180000</v>
      </c>
    </row>
    <row r="19" spans="1:3" s="117" customFormat="1" ht="13.5" customHeight="1" x14ac:dyDescent="0.15">
      <c r="A19" s="114" t="s">
        <v>113</v>
      </c>
      <c r="B19" s="239" t="s">
        <v>140</v>
      </c>
      <c r="C19" s="304">
        <v>70000</v>
      </c>
    </row>
    <row r="20" spans="1:3" s="117" customFormat="1" ht="13.5" customHeight="1" x14ac:dyDescent="0.15">
      <c r="A20" s="114" t="s">
        <v>313</v>
      </c>
      <c r="B20" s="239" t="s">
        <v>140</v>
      </c>
      <c r="C20" s="304">
        <v>100000</v>
      </c>
    </row>
    <row r="21" spans="1:3" s="117" customFormat="1" ht="13.5" customHeight="1" x14ac:dyDescent="0.15">
      <c r="A21" s="114" t="s">
        <v>57</v>
      </c>
      <c r="B21" s="239" t="s">
        <v>140</v>
      </c>
      <c r="C21" s="304">
        <v>100000</v>
      </c>
    </row>
    <row r="22" spans="1:3" s="117" customFormat="1" ht="13.5" customHeight="1" x14ac:dyDescent="0.15">
      <c r="A22" s="114" t="s">
        <v>422</v>
      </c>
      <c r="B22" s="239" t="s">
        <v>140</v>
      </c>
      <c r="C22" s="304">
        <v>700000</v>
      </c>
    </row>
    <row r="23" spans="1:3" s="117" customFormat="1" ht="13.5" customHeight="1" x14ac:dyDescent="0.15">
      <c r="A23" s="114" t="s">
        <v>458</v>
      </c>
      <c r="B23" s="239" t="s">
        <v>459</v>
      </c>
      <c r="C23" s="304">
        <v>6000</v>
      </c>
    </row>
    <row r="24" spans="1:3" s="117" customFormat="1" ht="13.5" customHeight="1" x14ac:dyDescent="0.15">
      <c r="A24" s="114" t="s">
        <v>196</v>
      </c>
      <c r="B24" s="239" t="s">
        <v>459</v>
      </c>
      <c r="C24" s="304">
        <v>4500</v>
      </c>
    </row>
    <row r="25" spans="1:3" s="117" customFormat="1" ht="13.5" customHeight="1" x14ac:dyDescent="0.15">
      <c r="A25" s="114" t="s">
        <v>466</v>
      </c>
      <c r="B25" s="239" t="s">
        <v>140</v>
      </c>
      <c r="C25" s="304">
        <f>7500*6</f>
        <v>45000</v>
      </c>
    </row>
    <row r="26" spans="1:3" s="117" customFormat="1" ht="13.5" customHeight="1" x14ac:dyDescent="0.15">
      <c r="A26" s="114" t="s">
        <v>461</v>
      </c>
      <c r="B26" s="239" t="s">
        <v>140</v>
      </c>
      <c r="C26" s="304">
        <v>150000</v>
      </c>
    </row>
    <row r="27" spans="1:3" s="117" customFormat="1" ht="13.5" customHeight="1" x14ac:dyDescent="0.15">
      <c r="A27" s="114" t="s">
        <v>323</v>
      </c>
      <c r="B27" s="239" t="s">
        <v>140</v>
      </c>
      <c r="C27" s="304">
        <v>180000</v>
      </c>
    </row>
    <row r="28" spans="1:3" s="117" customFormat="1" ht="13.5" customHeight="1" x14ac:dyDescent="0.15">
      <c r="A28" s="114" t="s">
        <v>462</v>
      </c>
      <c r="B28" s="239" t="s">
        <v>140</v>
      </c>
      <c r="C28" s="304">
        <v>377500</v>
      </c>
    </row>
    <row r="29" spans="1:3" s="117" customFormat="1" ht="13.5" customHeight="1" x14ac:dyDescent="0.15">
      <c r="A29" s="114" t="s">
        <v>463</v>
      </c>
      <c r="B29" s="239" t="s">
        <v>140</v>
      </c>
      <c r="C29" s="304">
        <v>20000</v>
      </c>
    </row>
    <row r="30" spans="1:3" s="117" customFormat="1" ht="13.5" customHeight="1" x14ac:dyDescent="0.15">
      <c r="A30" s="114" t="s">
        <v>464</v>
      </c>
      <c r="B30" s="239" t="s">
        <v>140</v>
      </c>
      <c r="C30" s="304">
        <v>300000</v>
      </c>
    </row>
    <row r="31" spans="1:3" s="117" customFormat="1" ht="13.5" customHeight="1" x14ac:dyDescent="0.15">
      <c r="A31" s="114" t="s">
        <v>465</v>
      </c>
      <c r="B31" s="239" t="s">
        <v>140</v>
      </c>
      <c r="C31" s="304">
        <v>108000</v>
      </c>
    </row>
    <row r="32" spans="1:3" s="117" customFormat="1" ht="13.5" customHeight="1" x14ac:dyDescent="0.15">
      <c r="A32" s="114" t="s">
        <v>197</v>
      </c>
      <c r="B32" s="239" t="s">
        <v>140</v>
      </c>
      <c r="C32" s="304">
        <v>180000</v>
      </c>
    </row>
    <row r="33" spans="1:3" s="117" customFormat="1" ht="13.5" customHeight="1" x14ac:dyDescent="0.15">
      <c r="A33" s="114" t="s">
        <v>198</v>
      </c>
      <c r="B33" s="239" t="s">
        <v>140</v>
      </c>
      <c r="C33" s="304">
        <v>75000</v>
      </c>
    </row>
    <row r="34" spans="1:3" s="117" customFormat="1" ht="13.5" customHeight="1" x14ac:dyDescent="0.15">
      <c r="A34" s="114" t="s">
        <v>199</v>
      </c>
      <c r="B34" s="239" t="s">
        <v>140</v>
      </c>
      <c r="C34" s="304">
        <v>75000</v>
      </c>
    </row>
    <row r="35" spans="1:3" s="117" customFormat="1" ht="13.5" customHeight="1" x14ac:dyDescent="0.15">
      <c r="A35" s="114" t="s">
        <v>200</v>
      </c>
      <c r="B35" s="239" t="s">
        <v>140</v>
      </c>
      <c r="C35" s="304">
        <v>180000</v>
      </c>
    </row>
    <row r="36" spans="1:3" s="117" customFormat="1" ht="13.5" customHeight="1" x14ac:dyDescent="0.15">
      <c r="A36" s="114" t="s">
        <v>314</v>
      </c>
      <c r="B36" s="239" t="s">
        <v>140</v>
      </c>
      <c r="C36" s="304">
        <v>80000</v>
      </c>
    </row>
    <row r="37" spans="1:3" s="117" customFormat="1" ht="13.5" customHeight="1" x14ac:dyDescent="0.15">
      <c r="A37" s="114" t="s">
        <v>323</v>
      </c>
      <c r="B37" s="239" t="s">
        <v>140</v>
      </c>
      <c r="C37" s="304">
        <v>180000</v>
      </c>
    </row>
    <row r="38" spans="1:3" s="117" customFormat="1" ht="13.5" customHeight="1" x14ac:dyDescent="0.15">
      <c r="A38" s="114" t="s">
        <v>325</v>
      </c>
      <c r="B38" s="239" t="s">
        <v>140</v>
      </c>
      <c r="C38" s="304">
        <v>150000</v>
      </c>
    </row>
    <row r="39" spans="1:3" s="117" customFormat="1" ht="13.5" customHeight="1" x14ac:dyDescent="0.15">
      <c r="A39" s="114" t="s">
        <v>460</v>
      </c>
      <c r="B39" s="239" t="s">
        <v>140</v>
      </c>
      <c r="C39" s="304">
        <v>15000</v>
      </c>
    </row>
    <row r="40" spans="1:3" ht="15.75" customHeight="1" x14ac:dyDescent="0.15">
      <c r="A40" s="758"/>
      <c r="B40" s="758"/>
      <c r="C40" s="758"/>
    </row>
    <row r="41" spans="1:3" ht="16" x14ac:dyDescent="0.2">
      <c r="B41" s="77"/>
    </row>
    <row r="42" spans="1:3" ht="16" x14ac:dyDescent="0.2">
      <c r="B42" s="77"/>
    </row>
    <row r="43" spans="1:3" ht="16" x14ac:dyDescent="0.2">
      <c r="B43" s="77"/>
    </row>
    <row r="44" spans="1:3" ht="16" x14ac:dyDescent="0.2">
      <c r="B44" s="77"/>
    </row>
    <row r="45" spans="1:3" ht="16" x14ac:dyDescent="0.2">
      <c r="A45" s="101" t="s">
        <v>534</v>
      </c>
      <c r="B45" s="77"/>
    </row>
    <row r="46" spans="1:3" ht="16" x14ac:dyDescent="0.2">
      <c r="A46" s="83" t="s">
        <v>448</v>
      </c>
      <c r="B46" s="77"/>
    </row>
    <row r="47" spans="1:3" ht="16" x14ac:dyDescent="0.2">
      <c r="A47" s="118"/>
      <c r="B47" s="77"/>
    </row>
    <row r="48" spans="1:3" ht="16" x14ac:dyDescent="0.2">
      <c r="A48" s="78"/>
      <c r="B48" s="77"/>
    </row>
    <row r="49" spans="1:2" ht="16" x14ac:dyDescent="0.2">
      <c r="A49" s="78"/>
      <c r="B49" s="77"/>
    </row>
    <row r="50" spans="1:2" ht="16" x14ac:dyDescent="0.2">
      <c r="A50" s="78"/>
      <c r="B50" s="77"/>
    </row>
    <row r="51" spans="1:2" ht="16" x14ac:dyDescent="0.2">
      <c r="A51" s="78"/>
      <c r="B51" s="77"/>
    </row>
    <row r="52" spans="1:2" ht="16" x14ac:dyDescent="0.2">
      <c r="A52" s="78"/>
      <c r="B52" s="77"/>
    </row>
  </sheetData>
  <mergeCells count="4">
    <mergeCell ref="A40:C40"/>
    <mergeCell ref="A7:C7"/>
    <mergeCell ref="A1:C2"/>
    <mergeCell ref="B3:C6"/>
  </mergeCell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9">
    <tabColor rgb="FF66FF33"/>
  </sheetPr>
  <dimension ref="A1:G22"/>
  <sheetViews>
    <sheetView view="pageBreakPreview" topLeftCell="A3" zoomScale="115" zoomScaleNormal="100" zoomScaleSheetLayoutView="115" workbookViewId="0">
      <selection activeCell="K12" sqref="K12"/>
    </sheetView>
  </sheetViews>
  <sheetFormatPr baseColWidth="10" defaultRowHeight="13" x14ac:dyDescent="0.15"/>
  <cols>
    <col min="2" max="2" width="21" customWidth="1"/>
    <col min="3" max="6" width="17.83203125" customWidth="1"/>
  </cols>
  <sheetData>
    <row r="1" spans="1:7" ht="26.25" hidden="1" customHeight="1" x14ac:dyDescent="0.15">
      <c r="A1" s="452"/>
      <c r="B1" s="452"/>
      <c r="C1" s="452"/>
      <c r="D1" s="452"/>
      <c r="E1" s="452"/>
      <c r="F1" s="452"/>
    </row>
    <row r="2" spans="1:7" ht="15" hidden="1" customHeight="1" x14ac:dyDescent="0.15">
      <c r="A2" s="452"/>
      <c r="B2" s="452"/>
      <c r="C2" s="452"/>
      <c r="D2" s="452"/>
      <c r="E2" s="452"/>
      <c r="F2" s="452"/>
    </row>
    <row r="3" spans="1:7" ht="33.75" customHeight="1" x14ac:dyDescent="0.15">
      <c r="A3" s="444" t="s">
        <v>1065</v>
      </c>
      <c r="B3" s="444"/>
      <c r="C3" s="444"/>
      <c r="D3" s="444"/>
      <c r="E3" s="444"/>
      <c r="F3" s="444"/>
      <c r="G3" s="411"/>
    </row>
    <row r="4" spans="1:7" ht="14.25" customHeight="1" x14ac:dyDescent="0.15">
      <c r="A4" s="447" t="s">
        <v>446</v>
      </c>
      <c r="B4" s="447"/>
      <c r="C4" s="447"/>
      <c r="D4" s="447"/>
      <c r="E4" s="444"/>
      <c r="F4" s="444"/>
      <c r="G4" s="92"/>
    </row>
    <row r="5" spans="1:7" ht="14.25" customHeight="1" x14ac:dyDescent="0.15">
      <c r="A5" s="447" t="s">
        <v>447</v>
      </c>
      <c r="B5" s="447"/>
      <c r="C5" s="447"/>
      <c r="D5" s="447"/>
      <c r="E5" s="444"/>
      <c r="F5" s="444"/>
      <c r="G5" s="92"/>
    </row>
    <row r="6" spans="1:7" ht="52.5" customHeight="1" x14ac:dyDescent="0.15">
      <c r="A6" s="450" t="s">
        <v>890</v>
      </c>
      <c r="B6" s="450"/>
      <c r="C6" s="450"/>
      <c r="D6" s="450"/>
      <c r="E6" s="444"/>
      <c r="F6" s="444"/>
      <c r="G6" s="196"/>
    </row>
    <row r="7" spans="1:7" ht="16.5" customHeight="1" x14ac:dyDescent="0.15">
      <c r="A7" s="761" t="s">
        <v>868</v>
      </c>
      <c r="B7" s="761"/>
      <c r="C7" s="761"/>
      <c r="D7" s="761"/>
      <c r="E7" s="761"/>
      <c r="F7" s="761"/>
    </row>
    <row r="8" spans="1:7" x14ac:dyDescent="0.15">
      <c r="A8" s="492"/>
      <c r="B8" s="492"/>
      <c r="C8" s="492"/>
      <c r="D8" s="492"/>
      <c r="E8" s="492"/>
      <c r="F8" s="492"/>
    </row>
    <row r="9" spans="1:7" ht="26" x14ac:dyDescent="0.15">
      <c r="A9" s="491" t="s">
        <v>145</v>
      </c>
      <c r="B9" s="491"/>
      <c r="C9" s="239" t="s">
        <v>73</v>
      </c>
      <c r="D9" s="239" t="s">
        <v>145</v>
      </c>
      <c r="E9" s="239" t="s">
        <v>467</v>
      </c>
      <c r="F9" s="305" t="s">
        <v>468</v>
      </c>
    </row>
    <row r="10" spans="1:7" s="115" customFormat="1" ht="18" customHeight="1" x14ac:dyDescent="0.15">
      <c r="A10" s="760" t="s">
        <v>469</v>
      </c>
      <c r="B10" s="760"/>
      <c r="C10" s="306" t="s">
        <v>146</v>
      </c>
      <c r="D10" s="307">
        <f>918*1.035</f>
        <v>950.12999999999988</v>
      </c>
      <c r="E10" s="307">
        <f>ROUND((D10),0)</f>
        <v>950</v>
      </c>
      <c r="F10" s="307">
        <f>(ROUND((E10*1.1577),0))</f>
        <v>1100</v>
      </c>
    </row>
    <row r="11" spans="1:7" ht="10.5" customHeight="1" x14ac:dyDescent="0.15">
      <c r="A11" s="492"/>
      <c r="B11" s="492"/>
      <c r="C11" s="492"/>
      <c r="D11" s="492"/>
      <c r="E11" s="492"/>
      <c r="F11" s="492"/>
    </row>
    <row r="16" spans="1:7" ht="14" x14ac:dyDescent="0.15">
      <c r="A16" s="101" t="s">
        <v>534</v>
      </c>
    </row>
    <row r="17" spans="1:4" ht="14" x14ac:dyDescent="0.15">
      <c r="A17" s="83" t="s">
        <v>448</v>
      </c>
    </row>
    <row r="20" spans="1:4" ht="14" x14ac:dyDescent="0.15">
      <c r="A20" s="101"/>
      <c r="D20" s="101"/>
    </row>
    <row r="21" spans="1:4" ht="14" x14ac:dyDescent="0.15">
      <c r="A21" s="83"/>
      <c r="D21" s="118"/>
    </row>
    <row r="22" spans="1:4" x14ac:dyDescent="0.15">
      <c r="A22" s="118"/>
    </row>
  </sheetData>
  <mergeCells count="11">
    <mergeCell ref="A10:B10"/>
    <mergeCell ref="A11:F11"/>
    <mergeCell ref="A9:B9"/>
    <mergeCell ref="A1:F2"/>
    <mergeCell ref="A7:F7"/>
    <mergeCell ref="A8:F8"/>
    <mergeCell ref="A3:D3"/>
    <mergeCell ref="E3:F6"/>
    <mergeCell ref="A4:D4"/>
    <mergeCell ref="A5:D5"/>
    <mergeCell ref="A6:D6"/>
  </mergeCells>
  <pageMargins left="0.7" right="0.7" top="0.75" bottom="0.75" header="0.3" footer="0.3"/>
  <pageSetup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8</vt:i4>
      </vt:variant>
    </vt:vector>
  </HeadingPairs>
  <TitlesOfParts>
    <vt:vector size="21" baseType="lpstr">
      <vt:lpstr>PRESUPUESTO OBRA</vt:lpstr>
      <vt:lpstr>PRESUPUESTO ADMON</vt:lpstr>
      <vt:lpstr>FM ADMON</vt:lpstr>
      <vt:lpstr>PRES INTERVENTORIA</vt:lpstr>
      <vt:lpstr>FM INTERVENTORIA</vt:lpstr>
      <vt:lpstr>CRONOGRAMA DE FLUJOS</vt:lpstr>
      <vt:lpstr>CANT. DE OBRA </vt:lpstr>
      <vt:lpstr>APU -BASICOS</vt:lpstr>
      <vt:lpstr>APUS</vt:lpstr>
      <vt:lpstr>MANO DE OBRA</vt:lpstr>
      <vt:lpstr>MATERIALES</vt:lpstr>
      <vt:lpstr>HERRAMIENTAS Y EQUIPOS</vt:lpstr>
      <vt:lpstr>TRANSPORTE</vt:lpstr>
      <vt:lpstr>'APU -BASICOS'!Área_de_impresión</vt:lpstr>
      <vt:lpstr>APUS!Área_de_impresión</vt:lpstr>
      <vt:lpstr>'CANT. DE OBRA '!Área_de_impresión</vt:lpstr>
      <vt:lpstr>'FM ADMON'!Área_de_impresión</vt:lpstr>
      <vt:lpstr>'MANO DE OBRA'!Área_de_impresión</vt:lpstr>
      <vt:lpstr>MATERIALES!Área_de_impresión</vt:lpstr>
      <vt:lpstr>'PRESUPUESTO OBRA'!Área_de_impresión</vt:lpstr>
      <vt:lpstr>TRANSPORTE!Área_de_impresión</vt:lpstr>
    </vt:vector>
  </TitlesOfParts>
  <Company>mm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PRESUPUESTO ARMENIA</dc:title>
  <dc:creator>DANIEL ALEJANDRO RIOS GALVIS</dc:creator>
  <cp:lastModifiedBy>Microsoft Office User</cp:lastModifiedBy>
  <cp:lastPrinted>2023-07-24T17:04:25Z</cp:lastPrinted>
  <dcterms:created xsi:type="dcterms:W3CDTF">2002-11-29T20:46:23Z</dcterms:created>
  <dcterms:modified xsi:type="dcterms:W3CDTF">2023-08-16T02:50:31Z</dcterms:modified>
</cp:coreProperties>
</file>